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0" yWindow="420" windowWidth="13965" windowHeight="12240" firstSheet="2" activeTab="3"/>
  </bookViews>
  <sheets>
    <sheet name="2011 Moisture" sheetId="1" r:id="rId1"/>
    <sheet name="2011 Defoliation Approval" sheetId="2" r:id="rId2"/>
    <sheet name="Female Before Male Approval" sheetId="3" r:id="rId3"/>
    <sheet name="Field Evaluation" sheetId="4" r:id="rId4"/>
  </sheets>
  <definedNames>
    <definedName name="_xlnm._FilterDatabase" localSheetId="1" hidden="1">'2011 Defoliation Approval'!$A$1:$J$47</definedName>
    <definedName name="_xlnm._FilterDatabase" localSheetId="0" hidden="1">'2011 Moisture'!$A$1:$EL$142</definedName>
    <definedName name="_xlnm.Print_Area" localSheetId="0">'2011 Moisture'!$BX$1:$CG$144</definedName>
    <definedName name="_xlnm.Print_Titles" localSheetId="0">'2011 Moisture'!$A:$K,'2011 Moisture'!$1:$1</definedName>
  </definedNames>
  <calcPr calcId="145621"/>
</workbook>
</file>

<file path=xl/calcChain.xml><?xml version="1.0" encoding="utf-8"?>
<calcChain xmlns="http://schemas.openxmlformats.org/spreadsheetml/2006/main">
  <c r="CF34" i="1" l="1"/>
  <c r="CE52" i="1"/>
  <c r="BY58" i="1"/>
  <c r="BY56" i="1"/>
  <c r="BY52" i="1"/>
  <c r="BY35" i="1"/>
  <c r="BY34" i="1"/>
  <c r="BV30" i="1"/>
  <c r="BV6" i="1"/>
  <c r="BQ30" i="1"/>
  <c r="BU59" i="1"/>
  <c r="BU58" i="1"/>
  <c r="BU35" i="1"/>
  <c r="BU34" i="1"/>
  <c r="BU73" i="1"/>
  <c r="BU72" i="1"/>
  <c r="BU53" i="1"/>
  <c r="BU52" i="1"/>
  <c r="BU56" i="1"/>
  <c r="BT68" i="1"/>
  <c r="BT29" i="1"/>
  <c r="BT28" i="1"/>
  <c r="BT13" i="1"/>
  <c r="BT12" i="1"/>
  <c r="BQ58" i="1"/>
  <c r="BQ56" i="1"/>
  <c r="BQ14" i="1"/>
  <c r="BQ12" i="1"/>
  <c r="BQ36" i="1"/>
  <c r="BQ42" i="1"/>
  <c r="BQ39" i="1"/>
  <c r="BQ38" i="1"/>
  <c r="BQ72" i="1"/>
  <c r="BQ35" i="1"/>
  <c r="BQ52" i="1"/>
  <c r="BQ33" i="1"/>
  <c r="BQ32" i="1"/>
  <c r="BQ31" i="1"/>
  <c r="BQ68" i="1"/>
  <c r="BQ29" i="1"/>
  <c r="BQ28" i="1"/>
  <c r="BQ7" i="1"/>
  <c r="BQ6" i="1"/>
  <c r="BQ3" i="1"/>
  <c r="BO16" i="1"/>
  <c r="BO15" i="1"/>
  <c r="BO14" i="1"/>
  <c r="BO13" i="1"/>
  <c r="BO12" i="1"/>
  <c r="BO57" i="1"/>
  <c r="BO56" i="1"/>
  <c r="BO61" i="1"/>
  <c r="BO60" i="1"/>
  <c r="BN36" i="1"/>
  <c r="BN8" i="1"/>
  <c r="BK3" i="1"/>
  <c r="BK2" i="1"/>
  <c r="BK11" i="1"/>
  <c r="BK10" i="1"/>
  <c r="BK32" i="1"/>
  <c r="BK29" i="1"/>
  <c r="BK28" i="1"/>
  <c r="BK65" i="1"/>
  <c r="BK64" i="1"/>
  <c r="BK19" i="1"/>
  <c r="BK18" i="1"/>
  <c r="BK17" i="1"/>
  <c r="BK16" i="1"/>
  <c r="BK43" i="1"/>
  <c r="BK42" i="1"/>
  <c r="BK15" i="1"/>
  <c r="BK14" i="1"/>
  <c r="BK51" i="1"/>
  <c r="BK50" i="1"/>
  <c r="BH24" i="1"/>
  <c r="BH39" i="1"/>
  <c r="BH38" i="1"/>
  <c r="BH57" i="1"/>
  <c r="BH56" i="1"/>
  <c r="BH61" i="1"/>
  <c r="BH60" i="1"/>
  <c r="BH3" i="1"/>
  <c r="BH45" i="1"/>
  <c r="BH44" i="1"/>
  <c r="BH29" i="1"/>
  <c r="BH28" i="1"/>
  <c r="BH7" i="1"/>
  <c r="BH6" i="1"/>
  <c r="BH9" i="1"/>
  <c r="BH8" i="1"/>
  <c r="BE37" i="1"/>
  <c r="BE36" i="1"/>
  <c r="BE3" i="1"/>
  <c r="BE2" i="1"/>
  <c r="BE4" i="1"/>
  <c r="BE51" i="1"/>
  <c r="BE50" i="1"/>
  <c r="BE27" i="1"/>
  <c r="BE26" i="1"/>
  <c r="BE65" i="1"/>
  <c r="BE64" i="1"/>
  <c r="BE67" i="1"/>
  <c r="BE66" i="1"/>
  <c r="BE25" i="1"/>
  <c r="BE24" i="1"/>
  <c r="BD39" i="1"/>
  <c r="BD38" i="1"/>
  <c r="BD49" i="1"/>
  <c r="BD48" i="1"/>
  <c r="BD11" i="1"/>
  <c r="BD10" i="1"/>
  <c r="BD9" i="1"/>
  <c r="BD8" i="1"/>
  <c r="BD5" i="1"/>
  <c r="BD4" i="1"/>
  <c r="BD19" i="1"/>
  <c r="BD18" i="1"/>
  <c r="BD23" i="1"/>
  <c r="BD22" i="1"/>
  <c r="BD21" i="1"/>
  <c r="BD20" i="1"/>
  <c r="BD3" i="1"/>
  <c r="BD2" i="1"/>
  <c r="BD55" i="1"/>
  <c r="BD54" i="1"/>
  <c r="BD59" i="1"/>
  <c r="BD58" i="1"/>
  <c r="BD52" i="1"/>
  <c r="BB67" i="1"/>
  <c r="BB66" i="1"/>
  <c r="BB25" i="1"/>
  <c r="BB24" i="1"/>
  <c r="BB65" i="1"/>
  <c r="BB64" i="1"/>
  <c r="BB27" i="1"/>
  <c r="BB26" i="1"/>
  <c r="BB9" i="1"/>
  <c r="BB8" i="1"/>
  <c r="BB37" i="1"/>
  <c r="BB36" i="1"/>
  <c r="AZ68" i="1"/>
  <c r="AZ29" i="1"/>
  <c r="AZ28" i="1"/>
  <c r="AZ45" i="1"/>
  <c r="AZ44" i="1"/>
  <c r="AZ5" i="1"/>
  <c r="AZ4" i="1"/>
  <c r="AZ54" i="1"/>
  <c r="AZ55" i="1"/>
  <c r="AZ23" i="1"/>
  <c r="AZ22" i="1"/>
  <c r="AZ21" i="1"/>
  <c r="AZ20" i="1"/>
  <c r="AZ47" i="1"/>
  <c r="AZ46" i="1"/>
  <c r="AZ19" i="1"/>
  <c r="AZ18" i="1"/>
  <c r="AZ48" i="1"/>
  <c r="AZ24" i="1"/>
  <c r="AZ66" i="1"/>
  <c r="AZ13" i="1"/>
  <c r="AZ12" i="1"/>
  <c r="AZ9" i="1"/>
  <c r="AZ8" i="1"/>
  <c r="AZ14" i="1"/>
  <c r="AZ15" i="1"/>
  <c r="AZ26" i="1"/>
  <c r="AZ56" i="1"/>
  <c r="AZ60" i="1"/>
  <c r="AY42" i="1"/>
  <c r="AY40" i="1"/>
  <c r="AY46" i="1"/>
  <c r="AY2" i="1"/>
  <c r="AY20" i="1"/>
  <c r="AY22" i="1"/>
  <c r="AY44" i="1"/>
  <c r="AY34" i="1"/>
  <c r="AY58" i="1"/>
  <c r="AY52" i="1"/>
  <c r="AX6" i="1"/>
  <c r="AX32" i="1"/>
  <c r="AX30" i="1"/>
  <c r="AX8" i="1"/>
  <c r="AX60" i="1"/>
  <c r="AX56" i="1"/>
  <c r="AX36" i="1"/>
  <c r="AX2" i="1"/>
  <c r="AX38" i="1"/>
  <c r="AX15" i="1"/>
  <c r="AX14" i="1"/>
  <c r="AX17" i="1"/>
  <c r="AX16" i="1"/>
  <c r="AX62" i="1"/>
  <c r="AX70" i="1"/>
  <c r="AW13" i="1"/>
  <c r="AW12" i="1"/>
  <c r="AW42" i="1"/>
  <c r="AW48" i="1"/>
  <c r="AW50" i="1"/>
  <c r="AW52" i="1"/>
  <c r="AW58" i="1"/>
  <c r="AW34" i="1"/>
  <c r="AT10" i="1"/>
  <c r="AT36" i="1"/>
  <c r="AT8" i="1"/>
  <c r="AT32" i="1"/>
  <c r="AT6" i="1"/>
  <c r="AT30" i="1"/>
  <c r="AS54" i="1"/>
  <c r="AS52" i="1"/>
  <c r="AS58" i="1"/>
  <c r="AS62" i="1"/>
  <c r="AS66" i="1"/>
  <c r="AS24" i="1"/>
  <c r="AS16" i="1"/>
  <c r="AS14" i="1"/>
  <c r="AS56" i="1"/>
  <c r="AS60" i="1"/>
  <c r="AS38" i="1"/>
  <c r="AR26" i="1"/>
  <c r="AR12" i="1"/>
  <c r="AR50" i="1"/>
  <c r="AR40" i="1"/>
  <c r="AR48" i="1"/>
  <c r="AR42" i="1"/>
  <c r="AR4" i="1"/>
  <c r="AR44" i="1"/>
  <c r="AR46" i="1"/>
  <c r="AR28" i="1"/>
  <c r="AR2" i="1"/>
  <c r="AQ22" i="1"/>
  <c r="AQ6" i="1"/>
  <c r="AQ32" i="1"/>
  <c r="AQ30" i="1"/>
  <c r="AQ18" i="1"/>
  <c r="AQ20" i="1"/>
  <c r="AQ10" i="1"/>
  <c r="AQ56" i="1"/>
  <c r="AQ60" i="1"/>
  <c r="AQ38" i="1"/>
  <c r="AQ16" i="1"/>
  <c r="AQ15" i="1"/>
  <c r="AQ14" i="1"/>
  <c r="AQ36" i="1"/>
  <c r="AQ8" i="1"/>
  <c r="AP66" i="1"/>
  <c r="AP24" i="1"/>
  <c r="AP48" i="1"/>
  <c r="AP62" i="1"/>
  <c r="AP40" i="1"/>
  <c r="AP42" i="1"/>
  <c r="AP12" i="1"/>
  <c r="AP50" i="1"/>
  <c r="AP26" i="1"/>
  <c r="AP4" i="1"/>
  <c r="AP44" i="1"/>
  <c r="AP28" i="1"/>
  <c r="AP68" i="1"/>
  <c r="AP46" i="1"/>
  <c r="AP2" i="1"/>
  <c r="AP52" i="1"/>
  <c r="AP58" i="1"/>
  <c r="AP34" i="1"/>
  <c r="AP54" i="1"/>
  <c r="AK18" i="1"/>
  <c r="AK22" i="1"/>
  <c r="AK20" i="1"/>
  <c r="AJ2" i="1"/>
  <c r="AJ4" i="1"/>
  <c r="AJ44" i="1"/>
  <c r="AJ28" i="1"/>
  <c r="AJ46" i="1"/>
  <c r="AJ32" i="1"/>
  <c r="AJ30" i="1"/>
  <c r="AJ6" i="1"/>
  <c r="AJ50" i="1"/>
  <c r="AJ26" i="1"/>
  <c r="AJ42" i="1"/>
  <c r="AJ40" i="1"/>
  <c r="AJ10" i="1"/>
  <c r="AJ8" i="1"/>
  <c r="AJ36" i="1"/>
  <c r="AI14" i="1"/>
  <c r="AI16" i="1"/>
  <c r="AI24" i="1"/>
  <c r="AI66" i="1"/>
  <c r="AI12" i="1"/>
  <c r="AI48" i="1"/>
  <c r="AI38" i="1"/>
  <c r="AI56" i="1"/>
  <c r="AI60" i="1"/>
  <c r="AI18" i="1"/>
  <c r="AI22" i="1"/>
  <c r="AI20" i="1"/>
  <c r="AI52" i="1"/>
  <c r="AI58" i="1"/>
  <c r="AI54" i="1"/>
  <c r="AF44" i="1"/>
  <c r="AF4" i="1"/>
  <c r="AF46" i="1"/>
  <c r="AF2" i="1"/>
  <c r="AF40" i="1"/>
  <c r="AF8" i="1"/>
  <c r="AF70" i="1"/>
  <c r="AF62" i="1"/>
  <c r="AF38" i="1"/>
  <c r="AF26" i="1"/>
  <c r="AF50" i="1"/>
  <c r="AE19" i="1"/>
  <c r="AE18" i="1"/>
  <c r="AE23" i="1"/>
  <c r="AE22" i="1"/>
  <c r="AE21" i="1"/>
  <c r="AE20" i="1"/>
  <c r="AE55" i="1"/>
  <c r="AE54" i="1"/>
  <c r="AC71" i="1"/>
  <c r="AC70" i="1"/>
  <c r="AC63" i="1"/>
  <c r="AC62" i="1"/>
  <c r="AC20" i="1"/>
</calcChain>
</file>

<file path=xl/comments1.xml><?xml version="1.0" encoding="utf-8"?>
<comments xmlns="http://schemas.openxmlformats.org/spreadsheetml/2006/main">
  <authors>
    <author>Boedeker, Kryl</author>
    <author>boedekkryl</author>
    <author>davisjime</author>
  </authors>
  <commentList>
    <comment ref="BS6" authorId="0">
      <text>
        <r>
          <rPr>
            <b/>
            <sz val="8"/>
            <color indexed="81"/>
            <rFont val="Tahoma"/>
            <charset val="1"/>
          </rPr>
          <t>Boedeker, Kryl:</t>
        </r>
        <r>
          <rPr>
            <sz val="8"/>
            <color indexed="81"/>
            <rFont val="Tahoma"/>
            <charset val="1"/>
          </rPr>
          <t xml:space="preserve">
Temp Recorder Data
Hours under 32-2hrs
Low temp 28.1</t>
        </r>
      </text>
    </comment>
    <comment ref="BS34" authorId="0">
      <text>
        <r>
          <rPr>
            <b/>
            <sz val="8"/>
            <color indexed="81"/>
            <rFont val="Tahoma"/>
            <charset val="1"/>
          </rPr>
          <t>Boedeker, Kryl:</t>
        </r>
        <r>
          <rPr>
            <sz val="8"/>
            <color indexed="81"/>
            <rFont val="Tahoma"/>
            <charset val="1"/>
          </rPr>
          <t xml:space="preserve">
temp recorder data
Duration 45 min
low temp 31.6</t>
        </r>
      </text>
    </comment>
    <comment ref="BS125" authorId="0">
      <text>
        <r>
          <rPr>
            <b/>
            <sz val="8"/>
            <color indexed="81"/>
            <rFont val="Tahoma"/>
            <charset val="1"/>
          </rPr>
          <t>Boedeker, Kryl:</t>
        </r>
        <r>
          <rPr>
            <sz val="8"/>
            <color indexed="81"/>
            <rFont val="Tahoma"/>
            <charset val="1"/>
          </rPr>
          <t xml:space="preserve">
Temp Recorder Data
Freeze Duration 2hrs 20 min
low temp 30.4</t>
        </r>
      </text>
    </comment>
    <comment ref="J166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BW
Re ran 9-24 for BW</t>
        </r>
      </text>
    </comment>
    <comment ref="Y166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32.75
Michael 31.47</t>
        </r>
      </text>
    </comment>
    <comment ref="J182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JG and whites</t>
        </r>
      </text>
    </comment>
    <comment ref="Y182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 
Kryl 40+
Michael 40+</t>
        </r>
      </text>
    </comment>
    <comment ref="J198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BW</t>
        </r>
      </text>
    </comment>
    <comment ref="Y198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35.63
Michael 33.55</t>
        </r>
      </text>
    </comment>
    <comment ref="J204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9-10 for jg and whites</t>
        </r>
      </text>
    </comment>
    <comment ref="J212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Re-ran 9-9 for Reds
re ran 9-23 for reds</t>
        </r>
      </text>
    </comment>
    <comment ref="Y212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35.15
Michael 33.87
Kryl 36.91
Michael 34.67</t>
        </r>
      </text>
    </comment>
    <comment ref="Y213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33.71
Michael 34.51</t>
        </r>
      </text>
    </comment>
    <comment ref="J224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re ran 9-24 for BW</t>
        </r>
      </text>
    </comment>
    <comment ref="Y226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32.11
Michael 32.75
Kryl 32.39
Michael 32.59</t>
        </r>
      </text>
    </comment>
    <comment ref="Y228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34.19
Micheal 33.55</t>
        </r>
      </text>
    </comment>
    <comment ref="H230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TDA found Ergot 9-3-09
</t>
        </r>
      </text>
    </comment>
    <comment ref="Y230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32.11
Michael 30.2</t>
        </r>
      </text>
    </comment>
    <comment ref="Z234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Tillers only</t>
        </r>
      </text>
    </comment>
    <comment ref="AE234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Tillers AVG 28.5
Main 26.33</t>
        </r>
      </text>
    </comment>
    <comment ref="Y236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 
Kryl 35.47
37.07
Kryl 33.87
Michael 33.87</t>
        </r>
      </text>
    </comment>
    <comment ref="Y237" authorId="1">
      <text>
        <r>
          <rPr>
            <b/>
            <sz val="8"/>
            <color indexed="81"/>
            <rFont val="Tahoma"/>
            <family val="2"/>
          </rPr>
          <t>boedekkryl:</t>
        </r>
        <r>
          <rPr>
            <sz val="8"/>
            <color indexed="81"/>
            <rFont val="Tahoma"/>
            <family val="2"/>
          </rPr>
          <t xml:space="preserve">
Thrasher Test
Kryl 31.16
Michael 36.11
Kryl 34.19
Michael 37.07</t>
        </r>
      </text>
    </comment>
    <comment ref="E256" authorId="2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E258" authorId="2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E264" authorId="2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J278" authorId="2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Reran for JG on 9/10/09</t>
        </r>
      </text>
    </comment>
    <comment ref="J286" authorId="2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Rerun for corn. 10/1/09.</t>
        </r>
      </text>
    </comment>
    <comment ref="E288" authorId="2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Freeze. No Defoliation.</t>
        </r>
      </text>
    </comment>
    <comment ref="J292" authorId="2">
      <text>
        <r>
          <rPr>
            <b/>
            <sz val="10"/>
            <color indexed="81"/>
            <rFont val="Tahoma"/>
            <family val="2"/>
          </rPr>
          <t>davisjime:</t>
        </r>
        <r>
          <rPr>
            <sz val="10"/>
            <color indexed="81"/>
            <rFont val="Tahoma"/>
            <family val="2"/>
          </rPr>
          <t xml:space="preserve">
Reran for VL on 9/22/09 Reran for VL on 9/24/09</t>
        </r>
      </text>
    </comment>
  </commentList>
</comments>
</file>

<file path=xl/sharedStrings.xml><?xml version="1.0" encoding="utf-8"?>
<sst xmlns="http://schemas.openxmlformats.org/spreadsheetml/2006/main" count="1976" uniqueCount="225">
  <si>
    <t>Hybrid</t>
  </si>
  <si>
    <t>Grower</t>
  </si>
  <si>
    <t>Type</t>
  </si>
  <si>
    <t>Defol Date</t>
  </si>
  <si>
    <t>Defol. Paid Date</t>
  </si>
  <si>
    <t>Phyto Cleared for Harvest (Y/N)</t>
  </si>
  <si>
    <t>Certified Cleared for Harvest (Y/N)</t>
  </si>
  <si>
    <t>Female Before Male Harvest (Y/N)</t>
  </si>
  <si>
    <t>Run Color Test at Scale (Y/N)</t>
  </si>
  <si>
    <t>Days From Defol. To Harvest</t>
  </si>
  <si>
    <t>Received copy of Male Scale Tickets</t>
  </si>
  <si>
    <t>Certiflied</t>
  </si>
  <si>
    <t>F</t>
  </si>
  <si>
    <t>M</t>
  </si>
  <si>
    <t>Field No.</t>
  </si>
  <si>
    <t>Request Date</t>
  </si>
  <si>
    <t>Defoliation Reason</t>
  </si>
  <si>
    <t>Most Recent Moisture</t>
  </si>
  <si>
    <t>Date of Most Recent Moisture</t>
  </si>
  <si>
    <t>Date of Approval</t>
  </si>
  <si>
    <t>If rejected, give reason</t>
  </si>
  <si>
    <t>Date</t>
  </si>
  <si>
    <t>Material</t>
  </si>
  <si>
    <t>Field Number</t>
  </si>
  <si>
    <t>Reason For Request</t>
  </si>
  <si>
    <t>Approval Date</t>
  </si>
  <si>
    <t>Reason for Rejection</t>
  </si>
  <si>
    <t>QT Cleared for Harvest (Date)</t>
  </si>
  <si>
    <t>Pre Harvest Rogue Date</t>
  </si>
  <si>
    <t>83G19</t>
  </si>
  <si>
    <t>Moore Project</t>
  </si>
  <si>
    <t>Mental Resources</t>
  </si>
  <si>
    <t>Big Water Farms</t>
  </si>
  <si>
    <t>Dougles Meil</t>
  </si>
  <si>
    <t>Jim Elzner</t>
  </si>
  <si>
    <t>N</t>
  </si>
  <si>
    <t>Y</t>
  </si>
  <si>
    <t>83P17</t>
  </si>
  <si>
    <t>83P99</t>
  </si>
  <si>
    <t>Stan Spain</t>
  </si>
  <si>
    <t>Frontier Farms JV</t>
  </si>
  <si>
    <t>Scott Van Beek</t>
  </si>
  <si>
    <t>Cover Farms</t>
  </si>
  <si>
    <t>Doug Lathem</t>
  </si>
  <si>
    <t>CDF</t>
  </si>
  <si>
    <t>Drost Land</t>
  </si>
  <si>
    <t xml:space="preserve">Doug Lathem </t>
  </si>
  <si>
    <t>82G55</t>
  </si>
  <si>
    <t>84G62</t>
  </si>
  <si>
    <t>84P74</t>
  </si>
  <si>
    <t>84P80</t>
  </si>
  <si>
    <t>86G32</t>
  </si>
  <si>
    <t>86P42</t>
  </si>
  <si>
    <t>87P06</t>
  </si>
  <si>
    <t>85P20</t>
  </si>
  <si>
    <t>PS700</t>
  </si>
  <si>
    <t>849F</t>
  </si>
  <si>
    <t>877F</t>
  </si>
  <si>
    <t>855F</t>
  </si>
  <si>
    <t>Danny Nutt</t>
  </si>
  <si>
    <t>E-Z Farms</t>
  </si>
  <si>
    <t>Chad Byrd</t>
  </si>
  <si>
    <t>Jim Byrd</t>
  </si>
  <si>
    <t>Zach Nutt</t>
  </si>
  <si>
    <t>Nutt Farms Partner.</t>
  </si>
  <si>
    <t>Kyle Burnett</t>
  </si>
  <si>
    <t>MR</t>
  </si>
  <si>
    <t>Jerry Thompson</t>
  </si>
  <si>
    <t xml:space="preserve">       Strunk</t>
  </si>
  <si>
    <t>Donnie Schuman Living Trust</t>
  </si>
  <si>
    <t>Mamma's</t>
  </si>
  <si>
    <t>81G67</t>
  </si>
  <si>
    <t>Keith Watson</t>
  </si>
  <si>
    <t>Record</t>
  </si>
  <si>
    <t>Lone Star Family Farm</t>
  </si>
  <si>
    <t>Frische Farms</t>
  </si>
  <si>
    <t>Brown</t>
  </si>
  <si>
    <t>82G63</t>
  </si>
  <si>
    <t>Sec 55</t>
  </si>
  <si>
    <t>Sec 43</t>
  </si>
  <si>
    <t>Tommy Cartrite</t>
  </si>
  <si>
    <t>Sec 18</t>
  </si>
  <si>
    <t>Craig Stokes</t>
  </si>
  <si>
    <t>82G93</t>
  </si>
  <si>
    <t>N of House</t>
  </si>
  <si>
    <t>The Jones</t>
  </si>
  <si>
    <t>JCW Farms</t>
  </si>
  <si>
    <t>TX Beef</t>
  </si>
  <si>
    <t>82P75</t>
  </si>
  <si>
    <t>Sec 19</t>
  </si>
  <si>
    <t>Mid Dodson</t>
  </si>
  <si>
    <t>82W21</t>
  </si>
  <si>
    <t>Sec 355</t>
  </si>
  <si>
    <t>Powell</t>
  </si>
  <si>
    <t>Heck Farms</t>
  </si>
  <si>
    <t>Troutman</t>
  </si>
  <si>
    <t>Marlin Nickel</t>
  </si>
  <si>
    <t>Ferguson</t>
  </si>
  <si>
    <t>95 SE</t>
  </si>
  <si>
    <t>95 NW</t>
  </si>
  <si>
    <t>Sec 10</t>
  </si>
  <si>
    <t>S Pacman</t>
  </si>
  <si>
    <t>Big Blake</t>
  </si>
  <si>
    <t>Sec 319</t>
  </si>
  <si>
    <t>Strunk I/S</t>
  </si>
  <si>
    <t>Sec 51</t>
  </si>
  <si>
    <t>W Dodson</t>
  </si>
  <si>
    <t>Gavin Johnson</t>
  </si>
  <si>
    <t>O/S</t>
  </si>
  <si>
    <t>Arden Wiebe</t>
  </si>
  <si>
    <t>BIG</t>
  </si>
  <si>
    <t>85P36</t>
  </si>
  <si>
    <t>Sec 42 O/S</t>
  </si>
  <si>
    <t>85Y40</t>
  </si>
  <si>
    <t>I/S</t>
  </si>
  <si>
    <t>MGS406</t>
  </si>
  <si>
    <t>Sec 42 I/S</t>
  </si>
  <si>
    <t>PS305</t>
  </si>
  <si>
    <t>XS0122</t>
  </si>
  <si>
    <t>XS0226</t>
  </si>
  <si>
    <t>XS0478</t>
  </si>
  <si>
    <t>XS9219</t>
  </si>
  <si>
    <t>XS9377</t>
  </si>
  <si>
    <t>NA</t>
  </si>
  <si>
    <t>40+</t>
  </si>
  <si>
    <t>PS607</t>
  </si>
  <si>
    <t>N/A</t>
  </si>
  <si>
    <t>Lonestar Family Farms</t>
  </si>
  <si>
    <t>Grower request</t>
  </si>
  <si>
    <t>Yes</t>
  </si>
  <si>
    <t>9/12/2011, 9/19/11</t>
  </si>
  <si>
    <t>Harvest Aid</t>
  </si>
  <si>
    <t>Jerry Thomson</t>
  </si>
  <si>
    <t>Even Field</t>
  </si>
  <si>
    <t>Side Branching</t>
  </si>
  <si>
    <t xml:space="preserve">Drost Land </t>
  </si>
  <si>
    <t>YS1574</t>
  </si>
  <si>
    <t>YSW161</t>
  </si>
  <si>
    <t>Harv</t>
  </si>
  <si>
    <t>Cover farms</t>
  </si>
  <si>
    <t>Harv.</t>
  </si>
  <si>
    <t>Female below 12% Male remains above 20%</t>
  </si>
  <si>
    <t>Har</t>
  </si>
  <si>
    <t>Grower's header will not fit male bays.</t>
  </si>
  <si>
    <t>Female below 12% Male too wet to take to elevator</t>
  </si>
  <si>
    <t>Field Operations Manager Approval</t>
  </si>
  <si>
    <t>Stan Spain Farms</t>
  </si>
  <si>
    <t>Female Testing 14.2 after rain Male above 20%</t>
  </si>
  <si>
    <t>Male testing wet/to preempt harvester going to Sudan first</t>
  </si>
  <si>
    <t>Female testing dry male 20+</t>
  </si>
  <si>
    <t>Female @12.6% male cutting wet</t>
  </si>
  <si>
    <t>Female 13% male above 18%</t>
  </si>
  <si>
    <t>Female Dry/ Male too wet</t>
  </si>
  <si>
    <t>Female 12% Male 18+</t>
  </si>
  <si>
    <t>Dirty lbs/A</t>
  </si>
  <si>
    <t>Clean lbs/A</t>
  </si>
  <si>
    <t>Water Stressed Y/N</t>
  </si>
  <si>
    <t>Heat Stressed Y/N</t>
  </si>
  <si>
    <t>Missed Nick Y/N</t>
  </si>
  <si>
    <t>Wind Stressed Y/N</t>
  </si>
  <si>
    <t>Grower Abandoned Other Crop To Save Seed</t>
  </si>
  <si>
    <t>Water Availability</t>
  </si>
  <si>
    <t>Comments</t>
  </si>
  <si>
    <t>Crop Sharing Water With</t>
  </si>
  <si>
    <t>Cotton/Wheat</t>
  </si>
  <si>
    <t>Wheat</t>
  </si>
  <si>
    <t>Corn</t>
  </si>
  <si>
    <t>Corn/Cotton</t>
  </si>
  <si>
    <t>Cotton/Corn</t>
  </si>
  <si>
    <t>Cotton</t>
  </si>
  <si>
    <t>None</t>
  </si>
  <si>
    <t>Cotton/Seed</t>
  </si>
  <si>
    <t>Corn/Cotton/Seed</t>
  </si>
  <si>
    <t xml:space="preserve">Target </t>
  </si>
  <si>
    <t>Nick Adjustment Successful Y/N</t>
  </si>
  <si>
    <t>?</t>
  </si>
  <si>
    <t>Explanation of yield loss</t>
  </si>
  <si>
    <t>Not enough water causing severe streaking</t>
  </si>
  <si>
    <t>Poor head emersion due to water stress</t>
  </si>
  <si>
    <t>Poor head emersion due to lack of water</t>
  </si>
  <si>
    <t>Wind damage thined crop and water patern</t>
  </si>
  <si>
    <t>Poor head emergence due to lack of water</t>
  </si>
  <si>
    <t>missed nick/too hot during polunation</t>
  </si>
  <si>
    <t>to hot during polunation</t>
  </si>
  <si>
    <t>too hot during pollunation</t>
  </si>
  <si>
    <t>Wind damage early, thin spots on east side of field</t>
  </si>
  <si>
    <t>COTTON</t>
  </si>
  <si>
    <t>HEAT AND BIRDS, BEST YIELDING SUDAN FIELD.</t>
  </si>
  <si>
    <t>CORN</t>
  </si>
  <si>
    <t>LIMITED PREWATER AND COULD NOT GET CAUGHT UP</t>
  </si>
  <si>
    <t>NONE</t>
  </si>
  <si>
    <t>SHUT WATER OFF TOO SOON AT END OF SEASON</t>
  </si>
  <si>
    <t>ABANDONED COTTON BUT TOO LATE, THIN STANDS MADE MORE THAN THICK STAND</t>
  </si>
  <si>
    <t>WELL PARTIALLY DRIED UP</t>
  </si>
  <si>
    <t>NOT ENOUGH WATER</t>
  </si>
  <si>
    <t>NOT ENOUGH WATER, STARTED OUT BEHIND, COULD NOT CATCH UP</t>
  </si>
  <si>
    <t>HEAT AND WATER STRESS DELAYED THE MALE</t>
  </si>
  <si>
    <t>Field started off dry, erratic emergence</t>
  </si>
  <si>
    <t>Wind damage early, Hybrid low heat tollerance</t>
  </si>
  <si>
    <t>To hot during pollination, Hybrid low heat tollerance</t>
  </si>
  <si>
    <t>Stand alone</t>
  </si>
  <si>
    <t>Wind damage early</t>
  </si>
  <si>
    <t>Erratic plant population, Planter error</t>
  </si>
  <si>
    <t>Water runoff, field is being reworked</t>
  </si>
  <si>
    <t>Female in front of male</t>
  </si>
  <si>
    <t>Not enough water, Hybrid low heat tollerance</t>
  </si>
  <si>
    <t>Hybrid low heat tollerance, hot during pollination</t>
  </si>
  <si>
    <t>Hybrid low heat tollerance</t>
  </si>
  <si>
    <t>Hybrid low heat tollerance, well fell off</t>
  </si>
  <si>
    <t>Bird damage</t>
  </si>
  <si>
    <t>Hot during pollination</t>
  </si>
  <si>
    <t>COTTON/PASTURE</t>
  </si>
  <si>
    <t>Heat and wind delayed female</t>
  </si>
  <si>
    <t>heat and wind delayed female</t>
  </si>
  <si>
    <t>good expression scattered grain due to heat</t>
  </si>
  <si>
    <t>poor head emersion due to lack of water</t>
  </si>
  <si>
    <t>scattered grain due to heat</t>
  </si>
  <si>
    <t>skippy stand due to high heat and wind and poor water pattern</t>
  </si>
  <si>
    <t>started field over due to poor emergence</t>
  </si>
  <si>
    <t>skippy stand due to over watering w/ poor seed bed</t>
  </si>
  <si>
    <t>missed nick due to long m/f delay and heat and wind</t>
  </si>
  <si>
    <t>missed nick due to heat and wind stress</t>
  </si>
  <si>
    <t>low yield due to high heat during pollunation</t>
  </si>
  <si>
    <t>missed nick due to high heat and wind</t>
  </si>
  <si>
    <t>To hot during pollination, Hybrid low heat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</si>
</sst>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m/d/yy;@"/>
    <numFmt numFmtId="166" formatCode="0.0"/>
  </numFmts>
  <fonts count="18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2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theme="0" tint="-4.9989318521683403E-2"/>
      <name val="Arial"/>
      <family val="2"/>
    </font>
    <font>
      <sz val="10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0" fillId="0" borderId="0" xfId="0" applyNumberFormat="1"/>
    <xf numFmtId="0" fontId="1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1" xfId="1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1" fillId="0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3" xfId="1" applyNumberFormat="1" applyFont="1" applyFill="1" applyBorder="1" applyAlignment="1">
      <alignment horizontal="center" wrapText="1"/>
    </xf>
    <xf numFmtId="165" fontId="5" fillId="0" borderId="4" xfId="1" applyNumberFormat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 wrapText="1"/>
    </xf>
    <xf numFmtId="0" fontId="4" fillId="0" borderId="0" xfId="0" applyFont="1" applyAlignment="1"/>
    <xf numFmtId="0" fontId="6" fillId="0" borderId="3" xfId="1" applyFont="1" applyFill="1" applyBorder="1" applyAlignment="1">
      <alignment horizontal="center" vertical="top"/>
    </xf>
    <xf numFmtId="0" fontId="6" fillId="0" borderId="3" xfId="1" applyNumberFormat="1" applyFont="1" applyFill="1" applyBorder="1" applyAlignment="1">
      <alignment horizontal="center" vertical="top" wrapText="1"/>
    </xf>
    <xf numFmtId="0" fontId="6" fillId="0" borderId="3" xfId="1" applyFont="1" applyFill="1" applyBorder="1" applyAlignment="1">
      <alignment horizontal="center" vertical="top" wrapText="1"/>
    </xf>
    <xf numFmtId="164" fontId="6" fillId="0" borderId="3" xfId="1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165" fontId="6" fillId="0" borderId="3" xfId="1" applyNumberFormat="1" applyFont="1" applyFill="1" applyBorder="1" applyAlignment="1">
      <alignment horizontal="center" vertical="top" wrapText="1"/>
    </xf>
    <xf numFmtId="165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66" fontId="1" fillId="0" borderId="1" xfId="1" applyNumberFormat="1" applyFont="1" applyFill="1" applyBorder="1" applyAlignment="1">
      <alignment horizontal="right" wrapText="1"/>
    </xf>
    <xf numFmtId="166" fontId="1" fillId="0" borderId="1" xfId="1" applyNumberFormat="1" applyFont="1" applyFill="1" applyBorder="1" applyAlignment="1">
      <alignment wrapText="1"/>
    </xf>
    <xf numFmtId="166" fontId="0" fillId="0" borderId="0" xfId="0" applyNumberFormat="1"/>
    <xf numFmtId="166" fontId="5" fillId="0" borderId="4" xfId="1" applyNumberFormat="1" applyFont="1" applyFill="1" applyBorder="1" applyAlignment="1">
      <alignment horizontal="center" wrapText="1"/>
    </xf>
    <xf numFmtId="166" fontId="0" fillId="0" borderId="0" xfId="0" applyNumberFormat="1" applyAlignment="1">
      <alignment wrapText="1"/>
    </xf>
    <xf numFmtId="165" fontId="0" fillId="0" borderId="0" xfId="0" applyNumberFormat="1" applyAlignment="1">
      <alignment horizontal="center" wrapText="1"/>
    </xf>
    <xf numFmtId="0" fontId="13" fillId="2" borderId="1" xfId="1" applyNumberFormat="1" applyFont="1" applyFill="1" applyBorder="1" applyAlignment="1">
      <alignment horizontal="center" wrapText="1"/>
    </xf>
    <xf numFmtId="0" fontId="13" fillId="2" borderId="1" xfId="1" applyNumberFormat="1" applyFont="1" applyFill="1" applyBorder="1" applyAlignment="1">
      <alignment wrapText="1"/>
    </xf>
    <xf numFmtId="0" fontId="13" fillId="2" borderId="1" xfId="1" applyFont="1" applyFill="1" applyBorder="1" applyAlignment="1">
      <alignment horizontal="center" wrapText="1"/>
    </xf>
    <xf numFmtId="164" fontId="13" fillId="2" borderId="1" xfId="1" applyNumberFormat="1" applyFont="1" applyFill="1" applyBorder="1" applyAlignment="1">
      <alignment horizontal="center" wrapText="1"/>
    </xf>
    <xf numFmtId="165" fontId="13" fillId="3" borderId="1" xfId="1" applyNumberFormat="1" applyFont="1" applyFill="1" applyBorder="1" applyAlignment="1">
      <alignment horizontal="center" wrapText="1"/>
    </xf>
    <xf numFmtId="165" fontId="13" fillId="2" borderId="1" xfId="1" applyNumberFormat="1" applyFont="1" applyFill="1" applyBorder="1" applyAlignment="1">
      <alignment horizontal="center" wrapText="1"/>
    </xf>
    <xf numFmtId="166" fontId="13" fillId="2" borderId="1" xfId="1" applyNumberFormat="1" applyFont="1" applyFill="1" applyBorder="1" applyAlignment="1">
      <alignment horizontal="right" wrapText="1"/>
    </xf>
    <xf numFmtId="166" fontId="13" fillId="2" borderId="1" xfId="1" applyNumberFormat="1" applyFont="1" applyFill="1" applyBorder="1" applyAlignment="1">
      <alignment wrapText="1"/>
    </xf>
    <xf numFmtId="166" fontId="13" fillId="3" borderId="0" xfId="0" applyNumberFormat="1" applyFont="1" applyFill="1"/>
    <xf numFmtId="0" fontId="13" fillId="3" borderId="0" xfId="0" applyFont="1" applyFill="1"/>
    <xf numFmtId="0" fontId="1" fillId="2" borderId="1" xfId="1" applyNumberFormat="1" applyFont="1" applyFill="1" applyBorder="1" applyAlignment="1">
      <alignment horizontal="center" wrapText="1"/>
    </xf>
    <xf numFmtId="0" fontId="1" fillId="2" borderId="1" xfId="1" applyNumberFormat="1" applyFont="1" applyFill="1" applyBorder="1" applyAlignment="1">
      <alignment wrapText="1"/>
    </xf>
    <xf numFmtId="0" fontId="1" fillId="2" borderId="1" xfId="1" applyFont="1" applyFill="1" applyBorder="1" applyAlignment="1">
      <alignment horizontal="center" wrapText="1"/>
    </xf>
    <xf numFmtId="164" fontId="1" fillId="2" borderId="1" xfId="1" applyNumberFormat="1" applyFont="1" applyFill="1" applyBorder="1" applyAlignment="1">
      <alignment horizontal="center" wrapText="1"/>
    </xf>
    <xf numFmtId="165" fontId="1" fillId="3" borderId="1" xfId="1" applyNumberFormat="1" applyFont="1" applyFill="1" applyBorder="1" applyAlignment="1">
      <alignment horizontal="center" wrapText="1"/>
    </xf>
    <xf numFmtId="165" fontId="1" fillId="2" borderId="1" xfId="1" applyNumberFormat="1" applyFont="1" applyFill="1" applyBorder="1" applyAlignment="1">
      <alignment horizontal="center" wrapText="1"/>
    </xf>
    <xf numFmtId="166" fontId="1" fillId="2" borderId="1" xfId="1" applyNumberFormat="1" applyFont="1" applyFill="1" applyBorder="1" applyAlignment="1">
      <alignment horizontal="right" wrapText="1"/>
    </xf>
    <xf numFmtId="166" fontId="1" fillId="2" borderId="1" xfId="1" applyNumberFormat="1" applyFont="1" applyFill="1" applyBorder="1" applyAlignment="1">
      <alignment wrapText="1"/>
    </xf>
    <xf numFmtId="166" fontId="1" fillId="3" borderId="0" xfId="1" applyNumberFormat="1" applyFill="1"/>
    <xf numFmtId="166" fontId="0" fillId="3" borderId="0" xfId="0" applyNumberFormat="1" applyFill="1"/>
    <xf numFmtId="0" fontId="0" fillId="3" borderId="0" xfId="0" applyFill="1"/>
    <xf numFmtId="164" fontId="1" fillId="3" borderId="1" xfId="1" applyNumberFormat="1" applyFont="1" applyFill="1" applyBorder="1" applyAlignment="1">
      <alignment horizontal="center" wrapText="1"/>
    </xf>
    <xf numFmtId="166" fontId="1" fillId="2" borderId="0" xfId="1" applyNumberFormat="1" applyFont="1" applyFill="1" applyBorder="1" applyAlignment="1">
      <alignment horizontal="right" wrapText="1"/>
    </xf>
    <xf numFmtId="0" fontId="1" fillId="3" borderId="1" xfId="1" applyFont="1" applyFill="1" applyBorder="1" applyAlignment="1">
      <alignment horizontal="center" wrapText="1"/>
    </xf>
    <xf numFmtId="165" fontId="1" fillId="2" borderId="5" xfId="1" applyNumberFormat="1" applyFont="1" applyFill="1" applyBorder="1" applyAlignment="1">
      <alignment horizontal="center" wrapText="1"/>
    </xf>
    <xf numFmtId="0" fontId="1" fillId="2" borderId="6" xfId="1" applyFont="1" applyFill="1" applyBorder="1" applyAlignment="1">
      <alignment horizontal="center" wrapText="1"/>
    </xf>
    <xf numFmtId="165" fontId="1" fillId="3" borderId="0" xfId="1" applyNumberFormat="1" applyFont="1" applyFill="1" applyBorder="1" applyAlignment="1">
      <alignment horizontal="center" wrapText="1"/>
    </xf>
    <xf numFmtId="165" fontId="1" fillId="2" borderId="7" xfId="1" applyNumberFormat="1" applyFont="1" applyFill="1" applyBorder="1" applyAlignment="1">
      <alignment horizontal="center" wrapText="1"/>
    </xf>
    <xf numFmtId="165" fontId="1" fillId="2" borderId="8" xfId="1" applyNumberFormat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>
      <alignment wrapText="1"/>
    </xf>
    <xf numFmtId="166" fontId="1" fillId="3" borderId="1" xfId="1" applyNumberFormat="1" applyFont="1" applyFill="1" applyBorder="1" applyAlignment="1">
      <alignment horizontal="right" wrapText="1"/>
    </xf>
    <xf numFmtId="166" fontId="1" fillId="3" borderId="1" xfId="1" applyNumberFormat="1" applyFont="1" applyFill="1" applyBorder="1" applyAlignment="1">
      <alignment wrapText="1"/>
    </xf>
    <xf numFmtId="166" fontId="1" fillId="3" borderId="0" xfId="1" applyNumberFormat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 wrapText="1"/>
    </xf>
    <xf numFmtId="166" fontId="10" fillId="3" borderId="0" xfId="1" applyNumberFormat="1" applyFont="1" applyFill="1"/>
    <xf numFmtId="166" fontId="10" fillId="3" borderId="0" xfId="0" applyNumberFormat="1" applyFont="1" applyFill="1"/>
    <xf numFmtId="166" fontId="10" fillId="2" borderId="1" xfId="1" applyNumberFormat="1" applyFont="1" applyFill="1" applyBorder="1" applyAlignment="1">
      <alignment horizontal="right" wrapText="1"/>
    </xf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1" fillId="2" borderId="2" xfId="1" applyFont="1" applyFill="1" applyBorder="1" applyAlignment="1">
      <alignment horizontal="center" wrapText="1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1" fillId="0" borderId="1" xfId="1" applyFont="1" applyFill="1" applyBorder="1" applyAlignment="1">
      <alignment horizontal="center" vertical="top"/>
    </xf>
    <xf numFmtId="0" fontId="13" fillId="2" borderId="1" xfId="1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top"/>
    </xf>
    <xf numFmtId="0" fontId="1" fillId="3" borderId="1" xfId="1" applyFont="1" applyFill="1" applyBorder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1" applyFont="1" applyFill="1" applyBorder="1" applyAlignment="1">
      <alignment horizontal="left" vertical="top"/>
    </xf>
    <xf numFmtId="0" fontId="0" fillId="0" borderId="0" xfId="0" applyNumberForma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5" fillId="0" borderId="3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1" fillId="3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right" vertical="top"/>
    </xf>
    <xf numFmtId="0" fontId="6" fillId="3" borderId="1" xfId="1" applyFont="1" applyFill="1" applyBorder="1" applyAlignment="1">
      <alignment horizontal="center" wrapText="1"/>
    </xf>
    <xf numFmtId="165" fontId="1" fillId="3" borderId="8" xfId="1" applyNumberFormat="1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wrapText="1"/>
    </xf>
    <xf numFmtId="0" fontId="1" fillId="2" borderId="8" xfId="1" applyNumberFormat="1" applyFont="1" applyFill="1" applyBorder="1" applyAlignment="1">
      <alignment wrapText="1"/>
    </xf>
    <xf numFmtId="166" fontId="1" fillId="2" borderId="8" xfId="1" applyNumberFormat="1" applyFont="1" applyFill="1" applyBorder="1" applyAlignment="1">
      <alignment horizontal="right" wrapText="1"/>
    </xf>
    <xf numFmtId="166" fontId="1" fillId="2" borderId="8" xfId="1" applyNumberFormat="1" applyFont="1" applyFill="1" applyBorder="1" applyAlignment="1">
      <alignment wrapText="1"/>
    </xf>
    <xf numFmtId="166" fontId="1" fillId="3" borderId="1" xfId="1" applyNumberFormat="1" applyFill="1" applyBorder="1"/>
    <xf numFmtId="166" fontId="0" fillId="3" borderId="1" xfId="0" applyNumberFormat="1" applyFill="1" applyBorder="1"/>
    <xf numFmtId="166" fontId="7" fillId="3" borderId="1" xfId="0" applyNumberFormat="1" applyFont="1" applyFill="1" applyBorder="1"/>
    <xf numFmtId="166" fontId="1" fillId="0" borderId="1" xfId="1" applyNumberFormat="1" applyBorder="1"/>
    <xf numFmtId="166" fontId="0" fillId="0" borderId="1" xfId="0" applyNumberFormat="1" applyBorder="1"/>
    <xf numFmtId="166" fontId="7" fillId="0" borderId="1" xfId="0" applyNumberFormat="1" applyFont="1" applyBorder="1"/>
    <xf numFmtId="166" fontId="13" fillId="3" borderId="1" xfId="1" applyNumberFormat="1" applyFont="1" applyFill="1" applyBorder="1"/>
    <xf numFmtId="166" fontId="13" fillId="3" borderId="1" xfId="0" applyNumberFormat="1" applyFont="1" applyFill="1" applyBorder="1"/>
    <xf numFmtId="0" fontId="1" fillId="4" borderId="1" xfId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right" vertical="top"/>
    </xf>
    <xf numFmtId="0" fontId="5" fillId="4" borderId="1" xfId="1" applyNumberFormat="1" applyFont="1" applyFill="1" applyBorder="1" applyAlignment="1">
      <alignment horizontal="center" wrapText="1"/>
    </xf>
    <xf numFmtId="0" fontId="1" fillId="4" borderId="1" xfId="1" applyNumberFormat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wrapText="1"/>
    </xf>
    <xf numFmtId="164" fontId="1" fillId="4" borderId="1" xfId="1" applyNumberFormat="1" applyFont="1" applyFill="1" applyBorder="1" applyAlignment="1">
      <alignment horizontal="center" wrapText="1"/>
    </xf>
    <xf numFmtId="165" fontId="1" fillId="4" borderId="1" xfId="1" applyNumberFormat="1" applyFont="1" applyFill="1" applyBorder="1" applyAlignment="1">
      <alignment horizontal="center" wrapText="1"/>
    </xf>
    <xf numFmtId="0" fontId="1" fillId="4" borderId="1" xfId="1" applyNumberFormat="1" applyFont="1" applyFill="1" applyBorder="1" applyAlignment="1">
      <alignment wrapText="1"/>
    </xf>
    <xf numFmtId="166" fontId="1" fillId="4" borderId="1" xfId="1" applyNumberFormat="1" applyFont="1" applyFill="1" applyBorder="1" applyAlignment="1">
      <alignment horizontal="right" wrapText="1"/>
    </xf>
    <xf numFmtId="166" fontId="1" fillId="4" borderId="1" xfId="1" applyNumberFormat="1" applyFont="1" applyFill="1" applyBorder="1" applyAlignment="1">
      <alignment wrapText="1"/>
    </xf>
    <xf numFmtId="166" fontId="1" fillId="4" borderId="1" xfId="1" applyNumberFormat="1" applyFill="1" applyBorder="1"/>
    <xf numFmtId="166" fontId="0" fillId="4" borderId="1" xfId="0" applyNumberFormat="1" applyFill="1" applyBorder="1"/>
    <xf numFmtId="166" fontId="7" fillId="4" borderId="1" xfId="0" applyNumberFormat="1" applyFont="1" applyFill="1" applyBorder="1"/>
    <xf numFmtId="166" fontId="0" fillId="4" borderId="0" xfId="0" applyNumberFormat="1" applyFill="1"/>
    <xf numFmtId="0" fontId="0" fillId="4" borderId="0" xfId="0" applyFill="1"/>
    <xf numFmtId="0" fontId="1" fillId="4" borderId="1" xfId="1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center" vertical="top"/>
    </xf>
    <xf numFmtId="165" fontId="14" fillId="4" borderId="1" xfId="1" applyNumberFormat="1" applyFont="1" applyFill="1" applyBorder="1" applyAlignment="1">
      <alignment horizontal="center" wrapText="1"/>
    </xf>
    <xf numFmtId="16" fontId="0" fillId="0" borderId="0" xfId="0" applyNumberFormat="1" applyAlignment="1">
      <alignment horizontal="center" wrapText="1"/>
    </xf>
    <xf numFmtId="166" fontId="3" fillId="4" borderId="1" xfId="0" applyNumberFormat="1" applyFont="1" applyFill="1" applyBorder="1"/>
    <xf numFmtId="166" fontId="1" fillId="4" borderId="1" xfId="1" applyNumberFormat="1" applyFont="1" applyFill="1" applyBorder="1" applyAlignment="1"/>
    <xf numFmtId="14" fontId="1" fillId="4" borderId="1" xfId="1" applyNumberFormat="1" applyFont="1" applyFill="1" applyBorder="1" applyAlignment="1">
      <alignment horizontal="center" wrapText="1"/>
    </xf>
    <xf numFmtId="164" fontId="3" fillId="4" borderId="1" xfId="1" applyNumberFormat="1" applyFont="1" applyFill="1" applyBorder="1" applyAlignment="1">
      <alignment horizontal="center" wrapText="1"/>
    </xf>
    <xf numFmtId="165" fontId="14" fillId="4" borderId="8" xfId="1" applyNumberFormat="1" applyFont="1" applyFill="1" applyBorder="1" applyAlignment="1">
      <alignment horizontal="center" wrapText="1"/>
    </xf>
    <xf numFmtId="165" fontId="1" fillId="4" borderId="8" xfId="1" applyNumberFormat="1" applyFont="1" applyFill="1" applyBorder="1" applyAlignment="1">
      <alignment horizontal="center" wrapText="1"/>
    </xf>
    <xf numFmtId="0" fontId="1" fillId="4" borderId="8" xfId="1" applyFont="1" applyFill="1" applyBorder="1" applyAlignment="1">
      <alignment horizontal="center" wrapText="1"/>
    </xf>
    <xf numFmtId="0" fontId="1" fillId="4" borderId="8" xfId="1" applyNumberFormat="1" applyFont="1" applyFill="1" applyBorder="1" applyAlignment="1">
      <alignment wrapText="1"/>
    </xf>
    <xf numFmtId="166" fontId="1" fillId="4" borderId="8" xfId="1" applyNumberFormat="1" applyFont="1" applyFill="1" applyBorder="1" applyAlignment="1">
      <alignment horizontal="right" wrapText="1"/>
    </xf>
    <xf numFmtId="166" fontId="1" fillId="4" borderId="8" xfId="1" applyNumberFormat="1" applyFont="1" applyFill="1" applyBorder="1" applyAlignment="1">
      <alignment wrapText="1"/>
    </xf>
    <xf numFmtId="166" fontId="1" fillId="4" borderId="8" xfId="1" applyNumberFormat="1" applyFill="1" applyBorder="1"/>
    <xf numFmtId="166" fontId="0" fillId="4" borderId="8" xfId="0" applyNumberFormat="1" applyFill="1" applyBorder="1"/>
    <xf numFmtId="164" fontId="6" fillId="5" borderId="3" xfId="1" applyNumberFormat="1" applyFont="1" applyFill="1" applyBorder="1" applyAlignment="1">
      <alignment horizontal="center" vertical="top" wrapText="1"/>
    </xf>
    <xf numFmtId="0" fontId="0" fillId="4" borderId="1" xfId="0" applyFill="1" applyBorder="1"/>
    <xf numFmtId="164" fontId="1" fillId="6" borderId="1" xfId="1" applyNumberFormat="1" applyFont="1" applyFill="1" applyBorder="1" applyAlignment="1">
      <alignment horizontal="center" wrapText="1"/>
    </xf>
    <xf numFmtId="0" fontId="0" fillId="0" borderId="0" xfId="0" applyFill="1"/>
    <xf numFmtId="0" fontId="1" fillId="0" borderId="1" xfId="1" applyFont="1" applyFill="1" applyBorder="1" applyAlignment="1">
      <alignment horizontal="right" vertical="top"/>
    </xf>
    <xf numFmtId="0" fontId="5" fillId="0" borderId="1" xfId="1" applyNumberFormat="1" applyFont="1" applyFill="1" applyBorder="1" applyAlignment="1">
      <alignment horizontal="center" wrapText="1"/>
    </xf>
    <xf numFmtId="0" fontId="6" fillId="0" borderId="1" xfId="1" applyFont="1" applyFill="1" applyBorder="1" applyAlignment="1">
      <alignment horizontal="center" wrapText="1"/>
    </xf>
    <xf numFmtId="0" fontId="13" fillId="0" borderId="1" xfId="1" applyNumberFormat="1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vertical="top"/>
    </xf>
    <xf numFmtId="0" fontId="0" fillId="0" borderId="0" xfId="0" applyNumberFormat="1" applyFill="1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1" fillId="0" borderId="3" xfId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17" fillId="0" borderId="1" xfId="1" applyFont="1" applyFill="1" applyBorder="1" applyAlignment="1">
      <alignment horizontal="center" wrapText="1"/>
    </xf>
    <xf numFmtId="0" fontId="1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4" xfId="1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Border="1" applyAlignment="1">
      <alignment horizontal="left"/>
    </xf>
    <xf numFmtId="165" fontId="3" fillId="4" borderId="1" xfId="1" applyNumberFormat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K321"/>
  <sheetViews>
    <sheetView zoomScaleNormal="10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F1" sqref="F1"/>
    </sheetView>
  </sheetViews>
  <sheetFormatPr defaultRowHeight="12.75" x14ac:dyDescent="0.2"/>
  <cols>
    <col min="1" max="1" width="23.140625" style="81" customWidth="1"/>
    <col min="2" max="2" width="8.5703125" style="25" customWidth="1"/>
    <col min="3" max="3" width="8.140625" style="25" customWidth="1"/>
    <col min="4" max="4" width="5.140625" style="3" customWidth="1"/>
    <col min="5" max="5" width="6" style="5" customWidth="1"/>
    <col min="6" max="6" width="6.140625" style="5" customWidth="1"/>
    <col min="7" max="7" width="7.85546875" style="3" customWidth="1"/>
    <col min="8" max="8" width="7" style="3" customWidth="1"/>
    <col min="9" max="9" width="7.42578125" style="3" customWidth="1"/>
    <col min="10" max="11" width="7.42578125" style="10" customWidth="1"/>
    <col min="12" max="13" width="8" style="3" customWidth="1"/>
    <col min="14" max="14" width="7" style="1" customWidth="1"/>
    <col min="15" max="15" width="7" style="3" customWidth="1"/>
    <col min="16" max="64" width="5.7109375" customWidth="1"/>
    <col min="65" max="65" width="5.85546875" customWidth="1"/>
    <col min="66" max="141" width="5.7109375" customWidth="1"/>
  </cols>
  <sheetData>
    <row r="1" spans="1:141" s="21" customFormat="1" ht="85.5" customHeight="1" x14ac:dyDescent="0.2">
      <c r="A1" s="17" t="s">
        <v>1</v>
      </c>
      <c r="B1" s="18" t="s">
        <v>14</v>
      </c>
      <c r="C1" s="18" t="s">
        <v>0</v>
      </c>
      <c r="D1" s="19" t="s">
        <v>2</v>
      </c>
      <c r="E1" s="20" t="s">
        <v>3</v>
      </c>
      <c r="F1" s="20" t="s">
        <v>4</v>
      </c>
      <c r="G1" s="19" t="s">
        <v>11</v>
      </c>
      <c r="H1" s="19" t="s">
        <v>5</v>
      </c>
      <c r="I1" s="19" t="s">
        <v>6</v>
      </c>
      <c r="J1" s="22" t="s">
        <v>28</v>
      </c>
      <c r="K1" s="22" t="s">
        <v>27</v>
      </c>
      <c r="L1" s="19" t="s">
        <v>7</v>
      </c>
      <c r="M1" s="19" t="s">
        <v>8</v>
      </c>
      <c r="N1" s="18" t="s">
        <v>9</v>
      </c>
      <c r="O1" s="19" t="s">
        <v>10</v>
      </c>
      <c r="P1" s="20">
        <v>40049</v>
      </c>
      <c r="Q1" s="20">
        <v>40050</v>
      </c>
      <c r="R1" s="20">
        <v>40051</v>
      </c>
      <c r="S1" s="20">
        <v>40052</v>
      </c>
      <c r="T1" s="20">
        <v>40053</v>
      </c>
      <c r="U1" s="20">
        <v>40054</v>
      </c>
      <c r="V1" s="20">
        <v>40055</v>
      </c>
      <c r="W1" s="20">
        <v>40056</v>
      </c>
      <c r="X1" s="20">
        <v>40057</v>
      </c>
      <c r="Y1" s="20">
        <v>40058</v>
      </c>
      <c r="Z1" s="20">
        <v>40059</v>
      </c>
      <c r="AA1" s="20">
        <v>40060</v>
      </c>
      <c r="AB1" s="20">
        <v>40061</v>
      </c>
      <c r="AC1" s="20">
        <v>40062</v>
      </c>
      <c r="AD1" s="20">
        <v>40063</v>
      </c>
      <c r="AE1" s="20">
        <v>40064</v>
      </c>
      <c r="AF1" s="20">
        <v>40065</v>
      </c>
      <c r="AG1" s="20">
        <v>40066</v>
      </c>
      <c r="AH1" s="20">
        <v>40067</v>
      </c>
      <c r="AI1" s="20">
        <v>40068</v>
      </c>
      <c r="AJ1" s="20">
        <v>40069</v>
      </c>
      <c r="AK1" s="20">
        <v>40070</v>
      </c>
      <c r="AL1" s="20">
        <v>40071</v>
      </c>
      <c r="AM1" s="20">
        <v>40072</v>
      </c>
      <c r="AN1" s="20">
        <v>40073</v>
      </c>
      <c r="AO1" s="20">
        <v>40074</v>
      </c>
      <c r="AP1" s="20">
        <v>40075</v>
      </c>
      <c r="AQ1" s="20">
        <v>40076</v>
      </c>
      <c r="AR1" s="20">
        <v>40077</v>
      </c>
      <c r="AS1" s="20">
        <v>40078</v>
      </c>
      <c r="AT1" s="20">
        <v>40079</v>
      </c>
      <c r="AU1" s="20">
        <v>40080</v>
      </c>
      <c r="AV1" s="20">
        <v>40081</v>
      </c>
      <c r="AW1" s="20">
        <v>40082</v>
      </c>
      <c r="AX1" s="20">
        <v>40083</v>
      </c>
      <c r="AY1" s="20">
        <v>40084</v>
      </c>
      <c r="AZ1" s="20">
        <v>40085</v>
      </c>
      <c r="BA1" s="20">
        <v>40086</v>
      </c>
      <c r="BB1" s="20">
        <v>40087</v>
      </c>
      <c r="BC1" s="20">
        <v>40088</v>
      </c>
      <c r="BD1" s="20">
        <v>40089</v>
      </c>
      <c r="BE1" s="20">
        <v>40090</v>
      </c>
      <c r="BF1" s="20">
        <v>40091</v>
      </c>
      <c r="BG1" s="20">
        <v>40092</v>
      </c>
      <c r="BH1" s="20">
        <v>40093</v>
      </c>
      <c r="BI1" s="20">
        <v>40094</v>
      </c>
      <c r="BJ1" s="20">
        <v>40095</v>
      </c>
      <c r="BK1" s="20">
        <v>40096</v>
      </c>
      <c r="BL1" s="20">
        <v>40097</v>
      </c>
      <c r="BM1" s="20">
        <v>40098</v>
      </c>
      <c r="BN1" s="20">
        <v>40099</v>
      </c>
      <c r="BO1" s="20">
        <v>40100</v>
      </c>
      <c r="BP1" s="20">
        <v>40101</v>
      </c>
      <c r="BQ1" s="20">
        <v>40102</v>
      </c>
      <c r="BR1" s="20">
        <v>40103</v>
      </c>
      <c r="BS1" s="136">
        <v>40104</v>
      </c>
      <c r="BT1" s="136">
        <v>40105</v>
      </c>
      <c r="BU1" s="20">
        <v>40106</v>
      </c>
      <c r="BV1" s="20">
        <v>40107</v>
      </c>
      <c r="BW1" s="20">
        <v>40108</v>
      </c>
      <c r="BX1" s="20">
        <v>40109</v>
      </c>
      <c r="BY1" s="20">
        <v>40110</v>
      </c>
      <c r="BZ1" s="20">
        <v>40111</v>
      </c>
      <c r="CA1" s="20">
        <v>40112</v>
      </c>
      <c r="CB1" s="136">
        <v>40113</v>
      </c>
      <c r="CC1" s="136">
        <v>40114</v>
      </c>
      <c r="CD1" s="20">
        <v>40115</v>
      </c>
      <c r="CE1" s="20">
        <v>40116</v>
      </c>
      <c r="CF1" s="20">
        <v>40117</v>
      </c>
      <c r="CG1" s="20">
        <v>40118</v>
      </c>
      <c r="CH1" s="20">
        <v>40119</v>
      </c>
      <c r="CI1" s="20">
        <v>40120</v>
      </c>
      <c r="CJ1" s="20">
        <v>40121</v>
      </c>
      <c r="CK1" s="20">
        <v>40122</v>
      </c>
      <c r="CL1" s="20">
        <v>40123</v>
      </c>
      <c r="CM1" s="20">
        <v>40124</v>
      </c>
      <c r="CN1" s="20">
        <v>40125</v>
      </c>
      <c r="CO1" s="20">
        <v>40126</v>
      </c>
      <c r="CP1" s="20">
        <v>40127</v>
      </c>
      <c r="CQ1" s="20">
        <v>40128</v>
      </c>
      <c r="CR1" s="20">
        <v>40129</v>
      </c>
      <c r="CS1" s="20">
        <v>40130</v>
      </c>
      <c r="CT1" s="20">
        <v>40131</v>
      </c>
      <c r="CU1" s="20">
        <v>40132</v>
      </c>
      <c r="CV1" s="20">
        <v>40133</v>
      </c>
      <c r="CW1" s="20">
        <v>40134</v>
      </c>
      <c r="CX1" s="20">
        <v>40135</v>
      </c>
      <c r="CY1" s="20">
        <v>40136</v>
      </c>
      <c r="CZ1" s="20">
        <v>40137</v>
      </c>
      <c r="DA1" s="20">
        <v>40138</v>
      </c>
      <c r="DB1" s="20">
        <v>40139</v>
      </c>
      <c r="DC1" s="20">
        <v>40140</v>
      </c>
      <c r="DD1" s="20">
        <v>40141</v>
      </c>
      <c r="DE1" s="20">
        <v>40142</v>
      </c>
      <c r="DF1" s="20">
        <v>40143</v>
      </c>
      <c r="DG1" s="20">
        <v>40144</v>
      </c>
      <c r="DH1" s="20">
        <v>40145</v>
      </c>
      <c r="DI1" s="20">
        <v>40146</v>
      </c>
      <c r="DJ1" s="20">
        <v>40147</v>
      </c>
      <c r="DK1" s="20">
        <v>40148</v>
      </c>
      <c r="DL1" s="20">
        <v>40149</v>
      </c>
      <c r="DM1" s="20">
        <v>40150</v>
      </c>
      <c r="DN1" s="20">
        <v>40151</v>
      </c>
      <c r="DO1" s="20">
        <v>40152</v>
      </c>
      <c r="DP1" s="20">
        <v>40153</v>
      </c>
      <c r="DQ1" s="20">
        <v>40154</v>
      </c>
      <c r="DR1" s="20">
        <v>40155</v>
      </c>
      <c r="DS1" s="20">
        <v>40156</v>
      </c>
      <c r="DT1" s="20">
        <v>40157</v>
      </c>
      <c r="DU1" s="20">
        <v>40158</v>
      </c>
      <c r="DV1" s="20">
        <v>40159</v>
      </c>
      <c r="DW1" s="20">
        <v>40160</v>
      </c>
      <c r="DX1" s="20">
        <v>40161</v>
      </c>
      <c r="DY1" s="20">
        <v>40162</v>
      </c>
      <c r="DZ1" s="20">
        <v>40163</v>
      </c>
      <c r="EA1" s="20">
        <v>40164</v>
      </c>
      <c r="EB1" s="20">
        <v>40165</v>
      </c>
      <c r="EC1" s="20">
        <v>40166</v>
      </c>
      <c r="ED1" s="20">
        <v>40167</v>
      </c>
      <c r="EE1" s="20">
        <v>40168</v>
      </c>
      <c r="EF1" s="20">
        <v>40169</v>
      </c>
      <c r="EG1" s="20">
        <v>40170</v>
      </c>
      <c r="EH1" s="20">
        <v>40171</v>
      </c>
      <c r="EI1" s="20">
        <v>40172</v>
      </c>
      <c r="EJ1" s="20">
        <v>40173</v>
      </c>
      <c r="EK1" s="20">
        <v>40174</v>
      </c>
    </row>
    <row r="2" spans="1:141" s="119" customFormat="1" x14ac:dyDescent="0.2">
      <c r="A2" s="120" t="s">
        <v>67</v>
      </c>
      <c r="B2" s="108">
        <v>401</v>
      </c>
      <c r="C2" s="108">
        <v>8133</v>
      </c>
      <c r="D2" s="105" t="s">
        <v>12</v>
      </c>
      <c r="E2" s="127">
        <v>40809</v>
      </c>
      <c r="F2" s="110">
        <v>40826</v>
      </c>
      <c r="G2" s="105" t="s">
        <v>36</v>
      </c>
      <c r="H2" s="105" t="s">
        <v>36</v>
      </c>
      <c r="I2" s="105" t="s">
        <v>36</v>
      </c>
      <c r="J2" s="128">
        <v>40798</v>
      </c>
      <c r="K2" s="129">
        <v>40815</v>
      </c>
      <c r="L2" s="130" t="s">
        <v>36</v>
      </c>
      <c r="M2" s="130" t="s">
        <v>36</v>
      </c>
      <c r="N2" s="131"/>
      <c r="O2" s="130" t="s">
        <v>36</v>
      </c>
      <c r="P2" s="132"/>
      <c r="Q2" s="132"/>
      <c r="R2" s="132"/>
      <c r="S2" s="132"/>
      <c r="T2" s="133"/>
      <c r="U2" s="132"/>
      <c r="V2" s="132"/>
      <c r="W2" s="132"/>
      <c r="X2" s="134"/>
      <c r="Y2" s="132"/>
      <c r="Z2" s="134"/>
      <c r="AA2" s="134"/>
      <c r="AB2" s="134"/>
      <c r="AC2" s="134"/>
      <c r="AD2" s="134"/>
      <c r="AE2" s="133"/>
      <c r="AF2" s="133">
        <f>(29.08+36.91+30.2)/3</f>
        <v>32.063333333333333</v>
      </c>
      <c r="AG2" s="134"/>
      <c r="AH2" s="135"/>
      <c r="AI2" s="135"/>
      <c r="AJ2" s="135">
        <f>(30.36+29.08)/2</f>
        <v>29.72</v>
      </c>
      <c r="AK2" s="135"/>
      <c r="AL2" s="135"/>
      <c r="AM2" s="135"/>
      <c r="AN2" s="135"/>
      <c r="AO2" s="135"/>
      <c r="AP2" s="135">
        <f>(27.64+27.96)/2</f>
        <v>27.8</v>
      </c>
      <c r="AQ2" s="135"/>
      <c r="AR2" s="135">
        <f>(27.8+28.44+26.33)/3</f>
        <v>27.52333333333333</v>
      </c>
      <c r="AS2" s="135"/>
      <c r="AT2" s="135"/>
      <c r="AU2" s="135"/>
      <c r="AV2" s="135"/>
      <c r="AW2" s="135"/>
      <c r="AX2" s="135">
        <f>(18.56+20.75)/2</f>
        <v>19.655000000000001</v>
      </c>
      <c r="AY2" s="135">
        <f>(17.48+19.08+18.9)/3</f>
        <v>18.486666666666668</v>
      </c>
      <c r="AZ2" s="135"/>
      <c r="BA2" s="135"/>
      <c r="BB2" s="135"/>
      <c r="BC2" s="135"/>
      <c r="BD2" s="135">
        <f>(11.7+13.6+12.1)/3</f>
        <v>12.466666666666667</v>
      </c>
      <c r="BE2" s="135">
        <f>(12+12.2+12)/3</f>
        <v>12.066666666666668</v>
      </c>
      <c r="BF2" s="135"/>
      <c r="BG2" s="135"/>
      <c r="BH2" s="135"/>
      <c r="BI2" s="135"/>
      <c r="BJ2" s="135"/>
      <c r="BK2" s="135">
        <f>(14.95+14.75)/2</f>
        <v>14.85</v>
      </c>
      <c r="BL2" s="135"/>
      <c r="BM2" s="135" t="s">
        <v>138</v>
      </c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</row>
    <row r="3" spans="1:141" s="119" customFormat="1" x14ac:dyDescent="0.2">
      <c r="A3" s="106" t="s">
        <v>68</v>
      </c>
      <c r="B3" s="108"/>
      <c r="C3" s="108"/>
      <c r="D3" s="105" t="s">
        <v>13</v>
      </c>
      <c r="E3" s="110"/>
      <c r="F3" s="110"/>
      <c r="G3" s="105"/>
      <c r="H3" s="105"/>
      <c r="I3" s="105"/>
      <c r="J3" s="122"/>
      <c r="K3" s="111"/>
      <c r="L3" s="105"/>
      <c r="M3" s="105"/>
      <c r="N3" s="112"/>
      <c r="O3" s="105"/>
      <c r="P3" s="113"/>
      <c r="Q3" s="113"/>
      <c r="R3" s="113"/>
      <c r="S3" s="113"/>
      <c r="T3" s="114"/>
      <c r="U3" s="113"/>
      <c r="V3" s="113"/>
      <c r="W3" s="113"/>
      <c r="X3" s="115"/>
      <c r="Y3" s="113"/>
      <c r="Z3" s="115"/>
      <c r="AA3" s="115"/>
      <c r="AB3" s="115"/>
      <c r="AC3" s="115"/>
      <c r="AD3" s="115"/>
      <c r="AE3" s="114"/>
      <c r="AF3" s="114">
        <v>29.24</v>
      </c>
      <c r="AG3" s="115"/>
      <c r="AH3" s="116"/>
      <c r="AI3" s="116"/>
      <c r="AJ3" s="116">
        <v>28.44</v>
      </c>
      <c r="AK3" s="116"/>
      <c r="AL3" s="116"/>
      <c r="AM3" s="116"/>
      <c r="AN3" s="116"/>
      <c r="AO3" s="116"/>
      <c r="AP3" s="116">
        <v>27.32</v>
      </c>
      <c r="AQ3" s="116"/>
      <c r="AR3" s="116">
        <v>28.12</v>
      </c>
      <c r="AS3" s="116"/>
      <c r="AT3" s="116"/>
      <c r="AU3" s="116"/>
      <c r="AV3" s="116"/>
      <c r="AW3" s="116"/>
      <c r="AX3" s="116">
        <v>24.48</v>
      </c>
      <c r="AY3" s="116">
        <v>21.62</v>
      </c>
      <c r="AZ3" s="116"/>
      <c r="BA3" s="116"/>
      <c r="BB3" s="116"/>
      <c r="BC3" s="116"/>
      <c r="BD3" s="116">
        <f>(15.5+14+13.4)/3</f>
        <v>14.299999999999999</v>
      </c>
      <c r="BE3" s="116">
        <f>(17.5+18.1)/2</f>
        <v>17.8</v>
      </c>
      <c r="BF3" s="116"/>
      <c r="BG3" s="116"/>
      <c r="BH3" s="116">
        <f>(19.1+18.8+17.2+17)/4</f>
        <v>18.025000000000002</v>
      </c>
      <c r="BI3" s="116"/>
      <c r="BJ3" s="116"/>
      <c r="BK3" s="116">
        <f>(18.9+18.73)/2</f>
        <v>18.814999999999998</v>
      </c>
      <c r="BL3" s="116"/>
      <c r="BM3" s="116"/>
      <c r="BN3" s="116"/>
      <c r="BO3" s="116"/>
      <c r="BP3" s="116"/>
      <c r="BQ3" s="116">
        <f>(13.27+12.83)/2</f>
        <v>13.05</v>
      </c>
      <c r="BR3" s="116"/>
      <c r="BS3" s="116"/>
      <c r="BT3" s="116" t="s">
        <v>138</v>
      </c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8"/>
      <c r="DK3" s="118"/>
      <c r="DL3" s="118"/>
      <c r="DM3" s="118"/>
      <c r="DN3" s="118"/>
      <c r="DO3" s="118"/>
      <c r="DP3" s="118"/>
      <c r="DQ3" s="118"/>
      <c r="DR3" s="118"/>
      <c r="DS3" s="118"/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8"/>
      <c r="EG3" s="118"/>
      <c r="EH3" s="118"/>
      <c r="EI3" s="118"/>
      <c r="EJ3" s="118"/>
      <c r="EK3" s="118"/>
    </row>
    <row r="4" spans="1:141" s="119" customFormat="1" x14ac:dyDescent="0.2">
      <c r="A4" s="120" t="s">
        <v>69</v>
      </c>
      <c r="B4" s="108">
        <v>402</v>
      </c>
      <c r="C4" s="108" t="s">
        <v>71</v>
      </c>
      <c r="D4" s="105" t="s">
        <v>12</v>
      </c>
      <c r="E4" s="110">
        <v>40809</v>
      </c>
      <c r="F4" s="110">
        <v>40826</v>
      </c>
      <c r="G4" s="105" t="s">
        <v>36</v>
      </c>
      <c r="H4" s="105" t="s">
        <v>36</v>
      </c>
      <c r="I4" s="105" t="s">
        <v>36</v>
      </c>
      <c r="J4" s="122">
        <v>40803</v>
      </c>
      <c r="K4" s="111">
        <v>40817</v>
      </c>
      <c r="L4" s="105" t="s">
        <v>35</v>
      </c>
      <c r="M4" s="105" t="s">
        <v>35</v>
      </c>
      <c r="N4" s="112"/>
      <c r="O4" s="105" t="s">
        <v>36</v>
      </c>
      <c r="P4" s="113"/>
      <c r="Q4" s="113"/>
      <c r="R4" s="113"/>
      <c r="S4" s="113"/>
      <c r="T4" s="114"/>
      <c r="U4" s="113"/>
      <c r="V4" s="113"/>
      <c r="W4" s="113"/>
      <c r="X4" s="115"/>
      <c r="Y4" s="113"/>
      <c r="Z4" s="115"/>
      <c r="AA4" s="115"/>
      <c r="AB4" s="115"/>
      <c r="AC4" s="115"/>
      <c r="AD4" s="115"/>
      <c r="AE4" s="114">
        <v>30.68</v>
      </c>
      <c r="AF4" s="114">
        <f>(30.2+30.52+30.04)/3</f>
        <v>30.25333333333333</v>
      </c>
      <c r="AG4" s="115"/>
      <c r="AH4" s="116"/>
      <c r="AI4" s="116"/>
      <c r="AJ4" s="116">
        <f>(28.6+29.88)/2</f>
        <v>29.240000000000002</v>
      </c>
      <c r="AK4" s="116"/>
      <c r="AL4" s="116"/>
      <c r="AM4" s="116"/>
      <c r="AN4" s="116"/>
      <c r="AO4" s="116"/>
      <c r="AP4" s="116">
        <f>(24.43+27.65)/2</f>
        <v>26.04</v>
      </c>
      <c r="AQ4" s="116"/>
      <c r="AR4" s="116">
        <f>(21.7+21.08+26.07)/3</f>
        <v>22.95</v>
      </c>
      <c r="AS4" s="116"/>
      <c r="AT4" s="116"/>
      <c r="AU4" s="116"/>
      <c r="AV4" s="116"/>
      <c r="AW4" s="116"/>
      <c r="AX4" s="116"/>
      <c r="AY4" s="116"/>
      <c r="AZ4" s="116">
        <f>(17.84+14.33)/2</f>
        <v>16.085000000000001</v>
      </c>
      <c r="BA4" s="116"/>
      <c r="BB4" s="116"/>
      <c r="BC4" s="116"/>
      <c r="BD4" s="116">
        <f>(11.2+11.6)/2</f>
        <v>11.399999999999999</v>
      </c>
      <c r="BE4" s="116">
        <f>(14.4+11.9)/2</f>
        <v>13.15</v>
      </c>
      <c r="BF4" s="116"/>
      <c r="BG4" s="116"/>
      <c r="BH4" s="116"/>
      <c r="BI4" s="116"/>
      <c r="BJ4" s="116"/>
      <c r="BK4" s="116"/>
      <c r="BL4" s="116" t="s">
        <v>138</v>
      </c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</row>
    <row r="5" spans="1:141" s="119" customFormat="1" x14ac:dyDescent="0.2">
      <c r="A5" s="106" t="s">
        <v>70</v>
      </c>
      <c r="B5" s="108"/>
      <c r="C5" s="108"/>
      <c r="D5" s="105" t="s">
        <v>13</v>
      </c>
      <c r="E5" s="110"/>
      <c r="F5" s="110"/>
      <c r="G5" s="105"/>
      <c r="H5" s="105"/>
      <c r="I5" s="105"/>
      <c r="J5" s="122"/>
      <c r="K5" s="111"/>
      <c r="L5" s="105"/>
      <c r="M5" s="105"/>
      <c r="N5" s="112"/>
      <c r="O5" s="105"/>
      <c r="P5" s="113"/>
      <c r="Q5" s="113"/>
      <c r="R5" s="113"/>
      <c r="S5" s="113"/>
      <c r="T5" s="114"/>
      <c r="U5" s="113"/>
      <c r="V5" s="113"/>
      <c r="W5" s="113"/>
      <c r="X5" s="115"/>
      <c r="Y5" s="113"/>
      <c r="Z5" s="115"/>
      <c r="AA5" s="115"/>
      <c r="AB5" s="115"/>
      <c r="AC5" s="115"/>
      <c r="AD5" s="115"/>
      <c r="AE5" s="114">
        <v>26.44</v>
      </c>
      <c r="AF5" s="114">
        <v>29.4</v>
      </c>
      <c r="AG5" s="115"/>
      <c r="AH5" s="116"/>
      <c r="AI5" s="116"/>
      <c r="AJ5" s="116">
        <v>26.57</v>
      </c>
      <c r="AK5" s="116"/>
      <c r="AL5" s="116"/>
      <c r="AM5" s="116"/>
      <c r="AN5" s="116"/>
      <c r="AO5" s="116"/>
      <c r="AP5" s="116">
        <v>30.36</v>
      </c>
      <c r="AQ5" s="116"/>
      <c r="AR5" s="116">
        <v>27.32</v>
      </c>
      <c r="AS5" s="116"/>
      <c r="AT5" s="116"/>
      <c r="AU5" s="116"/>
      <c r="AV5" s="116"/>
      <c r="AW5" s="116"/>
      <c r="AX5" s="116"/>
      <c r="AY5" s="116"/>
      <c r="AZ5" s="116">
        <f>(22.48+21.98)/2</f>
        <v>22.23</v>
      </c>
      <c r="BA5" s="116"/>
      <c r="BB5" s="116"/>
      <c r="BC5" s="116"/>
      <c r="BD5" s="116">
        <f>(11.6+11.8)/2</f>
        <v>11.7</v>
      </c>
      <c r="BE5" s="116"/>
      <c r="BF5" s="116"/>
      <c r="BG5" s="116"/>
      <c r="BH5" s="116" t="s">
        <v>138</v>
      </c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</row>
    <row r="6" spans="1:141" s="119" customFormat="1" x14ac:dyDescent="0.2">
      <c r="A6" s="120" t="s">
        <v>72</v>
      </c>
      <c r="B6" s="108">
        <v>403</v>
      </c>
      <c r="C6" s="108" t="s">
        <v>71</v>
      </c>
      <c r="D6" s="105" t="s">
        <v>12</v>
      </c>
      <c r="E6" s="110">
        <v>40818</v>
      </c>
      <c r="F6" s="110"/>
      <c r="G6" s="105" t="s">
        <v>36</v>
      </c>
      <c r="H6" s="105" t="s">
        <v>36</v>
      </c>
      <c r="I6" s="105" t="s">
        <v>36</v>
      </c>
      <c r="J6" s="122">
        <v>40812</v>
      </c>
      <c r="K6" s="111">
        <v>40822</v>
      </c>
      <c r="L6" s="105" t="s">
        <v>36</v>
      </c>
      <c r="M6" s="105" t="s">
        <v>36</v>
      </c>
      <c r="N6" s="112"/>
      <c r="O6" s="105" t="s">
        <v>36</v>
      </c>
      <c r="P6" s="113"/>
      <c r="Q6" s="113"/>
      <c r="R6" s="113"/>
      <c r="S6" s="113"/>
      <c r="T6" s="114"/>
      <c r="U6" s="113"/>
      <c r="V6" s="113"/>
      <c r="W6" s="113"/>
      <c r="X6" s="115"/>
      <c r="Y6" s="113"/>
      <c r="Z6" s="115"/>
      <c r="AA6" s="115"/>
      <c r="AB6" s="115"/>
      <c r="AC6" s="115"/>
      <c r="AD6" s="115"/>
      <c r="AE6" s="114"/>
      <c r="AF6" s="114"/>
      <c r="AG6" s="115"/>
      <c r="AH6" s="116"/>
      <c r="AI6" s="116"/>
      <c r="AJ6" s="116">
        <f>(29.72+34.19)/2</f>
        <v>31.954999999999998</v>
      </c>
      <c r="AK6" s="116"/>
      <c r="AL6" s="116"/>
      <c r="AM6" s="116"/>
      <c r="AN6" s="116"/>
      <c r="AO6" s="116"/>
      <c r="AP6" s="116"/>
      <c r="AQ6" s="116">
        <f>(31.16+30.84)/2</f>
        <v>31</v>
      </c>
      <c r="AR6" s="116"/>
      <c r="AS6" s="116"/>
      <c r="AT6" s="116">
        <f>(31.16+30.36)/2</f>
        <v>30.759999999999998</v>
      </c>
      <c r="AU6" s="116"/>
      <c r="AV6" s="116"/>
      <c r="AW6" s="116"/>
      <c r="AX6" s="116">
        <f>(36.2+35)/2</f>
        <v>35.6</v>
      </c>
      <c r="AY6" s="116"/>
      <c r="AZ6" s="116"/>
      <c r="BA6" s="116">
        <v>26.48</v>
      </c>
      <c r="BB6" s="116"/>
      <c r="BC6" s="116"/>
      <c r="BD6" s="116"/>
      <c r="BE6" s="116"/>
      <c r="BF6" s="116"/>
      <c r="BG6" s="116"/>
      <c r="BH6" s="116">
        <f>(11.6+11.8+11.6)/3</f>
        <v>11.666666666666666</v>
      </c>
      <c r="BI6" s="116"/>
      <c r="BJ6" s="116"/>
      <c r="BK6" s="116"/>
      <c r="BL6" s="116"/>
      <c r="BM6" s="116">
        <v>16.7</v>
      </c>
      <c r="BO6" s="116"/>
      <c r="BP6" s="116"/>
      <c r="BQ6" s="116">
        <f>(13.05+13.16)/2</f>
        <v>13.105</v>
      </c>
      <c r="BR6" s="116">
        <v>16</v>
      </c>
      <c r="BS6" s="116"/>
      <c r="BT6" s="116"/>
      <c r="BU6" s="116"/>
      <c r="BV6" s="116">
        <f>(12+11.9+12.4)/3</f>
        <v>12.1</v>
      </c>
      <c r="BW6" s="116"/>
      <c r="BX6" s="116"/>
      <c r="BY6" s="116" t="s">
        <v>138</v>
      </c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6"/>
      <c r="CX6" s="116"/>
      <c r="CY6" s="116"/>
      <c r="CZ6" s="116"/>
      <c r="DA6" s="116"/>
      <c r="DB6" s="116"/>
      <c r="DC6" s="116"/>
      <c r="DD6" s="116"/>
      <c r="DE6" s="116"/>
      <c r="DF6" s="116"/>
      <c r="DG6" s="116"/>
      <c r="DH6" s="116"/>
      <c r="DI6" s="116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</row>
    <row r="7" spans="1:141" s="119" customFormat="1" x14ac:dyDescent="0.2">
      <c r="A7" s="106" t="s">
        <v>73</v>
      </c>
      <c r="B7" s="107"/>
      <c r="C7" s="108"/>
      <c r="D7" s="105" t="s">
        <v>13</v>
      </c>
      <c r="E7" s="110"/>
      <c r="F7" s="110"/>
      <c r="G7" s="105"/>
      <c r="H7" s="105"/>
      <c r="I7" s="105"/>
      <c r="J7" s="122"/>
      <c r="K7" s="111"/>
      <c r="L7" s="105"/>
      <c r="M7" s="105"/>
      <c r="N7" s="112"/>
      <c r="O7" s="105"/>
      <c r="P7" s="113"/>
      <c r="Q7" s="113"/>
      <c r="R7" s="113"/>
      <c r="S7" s="113"/>
      <c r="T7" s="114"/>
      <c r="U7" s="113"/>
      <c r="V7" s="113"/>
      <c r="W7" s="113"/>
      <c r="X7" s="137"/>
      <c r="Y7" s="137"/>
      <c r="Z7" s="115"/>
      <c r="AA7" s="115"/>
      <c r="AB7" s="115"/>
      <c r="AC7" s="115"/>
      <c r="AD7" s="115"/>
      <c r="AE7" s="114"/>
      <c r="AF7" s="114"/>
      <c r="AG7" s="115"/>
      <c r="AH7" s="116"/>
      <c r="AI7" s="116"/>
      <c r="AJ7" s="116">
        <v>29.08</v>
      </c>
      <c r="AK7" s="116"/>
      <c r="AL7" s="116"/>
      <c r="AM7" s="116"/>
      <c r="AN7" s="116"/>
      <c r="AO7" s="116"/>
      <c r="AP7" s="116"/>
      <c r="AQ7" s="116">
        <v>28.76</v>
      </c>
      <c r="AR7" s="116"/>
      <c r="AS7" s="116"/>
      <c r="AT7" s="116">
        <v>30.43</v>
      </c>
      <c r="AU7" s="116"/>
      <c r="AV7" s="116"/>
      <c r="AW7" s="116"/>
      <c r="AX7" s="116">
        <v>35.4</v>
      </c>
      <c r="AY7" s="116"/>
      <c r="AZ7" s="116"/>
      <c r="BA7" s="116">
        <v>28.3</v>
      </c>
      <c r="BB7" s="116"/>
      <c r="BC7" s="116"/>
      <c r="BD7" s="116"/>
      <c r="BE7" s="116"/>
      <c r="BF7" s="116"/>
      <c r="BG7" s="116"/>
      <c r="BH7" s="116">
        <f>(18+18.2+18)/3</f>
        <v>18.066666666666666</v>
      </c>
      <c r="BI7" s="116"/>
      <c r="BJ7" s="116"/>
      <c r="BK7" s="116"/>
      <c r="BL7" s="116"/>
      <c r="BM7" s="116">
        <v>16.100000000000001</v>
      </c>
      <c r="BN7" s="116"/>
      <c r="BO7" s="116"/>
      <c r="BP7" s="116"/>
      <c r="BQ7" s="116">
        <f>(15.95+15.75)/2</f>
        <v>15.85</v>
      </c>
      <c r="BR7" s="116"/>
      <c r="BS7" s="116"/>
      <c r="BT7" s="116"/>
      <c r="BU7" s="116"/>
      <c r="BV7" s="116">
        <v>19</v>
      </c>
      <c r="BW7" s="116"/>
      <c r="BX7" s="116"/>
      <c r="BY7" s="116"/>
      <c r="BZ7" s="116"/>
      <c r="CA7" s="116"/>
      <c r="CB7" s="116"/>
      <c r="CC7" s="116"/>
      <c r="CD7" s="116"/>
      <c r="CE7" s="116"/>
      <c r="CF7" s="116" t="s">
        <v>138</v>
      </c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8"/>
      <c r="DK7" s="118"/>
      <c r="DL7" s="118"/>
      <c r="DM7" s="118"/>
      <c r="DN7" s="118"/>
      <c r="DO7" s="118"/>
      <c r="DP7" s="118"/>
      <c r="DQ7" s="118"/>
      <c r="DR7" s="118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8"/>
      <c r="EJ7" s="118"/>
      <c r="EK7" s="118"/>
    </row>
    <row r="8" spans="1:141" s="119" customFormat="1" x14ac:dyDescent="0.2">
      <c r="A8" s="120" t="s">
        <v>74</v>
      </c>
      <c r="B8" s="108">
        <v>404</v>
      </c>
      <c r="C8" s="108">
        <v>8282</v>
      </c>
      <c r="D8" s="105" t="s">
        <v>12</v>
      </c>
      <c r="E8" s="110">
        <v>40810</v>
      </c>
      <c r="F8" s="110">
        <v>40864</v>
      </c>
      <c r="G8" s="105" t="s">
        <v>36</v>
      </c>
      <c r="H8" s="105" t="s">
        <v>36</v>
      </c>
      <c r="I8" s="105" t="s">
        <v>36</v>
      </c>
      <c r="J8" s="122">
        <v>40800</v>
      </c>
      <c r="K8" s="111">
        <v>40817</v>
      </c>
      <c r="L8" s="105" t="s">
        <v>36</v>
      </c>
      <c r="M8" s="105" t="s">
        <v>36</v>
      </c>
      <c r="N8" s="112"/>
      <c r="O8" s="105" t="s">
        <v>36</v>
      </c>
      <c r="P8" s="113"/>
      <c r="Q8" s="113"/>
      <c r="R8" s="113"/>
      <c r="S8" s="113"/>
      <c r="T8" s="114"/>
      <c r="U8" s="113"/>
      <c r="V8" s="113"/>
      <c r="W8" s="115"/>
      <c r="X8" s="113"/>
      <c r="Y8" s="113"/>
      <c r="Z8" s="115"/>
      <c r="AA8" s="115"/>
      <c r="AB8" s="115"/>
      <c r="AC8" s="115"/>
      <c r="AD8" s="115"/>
      <c r="AE8" s="114">
        <v>30</v>
      </c>
      <c r="AF8" s="114">
        <f>(30.84+31+29.56)/3</f>
        <v>30.466666666666669</v>
      </c>
      <c r="AG8" s="115"/>
      <c r="AH8" s="116"/>
      <c r="AI8" s="116"/>
      <c r="AJ8" s="116">
        <f>(27.8+29.88)/2</f>
        <v>28.84</v>
      </c>
      <c r="AK8" s="116"/>
      <c r="AL8" s="116"/>
      <c r="AM8" s="116"/>
      <c r="AN8" s="116"/>
      <c r="AO8" s="116"/>
      <c r="AP8" s="116"/>
      <c r="AQ8" s="116">
        <f>(25.78+26.33)/2</f>
        <v>26.055</v>
      </c>
      <c r="AR8" s="116"/>
      <c r="AS8" s="116"/>
      <c r="AT8" s="116">
        <f>(25.48+25.78)/2</f>
        <v>25.630000000000003</v>
      </c>
      <c r="AU8" s="116"/>
      <c r="AV8" s="116"/>
      <c r="AW8" s="116"/>
      <c r="AX8" s="116">
        <f>(26.8+20.08)/2</f>
        <v>23.439999999999998</v>
      </c>
      <c r="AY8" s="116"/>
      <c r="AZ8" s="116">
        <f>(17.66+25.33)/2</f>
        <v>21.494999999999997</v>
      </c>
      <c r="BA8" s="116"/>
      <c r="BB8" s="116">
        <f>(18.38+16.34+18.9)/3</f>
        <v>17.873333333333331</v>
      </c>
      <c r="BC8" s="116"/>
      <c r="BD8" s="116">
        <f>(15.56+14.12+16.73)/3</f>
        <v>15.469999999999999</v>
      </c>
      <c r="BE8" s="116"/>
      <c r="BF8" s="116"/>
      <c r="BG8" s="116"/>
      <c r="BH8" s="116">
        <f>(12.8+12.8+12.6)/3</f>
        <v>12.733333333333334</v>
      </c>
      <c r="BI8" s="116"/>
      <c r="BJ8" s="116"/>
      <c r="BK8" s="116">
        <v>15.75</v>
      </c>
      <c r="BL8" s="116"/>
      <c r="BM8" s="116"/>
      <c r="BN8" s="116">
        <f>(13.2+13.4)/2</f>
        <v>13.3</v>
      </c>
      <c r="BO8" s="116"/>
      <c r="BP8" s="116" t="s">
        <v>138</v>
      </c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6"/>
      <c r="CR8" s="116"/>
      <c r="CS8" s="116"/>
      <c r="CT8" s="116"/>
      <c r="CU8" s="116"/>
      <c r="CV8" s="116"/>
      <c r="CW8" s="116"/>
      <c r="CX8" s="116"/>
      <c r="CY8" s="116"/>
      <c r="CZ8" s="116"/>
      <c r="DA8" s="116"/>
      <c r="DB8" s="116"/>
      <c r="DC8" s="116"/>
      <c r="DD8" s="116"/>
      <c r="DE8" s="116"/>
      <c r="DF8" s="116"/>
      <c r="DG8" s="116"/>
      <c r="DH8" s="116"/>
      <c r="DI8" s="116"/>
      <c r="DJ8" s="118"/>
      <c r="DK8" s="118"/>
      <c r="DL8" s="118"/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8"/>
      <c r="DZ8" s="118"/>
      <c r="EA8" s="118"/>
      <c r="EB8" s="118"/>
      <c r="EC8" s="118"/>
      <c r="ED8" s="118"/>
      <c r="EE8" s="118"/>
      <c r="EF8" s="118"/>
      <c r="EG8" s="118"/>
      <c r="EH8" s="118"/>
      <c r="EI8" s="118"/>
      <c r="EJ8" s="118"/>
      <c r="EK8" s="118"/>
    </row>
    <row r="9" spans="1:141" s="119" customFormat="1" x14ac:dyDescent="0.2">
      <c r="A9" s="106" t="s">
        <v>99</v>
      </c>
      <c r="B9" s="108"/>
      <c r="C9" s="108"/>
      <c r="D9" s="105" t="s">
        <v>13</v>
      </c>
      <c r="E9" s="110"/>
      <c r="F9" s="110"/>
      <c r="G9" s="105"/>
      <c r="H9" s="105"/>
      <c r="I9" s="105"/>
      <c r="J9" s="122"/>
      <c r="K9" s="111"/>
      <c r="L9" s="105"/>
      <c r="M9" s="105"/>
      <c r="N9" s="112"/>
      <c r="O9" s="105"/>
      <c r="P9" s="113"/>
      <c r="Q9" s="113"/>
      <c r="R9" s="113"/>
      <c r="S9" s="113"/>
      <c r="T9" s="114"/>
      <c r="U9" s="113"/>
      <c r="V9" s="113"/>
      <c r="W9" s="113"/>
      <c r="X9" s="115"/>
      <c r="Y9" s="113"/>
      <c r="Z9" s="115"/>
      <c r="AA9" s="115"/>
      <c r="AB9" s="115"/>
      <c r="AC9" s="115"/>
      <c r="AD9" s="115"/>
      <c r="AE9" s="114">
        <v>31.6</v>
      </c>
      <c r="AF9" s="114"/>
      <c r="AG9" s="115"/>
      <c r="AH9" s="116"/>
      <c r="AI9" s="116"/>
      <c r="AJ9" s="116">
        <v>28.44</v>
      </c>
      <c r="AK9" s="116"/>
      <c r="AL9" s="116"/>
      <c r="AM9" s="116"/>
      <c r="AN9" s="116"/>
      <c r="AO9" s="116"/>
      <c r="AP9" s="116"/>
      <c r="AQ9" s="116">
        <v>23.98</v>
      </c>
      <c r="AR9" s="116"/>
      <c r="AS9" s="116"/>
      <c r="AT9" s="116">
        <v>23.48</v>
      </c>
      <c r="AU9" s="116"/>
      <c r="AV9" s="116"/>
      <c r="AW9" s="116"/>
      <c r="AX9" s="116">
        <v>27.64</v>
      </c>
      <c r="AY9" s="116"/>
      <c r="AZ9" s="116">
        <f>(18.2+22.98)/2</f>
        <v>20.59</v>
      </c>
      <c r="BA9" s="116"/>
      <c r="BB9" s="116">
        <f>(18.2+16.92+19.41)/3</f>
        <v>18.176666666666666</v>
      </c>
      <c r="BC9" s="116"/>
      <c r="BD9" s="116">
        <f>(17.1+19.75+18.02)/3</f>
        <v>18.290000000000003</v>
      </c>
      <c r="BE9" s="116"/>
      <c r="BF9" s="116"/>
      <c r="BG9" s="116"/>
      <c r="BH9" s="116">
        <f>(16.4+16.1+16)/3</f>
        <v>16.166666666666668</v>
      </c>
      <c r="BI9" s="116"/>
      <c r="BJ9" s="116"/>
      <c r="BK9" s="116">
        <v>15.56</v>
      </c>
      <c r="BL9" s="116"/>
      <c r="BM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 t="s">
        <v>138</v>
      </c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116"/>
      <c r="DF9" s="116"/>
      <c r="DG9" s="116"/>
      <c r="DH9" s="116"/>
      <c r="DI9" s="116"/>
      <c r="DJ9" s="118"/>
      <c r="DK9" s="118"/>
      <c r="DL9" s="118"/>
      <c r="DM9" s="118"/>
      <c r="DN9" s="118"/>
      <c r="DO9" s="118"/>
      <c r="DP9" s="118"/>
      <c r="DQ9" s="118"/>
      <c r="DR9" s="118"/>
      <c r="DS9" s="118"/>
      <c r="DT9" s="118"/>
      <c r="DU9" s="118"/>
      <c r="DV9" s="118"/>
      <c r="DW9" s="118"/>
      <c r="DX9" s="118"/>
      <c r="DY9" s="118"/>
      <c r="DZ9" s="118"/>
      <c r="EA9" s="118"/>
      <c r="EB9" s="118"/>
      <c r="EC9" s="118"/>
      <c r="ED9" s="118"/>
      <c r="EE9" s="118"/>
      <c r="EF9" s="118"/>
      <c r="EG9" s="118"/>
      <c r="EH9" s="118"/>
      <c r="EI9" s="118"/>
      <c r="EJ9" s="118"/>
      <c r="EK9" s="118"/>
    </row>
    <row r="10" spans="1:141" s="119" customFormat="1" x14ac:dyDescent="0.2">
      <c r="A10" s="120" t="s">
        <v>75</v>
      </c>
      <c r="B10" s="108">
        <v>405</v>
      </c>
      <c r="C10" s="108">
        <v>8282</v>
      </c>
      <c r="D10" s="105" t="s">
        <v>12</v>
      </c>
      <c r="E10" s="110">
        <v>40816</v>
      </c>
      <c r="F10" s="110">
        <v>40837</v>
      </c>
      <c r="G10" s="105" t="s">
        <v>36</v>
      </c>
      <c r="H10" s="105" t="s">
        <v>36</v>
      </c>
      <c r="I10" s="105" t="s">
        <v>36</v>
      </c>
      <c r="J10" s="122">
        <v>40806</v>
      </c>
      <c r="K10" s="111">
        <v>40822</v>
      </c>
      <c r="L10" s="105" t="s">
        <v>36</v>
      </c>
      <c r="M10" s="105" t="s">
        <v>36</v>
      </c>
      <c r="N10" s="112"/>
      <c r="O10" s="105" t="s">
        <v>36</v>
      </c>
      <c r="P10" s="113"/>
      <c r="Q10" s="113"/>
      <c r="R10" s="113"/>
      <c r="S10" s="113"/>
      <c r="T10" s="114"/>
      <c r="U10" s="113"/>
      <c r="V10" s="113"/>
      <c r="W10" s="113"/>
      <c r="X10" s="115"/>
      <c r="Y10" s="113"/>
      <c r="Z10" s="115"/>
      <c r="AA10" s="115"/>
      <c r="AB10" s="115"/>
      <c r="AC10" s="115"/>
      <c r="AD10" s="115"/>
      <c r="AE10" s="114" t="s">
        <v>124</v>
      </c>
      <c r="AF10" s="114"/>
      <c r="AG10" s="115"/>
      <c r="AH10" s="116"/>
      <c r="AI10" s="116"/>
      <c r="AJ10" s="116">
        <f>(25.48+27.48)/2</f>
        <v>26.48</v>
      </c>
      <c r="AK10" s="116"/>
      <c r="AL10" s="116"/>
      <c r="AM10" s="116"/>
      <c r="AN10" s="116"/>
      <c r="AO10" s="116"/>
      <c r="AP10" s="116"/>
      <c r="AQ10" s="116">
        <f>(26.07+21.71)/2</f>
        <v>23.89</v>
      </c>
      <c r="AR10" s="116"/>
      <c r="AS10" s="116"/>
      <c r="AT10" s="116">
        <f>(25.48+25.15)/2</f>
        <v>25.314999999999998</v>
      </c>
      <c r="AU10" s="116"/>
      <c r="AV10" s="116"/>
      <c r="AW10" s="116"/>
      <c r="AX10" s="116">
        <v>19.559999999999999</v>
      </c>
      <c r="AY10" s="116"/>
      <c r="AZ10" s="116"/>
      <c r="BA10" s="116"/>
      <c r="BB10" s="116"/>
      <c r="BC10" s="116"/>
      <c r="BD10" s="116">
        <f>(11.95+11.72+12.39)/3</f>
        <v>12.020000000000001</v>
      </c>
      <c r="BE10" s="116"/>
      <c r="BF10" s="116"/>
      <c r="BG10" s="116"/>
      <c r="BH10" s="116"/>
      <c r="BI10" s="116"/>
      <c r="BJ10" s="116"/>
      <c r="BK10" s="116">
        <f>(14.12+14.02)/2</f>
        <v>14.07</v>
      </c>
      <c r="BL10" s="116"/>
      <c r="BM10" s="116">
        <v>12.83</v>
      </c>
      <c r="BN10" s="116"/>
      <c r="BO10" s="116"/>
      <c r="BP10" s="116" t="s">
        <v>138</v>
      </c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</row>
    <row r="11" spans="1:141" s="119" customFormat="1" x14ac:dyDescent="0.2">
      <c r="A11" s="106" t="s">
        <v>76</v>
      </c>
      <c r="B11" s="108"/>
      <c r="C11" s="108"/>
      <c r="D11" s="105" t="s">
        <v>13</v>
      </c>
      <c r="E11" s="110"/>
      <c r="F11" s="110"/>
      <c r="G11" s="105"/>
      <c r="H11" s="105"/>
      <c r="I11" s="105"/>
      <c r="J11" s="122"/>
      <c r="K11" s="111"/>
      <c r="L11" s="105"/>
      <c r="M11" s="105"/>
      <c r="N11" s="112"/>
      <c r="O11" s="105"/>
      <c r="P11" s="113"/>
      <c r="Q11" s="113"/>
      <c r="R11" s="113"/>
      <c r="S11" s="113"/>
      <c r="T11" s="114"/>
      <c r="U11" s="113"/>
      <c r="V11" s="113"/>
      <c r="W11" s="113"/>
      <c r="X11" s="115"/>
      <c r="Y11" s="113"/>
      <c r="Z11" s="115"/>
      <c r="AA11" s="115"/>
      <c r="AB11" s="115"/>
      <c r="AC11" s="115"/>
      <c r="AD11" s="115"/>
      <c r="AE11" s="114">
        <v>27.32</v>
      </c>
      <c r="AF11" s="114"/>
      <c r="AG11" s="115"/>
      <c r="AH11" s="116"/>
      <c r="AI11" s="117">
        <v>26.8</v>
      </c>
      <c r="AJ11" s="116"/>
      <c r="AK11" s="116"/>
      <c r="AL11" s="116"/>
      <c r="AM11" s="116"/>
      <c r="AN11" s="116"/>
      <c r="AO11" s="116"/>
      <c r="AP11" s="116"/>
      <c r="AQ11" s="116">
        <v>26.57</v>
      </c>
      <c r="AR11" s="116"/>
      <c r="AS11" s="116"/>
      <c r="AT11" s="116">
        <v>26.07</v>
      </c>
      <c r="AU11" s="116"/>
      <c r="AV11" s="116"/>
      <c r="AW11" s="116"/>
      <c r="AX11" s="116">
        <v>25.48</v>
      </c>
      <c r="AY11" s="116"/>
      <c r="AZ11" s="116"/>
      <c r="BA11" s="116"/>
      <c r="BB11" s="116"/>
      <c r="BC11" s="116"/>
      <c r="BD11" s="116">
        <f>(17.84+14.75+20.24)/3</f>
        <v>17.61</v>
      </c>
      <c r="BE11" s="116"/>
      <c r="BF11" s="116"/>
      <c r="BG11" s="116"/>
      <c r="BH11" s="116"/>
      <c r="BI11" s="116"/>
      <c r="BJ11" s="116"/>
      <c r="BK11" s="116">
        <f>(17.8+17.66)/2</f>
        <v>17.73</v>
      </c>
      <c r="BL11" s="116"/>
      <c r="BM11" s="116">
        <v>16.920000000000002</v>
      </c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 t="s">
        <v>138</v>
      </c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</row>
    <row r="12" spans="1:141" s="119" customFormat="1" x14ac:dyDescent="0.2">
      <c r="A12" s="120" t="s">
        <v>74</v>
      </c>
      <c r="B12" s="108">
        <v>406</v>
      </c>
      <c r="C12" s="108" t="s">
        <v>77</v>
      </c>
      <c r="D12" s="105" t="s">
        <v>12</v>
      </c>
      <c r="E12" s="110">
        <v>40816</v>
      </c>
      <c r="F12" s="110">
        <v>40864</v>
      </c>
      <c r="G12" s="105" t="s">
        <v>36</v>
      </c>
      <c r="H12" s="105" t="s">
        <v>36</v>
      </c>
      <c r="I12" s="105" t="s">
        <v>36</v>
      </c>
      <c r="J12" s="122">
        <v>40808</v>
      </c>
      <c r="K12" s="111">
        <v>40822</v>
      </c>
      <c r="L12" s="105" t="s">
        <v>35</v>
      </c>
      <c r="M12" s="105" t="s">
        <v>35</v>
      </c>
      <c r="N12" s="112"/>
      <c r="O12" s="105" t="s">
        <v>36</v>
      </c>
      <c r="P12" s="113"/>
      <c r="Q12" s="113"/>
      <c r="R12" s="113"/>
      <c r="S12" s="113"/>
      <c r="T12" s="114"/>
      <c r="U12" s="113"/>
      <c r="V12" s="113"/>
      <c r="W12" s="113"/>
      <c r="X12" s="115"/>
      <c r="Y12" s="113"/>
      <c r="Z12" s="115"/>
      <c r="AA12" s="115"/>
      <c r="AB12" s="115"/>
      <c r="AC12" s="115"/>
      <c r="AD12" s="115"/>
      <c r="AE12" s="114" t="s">
        <v>124</v>
      </c>
      <c r="AF12" s="114"/>
      <c r="AG12" s="115"/>
      <c r="AH12" s="116"/>
      <c r="AI12" s="117">
        <f>(33.23+35.31)/2</f>
        <v>34.269999999999996</v>
      </c>
      <c r="AJ12" s="116"/>
      <c r="AK12" s="116"/>
      <c r="AL12" s="116"/>
      <c r="AM12" s="116"/>
      <c r="AN12" s="116"/>
      <c r="AO12" s="116"/>
      <c r="AP12" s="116">
        <f>(30.52+31.63)/2</f>
        <v>31.074999999999999</v>
      </c>
      <c r="AQ12" s="116"/>
      <c r="AR12" s="116">
        <f>(30.52+31.95)/2</f>
        <v>31.234999999999999</v>
      </c>
      <c r="AS12" s="116"/>
      <c r="AT12" s="116"/>
      <c r="AU12" s="116"/>
      <c r="AV12" s="116"/>
      <c r="AW12" s="116">
        <f>(29.56+28.76)/2</f>
        <v>29.16</v>
      </c>
      <c r="AX12" s="116"/>
      <c r="AY12" s="116"/>
      <c r="AZ12" s="116">
        <f>(28.76+29.08)/2</f>
        <v>28.92</v>
      </c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>
        <v>19.59</v>
      </c>
      <c r="BL12" s="116"/>
      <c r="BM12" s="116"/>
      <c r="BN12" s="116"/>
      <c r="BO12" s="116">
        <f>(15.95+16.34)/2</f>
        <v>16.145</v>
      </c>
      <c r="BP12" s="116"/>
      <c r="BQ12" s="116">
        <f>(18.6+17.7)/2</f>
        <v>18.149999999999999</v>
      </c>
      <c r="BR12" s="116"/>
      <c r="BS12" s="116"/>
      <c r="BT12" s="116">
        <f>(19+19.3)/2</f>
        <v>19.149999999999999</v>
      </c>
      <c r="BU12" s="116"/>
      <c r="BV12" s="116"/>
      <c r="BW12" s="116" t="s">
        <v>138</v>
      </c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</row>
    <row r="13" spans="1:141" s="119" customFormat="1" x14ac:dyDescent="0.2">
      <c r="A13" s="106" t="s">
        <v>78</v>
      </c>
      <c r="B13" s="107"/>
      <c r="C13" s="108"/>
      <c r="D13" s="105" t="s">
        <v>13</v>
      </c>
      <c r="E13" s="110"/>
      <c r="F13" s="110"/>
      <c r="G13" s="105"/>
      <c r="H13" s="105"/>
      <c r="I13" s="105"/>
      <c r="J13" s="122"/>
      <c r="K13" s="111"/>
      <c r="L13" s="105"/>
      <c r="M13" s="105"/>
      <c r="N13" s="112"/>
      <c r="O13" s="105"/>
      <c r="P13" s="113"/>
      <c r="Q13" s="113"/>
      <c r="R13" s="113"/>
      <c r="S13" s="113"/>
      <c r="T13" s="114"/>
      <c r="U13" s="113"/>
      <c r="V13" s="113"/>
      <c r="W13" s="113"/>
      <c r="X13" s="115"/>
      <c r="Y13" s="113"/>
      <c r="Z13" s="115"/>
      <c r="AA13" s="115"/>
      <c r="AB13" s="115"/>
      <c r="AC13" s="115"/>
      <c r="AD13" s="115"/>
      <c r="AE13" s="114" t="s">
        <v>124</v>
      </c>
      <c r="AF13" s="114"/>
      <c r="AG13" s="115"/>
      <c r="AH13" s="116"/>
      <c r="AI13" s="117">
        <v>35.950000000000003</v>
      </c>
      <c r="AJ13" s="116"/>
      <c r="AK13" s="116"/>
      <c r="AL13" s="116"/>
      <c r="AM13" s="116"/>
      <c r="AN13" s="116"/>
      <c r="AO13" s="116"/>
      <c r="AP13" s="116">
        <v>32.75</v>
      </c>
      <c r="AQ13" s="116"/>
      <c r="AR13" s="116">
        <v>35.31</v>
      </c>
      <c r="AS13" s="116"/>
      <c r="AT13" s="116"/>
      <c r="AU13" s="116"/>
      <c r="AV13" s="116"/>
      <c r="AW13" s="116">
        <f>(30.84+30.84)/2</f>
        <v>30.84</v>
      </c>
      <c r="AX13" s="116"/>
      <c r="AY13" s="116"/>
      <c r="AZ13" s="116">
        <f>(30.52+28.92)/2</f>
        <v>29.72</v>
      </c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>
        <v>24.78</v>
      </c>
      <c r="BL13" s="116"/>
      <c r="BM13" s="116"/>
      <c r="BN13" s="116"/>
      <c r="BO13" s="116">
        <f>(17.29+16.53)/2</f>
        <v>16.91</v>
      </c>
      <c r="BP13" s="116"/>
      <c r="BQ13" s="116"/>
      <c r="BR13" s="116"/>
      <c r="BS13" s="116"/>
      <c r="BT13" s="116">
        <f>(20.3+20+20.3)/3</f>
        <v>20.2</v>
      </c>
      <c r="BU13" s="116"/>
      <c r="BV13" s="116" t="s">
        <v>138</v>
      </c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116"/>
      <c r="DF13" s="116"/>
      <c r="DG13" s="116"/>
      <c r="DH13" s="116"/>
      <c r="DI13" s="116"/>
      <c r="DJ13" s="118"/>
      <c r="DK13" s="118"/>
      <c r="DL13" s="118"/>
      <c r="DM13" s="118"/>
      <c r="DN13" s="118"/>
      <c r="DO13" s="118"/>
      <c r="DP13" s="118"/>
      <c r="DQ13" s="118"/>
      <c r="DR13" s="118"/>
      <c r="DS13" s="118"/>
      <c r="DT13" s="118"/>
      <c r="DU13" s="118"/>
      <c r="DV13" s="118"/>
      <c r="DW13" s="118"/>
      <c r="DX13" s="118"/>
      <c r="DY13" s="118"/>
      <c r="DZ13" s="118"/>
      <c r="EA13" s="118"/>
      <c r="EB13" s="118"/>
      <c r="EC13" s="118"/>
      <c r="ED13" s="118"/>
      <c r="EE13" s="118"/>
      <c r="EF13" s="118"/>
      <c r="EG13" s="118"/>
      <c r="EH13" s="118"/>
      <c r="EI13" s="118"/>
      <c r="EJ13" s="118"/>
      <c r="EK13" s="118"/>
    </row>
    <row r="14" spans="1:141" s="119" customFormat="1" x14ac:dyDescent="0.2">
      <c r="A14" s="120" t="s">
        <v>74</v>
      </c>
      <c r="B14" s="108">
        <v>407</v>
      </c>
      <c r="C14" s="108" t="s">
        <v>77</v>
      </c>
      <c r="D14" s="105" t="s">
        <v>12</v>
      </c>
      <c r="E14" s="110">
        <v>40816</v>
      </c>
      <c r="F14" s="110">
        <v>40864</v>
      </c>
      <c r="G14" s="105" t="s">
        <v>36</v>
      </c>
      <c r="H14" s="105" t="s">
        <v>36</v>
      </c>
      <c r="I14" s="105" t="s">
        <v>36</v>
      </c>
      <c r="J14" s="122">
        <v>40802</v>
      </c>
      <c r="K14" s="111">
        <v>40821</v>
      </c>
      <c r="L14" s="105" t="s">
        <v>35</v>
      </c>
      <c r="M14" s="105" t="s">
        <v>35</v>
      </c>
      <c r="N14" s="112"/>
      <c r="O14" s="105" t="s">
        <v>36</v>
      </c>
      <c r="P14" s="113"/>
      <c r="Q14" s="113"/>
      <c r="R14" s="113"/>
      <c r="S14" s="113"/>
      <c r="T14" s="114"/>
      <c r="U14" s="113"/>
      <c r="V14" s="113"/>
      <c r="W14" s="113"/>
      <c r="X14" s="115"/>
      <c r="Y14" s="113"/>
      <c r="Z14" s="115"/>
      <c r="AA14" s="115"/>
      <c r="AB14" s="115"/>
      <c r="AC14" s="115"/>
      <c r="AD14" s="115"/>
      <c r="AE14" s="114">
        <v>37.869999999999997</v>
      </c>
      <c r="AF14" s="114"/>
      <c r="AG14" s="115"/>
      <c r="AH14" s="116"/>
      <c r="AI14" s="117">
        <f>(31.79+30.85)/2</f>
        <v>31.32</v>
      </c>
      <c r="AJ14" s="116"/>
      <c r="AK14" s="116">
        <v>30.68</v>
      </c>
      <c r="AL14" s="116"/>
      <c r="AM14" s="116"/>
      <c r="AN14" s="116"/>
      <c r="AO14" s="116"/>
      <c r="AP14" s="116"/>
      <c r="AQ14" s="116">
        <f>(31.47+28.88)/2</f>
        <v>30.174999999999997</v>
      </c>
      <c r="AR14" s="116"/>
      <c r="AS14" s="116">
        <f>(28.28+29.09)/2</f>
        <v>28.685000000000002</v>
      </c>
      <c r="AT14" s="116"/>
      <c r="AU14" s="116"/>
      <c r="AV14" s="116"/>
      <c r="AW14" s="116"/>
      <c r="AX14" s="116">
        <f>(26.8+27.32)/2</f>
        <v>27.060000000000002</v>
      </c>
      <c r="AY14" s="116"/>
      <c r="AZ14" s="116">
        <f>(21.87+22.32)/2</f>
        <v>22.094999999999999</v>
      </c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>
        <f>(16.53+18.73)/2</f>
        <v>17.630000000000003</v>
      </c>
      <c r="BL14" s="116"/>
      <c r="BM14" s="116"/>
      <c r="BN14" s="116"/>
      <c r="BO14" s="116">
        <f>(13.3+13.1)/2</f>
        <v>13.2</v>
      </c>
      <c r="BP14" s="116"/>
      <c r="BQ14" s="116">
        <f>(14.9+14.8)/2</f>
        <v>14.850000000000001</v>
      </c>
      <c r="BR14" s="116"/>
      <c r="BS14" s="116"/>
      <c r="BT14" s="116" t="s">
        <v>138</v>
      </c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8"/>
      <c r="DK14" s="118"/>
      <c r="DL14" s="118"/>
      <c r="DM14" s="118"/>
      <c r="DN14" s="118"/>
      <c r="DO14" s="118"/>
      <c r="DP14" s="118"/>
      <c r="DQ14" s="118"/>
      <c r="DR14" s="118"/>
      <c r="DS14" s="118"/>
      <c r="DT14" s="118"/>
      <c r="DU14" s="118"/>
      <c r="DV14" s="118"/>
      <c r="DW14" s="118"/>
      <c r="DX14" s="118"/>
      <c r="DY14" s="118"/>
      <c r="DZ14" s="118"/>
      <c r="EA14" s="118"/>
      <c r="EB14" s="118"/>
      <c r="EC14" s="118"/>
      <c r="ED14" s="118"/>
      <c r="EE14" s="118"/>
      <c r="EF14" s="118"/>
      <c r="EG14" s="118"/>
      <c r="EH14" s="118"/>
      <c r="EI14" s="118"/>
      <c r="EJ14" s="118"/>
      <c r="EK14" s="118"/>
    </row>
    <row r="15" spans="1:141" s="119" customFormat="1" x14ac:dyDescent="0.2">
      <c r="A15" s="106" t="s">
        <v>79</v>
      </c>
      <c r="B15" s="108"/>
      <c r="C15" s="108"/>
      <c r="D15" s="105" t="s">
        <v>13</v>
      </c>
      <c r="E15" s="110"/>
      <c r="F15" s="110"/>
      <c r="G15" s="105"/>
      <c r="H15" s="105"/>
      <c r="I15" s="105"/>
      <c r="J15" s="122"/>
      <c r="K15" s="111"/>
      <c r="L15" s="105"/>
      <c r="M15" s="105"/>
      <c r="N15" s="112"/>
      <c r="O15" s="105"/>
      <c r="P15" s="113"/>
      <c r="Q15" s="113"/>
      <c r="R15" s="113"/>
      <c r="S15" s="113"/>
      <c r="T15" s="114"/>
      <c r="U15" s="113"/>
      <c r="V15" s="113"/>
      <c r="W15" s="113"/>
      <c r="X15" s="115"/>
      <c r="Y15" s="113"/>
      <c r="Z15" s="115"/>
      <c r="AA15" s="115"/>
      <c r="AB15" s="115"/>
      <c r="AC15" s="115"/>
      <c r="AD15" s="115"/>
      <c r="AE15" s="114">
        <v>37.229999999999997</v>
      </c>
      <c r="AF15" s="114"/>
      <c r="AG15" s="115"/>
      <c r="AH15" s="116"/>
      <c r="AI15" s="117">
        <v>30.75</v>
      </c>
      <c r="AJ15" s="116"/>
      <c r="AK15" s="116">
        <v>32.75</v>
      </c>
      <c r="AL15" s="116"/>
      <c r="AM15" s="116"/>
      <c r="AN15" s="116"/>
      <c r="AO15" s="116"/>
      <c r="AP15" s="116"/>
      <c r="AQ15" s="116">
        <f>(31.16+31)/2</f>
        <v>31.08</v>
      </c>
      <c r="AR15" s="116"/>
      <c r="AS15" s="116">
        <v>29.56</v>
      </c>
      <c r="AT15" s="116"/>
      <c r="AU15" s="116"/>
      <c r="AV15" s="116"/>
      <c r="AW15" s="116"/>
      <c r="AX15" s="116">
        <f>(27.48+27.96)/2</f>
        <v>27.72</v>
      </c>
      <c r="AY15" s="116"/>
      <c r="AZ15" s="116">
        <f>(25.48+29.08)/2</f>
        <v>27.28</v>
      </c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>
        <f>(20.71+17.48)/2</f>
        <v>19.094999999999999</v>
      </c>
      <c r="BL15" s="116"/>
      <c r="BM15" s="116"/>
      <c r="BN15" s="116"/>
      <c r="BO15" s="116">
        <f>(13.6+13.4)/2</f>
        <v>13.5</v>
      </c>
      <c r="BP15" s="116"/>
      <c r="BQ15" s="116"/>
      <c r="BR15" s="116" t="s">
        <v>138</v>
      </c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</row>
    <row r="16" spans="1:141" s="119" customFormat="1" x14ac:dyDescent="0.2">
      <c r="A16" s="120" t="s">
        <v>80</v>
      </c>
      <c r="B16" s="108">
        <v>408</v>
      </c>
      <c r="C16" s="108" t="s">
        <v>77</v>
      </c>
      <c r="D16" s="105" t="s">
        <v>12</v>
      </c>
      <c r="E16" s="110">
        <v>40816</v>
      </c>
      <c r="F16" s="110">
        <v>40826</v>
      </c>
      <c r="G16" s="105" t="s">
        <v>36</v>
      </c>
      <c r="H16" s="105" t="s">
        <v>36</v>
      </c>
      <c r="I16" s="105" t="s">
        <v>36</v>
      </c>
      <c r="J16" s="122">
        <v>40808</v>
      </c>
      <c r="K16" s="111">
        <v>40821</v>
      </c>
      <c r="L16" s="105" t="s">
        <v>35</v>
      </c>
      <c r="M16" s="105" t="s">
        <v>35</v>
      </c>
      <c r="N16" s="112"/>
      <c r="O16" s="105" t="s">
        <v>36</v>
      </c>
      <c r="P16" s="113"/>
      <c r="Q16" s="113"/>
      <c r="R16" s="113"/>
      <c r="S16" s="113"/>
      <c r="T16" s="114"/>
      <c r="U16" s="113"/>
      <c r="V16" s="113"/>
      <c r="W16" s="113"/>
      <c r="X16" s="115"/>
      <c r="Y16" s="113"/>
      <c r="Z16" s="115"/>
      <c r="AA16" s="115"/>
      <c r="AB16" s="115"/>
      <c r="AC16" s="115"/>
      <c r="AD16" s="115"/>
      <c r="AE16" s="114"/>
      <c r="AF16" s="114">
        <v>32.590000000000003</v>
      </c>
      <c r="AG16" s="115"/>
      <c r="AH16" s="116"/>
      <c r="AI16" s="117">
        <f>(30.68+30.36)/2</f>
        <v>30.52</v>
      </c>
      <c r="AJ16" s="116"/>
      <c r="AK16" s="116">
        <v>30.04</v>
      </c>
      <c r="AL16" s="116"/>
      <c r="AM16" s="116"/>
      <c r="AN16" s="116"/>
      <c r="AO16" s="116"/>
      <c r="AP16" s="116"/>
      <c r="AQ16" s="116">
        <f>(28.6+27.64)/2</f>
        <v>28.12</v>
      </c>
      <c r="AR16" s="116"/>
      <c r="AS16" s="116">
        <f>(26.07+26)/2</f>
        <v>26.035</v>
      </c>
      <c r="AT16" s="116"/>
      <c r="AU16" s="116"/>
      <c r="AV16" s="116"/>
      <c r="AW16" s="116"/>
      <c r="AX16" s="116">
        <f>(27.8+17.53)/2</f>
        <v>22.664999999999999</v>
      </c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>
        <f>(14.95+18.38)/2</f>
        <v>16.664999999999999</v>
      </c>
      <c r="BL16" s="116"/>
      <c r="BM16" s="116"/>
      <c r="BN16" s="116"/>
      <c r="BO16" s="116">
        <f>(12+11.9)/2</f>
        <v>11.95</v>
      </c>
      <c r="BP16" s="116"/>
      <c r="BQ16" s="116" t="s">
        <v>138</v>
      </c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  <c r="CX16" s="116"/>
      <c r="CY16" s="116"/>
      <c r="CZ16" s="116"/>
      <c r="DA16" s="116"/>
      <c r="DB16" s="116"/>
      <c r="DC16" s="116"/>
      <c r="DD16" s="116"/>
      <c r="DE16" s="116"/>
      <c r="DF16" s="116"/>
      <c r="DG16" s="116"/>
      <c r="DH16" s="116"/>
      <c r="DI16" s="116"/>
      <c r="DJ16" s="118"/>
      <c r="DK16" s="118"/>
      <c r="DL16" s="118"/>
      <c r="DM16" s="118"/>
      <c r="DN16" s="118"/>
      <c r="DO16" s="118"/>
      <c r="DP16" s="118"/>
      <c r="DQ16" s="118"/>
      <c r="DR16" s="118"/>
      <c r="DS16" s="118"/>
      <c r="DT16" s="118"/>
      <c r="DU16" s="118"/>
      <c r="DV16" s="118"/>
      <c r="DW16" s="118"/>
      <c r="DX16" s="118"/>
      <c r="DY16" s="118"/>
      <c r="DZ16" s="118"/>
      <c r="EA16" s="118"/>
      <c r="EB16" s="118"/>
      <c r="EC16" s="118"/>
      <c r="ED16" s="118"/>
      <c r="EE16" s="118"/>
      <c r="EF16" s="118"/>
      <c r="EG16" s="118"/>
      <c r="EH16" s="118"/>
      <c r="EI16" s="118"/>
      <c r="EJ16" s="118"/>
      <c r="EK16" s="118"/>
    </row>
    <row r="17" spans="1:141" s="119" customFormat="1" x14ac:dyDescent="0.2">
      <c r="A17" s="106" t="s">
        <v>81</v>
      </c>
      <c r="B17" s="108"/>
      <c r="C17" s="108"/>
      <c r="D17" s="105" t="s">
        <v>13</v>
      </c>
      <c r="E17" s="110"/>
      <c r="F17" s="110"/>
      <c r="G17" s="105"/>
      <c r="H17" s="105"/>
      <c r="I17" s="105"/>
      <c r="J17" s="122"/>
      <c r="K17" s="111"/>
      <c r="L17" s="105"/>
      <c r="M17" s="105"/>
      <c r="N17" s="112"/>
      <c r="O17" s="105"/>
      <c r="P17" s="113"/>
      <c r="Q17" s="113"/>
      <c r="R17" s="113"/>
      <c r="S17" s="113"/>
      <c r="T17" s="114"/>
      <c r="U17" s="113"/>
      <c r="V17" s="113"/>
      <c r="W17" s="113"/>
      <c r="X17" s="115"/>
      <c r="Y17" s="113"/>
      <c r="Z17" s="115"/>
      <c r="AA17" s="115"/>
      <c r="AB17" s="115"/>
      <c r="AC17" s="115"/>
      <c r="AD17" s="115"/>
      <c r="AE17" s="114"/>
      <c r="AF17" s="114" t="s">
        <v>124</v>
      </c>
      <c r="AG17" s="115"/>
      <c r="AH17" s="116"/>
      <c r="AI17" s="117">
        <v>31.16</v>
      </c>
      <c r="AJ17" s="116"/>
      <c r="AK17" s="116">
        <v>31.47</v>
      </c>
      <c r="AL17" s="116"/>
      <c r="AM17" s="116"/>
      <c r="AN17" s="116"/>
      <c r="AO17" s="116"/>
      <c r="AP17" s="116"/>
      <c r="AQ17" s="116">
        <v>27.48</v>
      </c>
      <c r="AR17" s="116"/>
      <c r="AS17" s="116">
        <v>28.28</v>
      </c>
      <c r="AT17" s="116"/>
      <c r="AU17" s="116"/>
      <c r="AV17" s="116"/>
      <c r="AW17" s="116"/>
      <c r="AX17" s="116">
        <f>(26.57+22.47)/2</f>
        <v>24.52</v>
      </c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>
        <f>(17.1+19.08)/2</f>
        <v>18.09</v>
      </c>
      <c r="BL17" s="116"/>
      <c r="BM17" s="116"/>
      <c r="BN17" s="116"/>
      <c r="BO17" s="116"/>
      <c r="BP17" s="116" t="s">
        <v>138</v>
      </c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8"/>
      <c r="DK17" s="118"/>
      <c r="DL17" s="118"/>
      <c r="DM17" s="118"/>
      <c r="DN17" s="118"/>
      <c r="DO17" s="118"/>
      <c r="DP17" s="118"/>
      <c r="DQ17" s="118"/>
      <c r="DR17" s="118"/>
      <c r="DS17" s="118"/>
      <c r="DT17" s="118"/>
      <c r="DU17" s="118"/>
      <c r="DV17" s="118"/>
      <c r="DW17" s="118"/>
      <c r="DX17" s="118"/>
      <c r="DY17" s="118"/>
      <c r="DZ17" s="118"/>
      <c r="EA17" s="118"/>
      <c r="EB17" s="118"/>
      <c r="EC17" s="118"/>
      <c r="ED17" s="118"/>
      <c r="EE17" s="118"/>
      <c r="EF17" s="118"/>
      <c r="EG17" s="118"/>
      <c r="EH17" s="118"/>
      <c r="EI17" s="118"/>
      <c r="EJ17" s="118"/>
      <c r="EK17" s="118"/>
    </row>
    <row r="18" spans="1:141" s="119" customFormat="1" x14ac:dyDescent="0.2">
      <c r="A18" s="120" t="s">
        <v>82</v>
      </c>
      <c r="B18" s="108">
        <v>409</v>
      </c>
      <c r="C18" s="108" t="s">
        <v>83</v>
      </c>
      <c r="D18" s="105" t="s">
        <v>12</v>
      </c>
      <c r="E18" s="110">
        <v>40812</v>
      </c>
      <c r="F18" s="110">
        <v>40826</v>
      </c>
      <c r="G18" s="105" t="s">
        <v>36</v>
      </c>
      <c r="H18" s="105" t="s">
        <v>36</v>
      </c>
      <c r="I18" s="105" t="s">
        <v>36</v>
      </c>
      <c r="J18" s="122">
        <v>40803</v>
      </c>
      <c r="K18" s="111">
        <v>40816</v>
      </c>
      <c r="L18" s="105" t="s">
        <v>36</v>
      </c>
      <c r="M18" s="105" t="s">
        <v>36</v>
      </c>
      <c r="N18" s="112"/>
      <c r="O18" s="105" t="s">
        <v>36</v>
      </c>
      <c r="P18" s="113"/>
      <c r="Q18" s="113"/>
      <c r="R18" s="113"/>
      <c r="S18" s="113"/>
      <c r="T18" s="114"/>
      <c r="U18" s="113"/>
      <c r="V18" s="113"/>
      <c r="W18" s="113"/>
      <c r="X18" s="115"/>
      <c r="Y18" s="113"/>
      <c r="Z18" s="115"/>
      <c r="AA18" s="115"/>
      <c r="AB18" s="115"/>
      <c r="AC18" s="115"/>
      <c r="AD18" s="115"/>
      <c r="AE18" s="114">
        <f>(34.19+33.87)/2</f>
        <v>34.03</v>
      </c>
      <c r="AF18" s="114"/>
      <c r="AG18" s="115"/>
      <c r="AH18" s="116"/>
      <c r="AI18" s="117">
        <f>(34.67+29.4+29.24)/3</f>
        <v>31.103333333333328</v>
      </c>
      <c r="AJ18" s="116"/>
      <c r="AK18" s="116">
        <f>(29.08+28.76)/2</f>
        <v>28.92</v>
      </c>
      <c r="AL18" s="116"/>
      <c r="AM18" s="116"/>
      <c r="AN18" s="116"/>
      <c r="AO18" s="116"/>
      <c r="AP18" s="116"/>
      <c r="AQ18" s="116">
        <f>(24.8+25.78+28.6)/3</f>
        <v>26.393333333333334</v>
      </c>
      <c r="AR18" s="116"/>
      <c r="AS18" s="116"/>
      <c r="AT18" s="116"/>
      <c r="AU18" s="116"/>
      <c r="AV18" s="116"/>
      <c r="AW18" s="116"/>
      <c r="AX18" s="116"/>
      <c r="AY18" s="116"/>
      <c r="AZ18" s="116">
        <f>(13.05+15.75)/2</f>
        <v>14.4</v>
      </c>
      <c r="BA18" s="116"/>
      <c r="BB18" s="116"/>
      <c r="BC18" s="116"/>
      <c r="BD18" s="116">
        <f>(11.1+11.34+11.4)/3</f>
        <v>11.28</v>
      </c>
      <c r="BE18" s="116"/>
      <c r="BF18" s="116"/>
      <c r="BG18" s="116"/>
      <c r="BH18" s="116"/>
      <c r="BI18" s="116"/>
      <c r="BJ18" s="116"/>
      <c r="BK18" s="116">
        <f>(16.53+19.58)/2</f>
        <v>18.055</v>
      </c>
      <c r="BL18" s="116"/>
      <c r="BM18" s="116" t="s">
        <v>138</v>
      </c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8"/>
      <c r="DK18" s="118"/>
      <c r="DL18" s="118"/>
      <c r="DM18" s="118"/>
      <c r="DN18" s="118"/>
      <c r="DO18" s="118"/>
      <c r="DP18" s="118"/>
      <c r="DQ18" s="118"/>
      <c r="DR18" s="118"/>
      <c r="DS18" s="118"/>
      <c r="DT18" s="118"/>
      <c r="DU18" s="118"/>
      <c r="DV18" s="118"/>
      <c r="DW18" s="118"/>
      <c r="DX18" s="118"/>
      <c r="DY18" s="118"/>
      <c r="DZ18" s="118"/>
      <c r="EA18" s="118"/>
      <c r="EB18" s="118"/>
      <c r="EC18" s="118"/>
      <c r="ED18" s="118"/>
      <c r="EE18" s="118"/>
      <c r="EF18" s="118"/>
      <c r="EG18" s="118"/>
      <c r="EH18" s="118"/>
      <c r="EI18" s="118"/>
      <c r="EJ18" s="118"/>
      <c r="EK18" s="118"/>
    </row>
    <row r="19" spans="1:141" s="119" customFormat="1" x14ac:dyDescent="0.2">
      <c r="A19" s="106" t="s">
        <v>84</v>
      </c>
      <c r="B19" s="107"/>
      <c r="C19" s="108"/>
      <c r="D19" s="105" t="s">
        <v>13</v>
      </c>
      <c r="E19" s="110"/>
      <c r="F19" s="110"/>
      <c r="G19" s="105"/>
      <c r="H19" s="105"/>
      <c r="I19" s="105"/>
      <c r="J19" s="122"/>
      <c r="K19" s="111"/>
      <c r="L19" s="105"/>
      <c r="M19" s="105"/>
      <c r="N19" s="112"/>
      <c r="O19" s="105"/>
      <c r="P19" s="113"/>
      <c r="Q19" s="113"/>
      <c r="R19" s="113"/>
      <c r="S19" s="113"/>
      <c r="T19" s="114"/>
      <c r="U19" s="113"/>
      <c r="V19" s="113"/>
      <c r="W19" s="113"/>
      <c r="X19" s="115"/>
      <c r="Y19" s="113"/>
      <c r="Z19" s="115"/>
      <c r="AA19" s="115"/>
      <c r="AB19" s="115"/>
      <c r="AC19" s="115"/>
      <c r="AD19" s="115"/>
      <c r="AE19" s="114">
        <f>(31.79+30.68)/2</f>
        <v>31.234999999999999</v>
      </c>
      <c r="AF19" s="114"/>
      <c r="AG19" s="115"/>
      <c r="AH19" s="116"/>
      <c r="AI19" s="117">
        <v>31.47</v>
      </c>
      <c r="AJ19" s="116"/>
      <c r="AK19" s="116">
        <v>27.48</v>
      </c>
      <c r="AL19" s="116"/>
      <c r="AM19" s="116"/>
      <c r="AN19" s="116"/>
      <c r="AO19" s="116"/>
      <c r="AP19" s="116"/>
      <c r="AQ19" s="116">
        <v>26.33</v>
      </c>
      <c r="AR19" s="116"/>
      <c r="AS19" s="116"/>
      <c r="AT19" s="116"/>
      <c r="AU19" s="116"/>
      <c r="AV19" s="116"/>
      <c r="AW19" s="116"/>
      <c r="AX19" s="116"/>
      <c r="AY19" s="116"/>
      <c r="AZ19" s="116">
        <f>(14.54+14.95)/2</f>
        <v>14.744999999999999</v>
      </c>
      <c r="BA19" s="116"/>
      <c r="BB19" s="116"/>
      <c r="BC19" s="116"/>
      <c r="BD19" s="116">
        <f>(14.9+13.9)/2</f>
        <v>14.4</v>
      </c>
      <c r="BE19" s="116"/>
      <c r="BF19" s="116"/>
      <c r="BG19" s="116"/>
      <c r="BH19" s="116"/>
      <c r="BI19" s="116"/>
      <c r="BJ19" s="116"/>
      <c r="BK19" s="116">
        <f>(18.9+17.84)/2</f>
        <v>18.369999999999997</v>
      </c>
      <c r="BL19" s="116"/>
      <c r="BM19" s="116"/>
      <c r="BN19" s="116"/>
      <c r="BO19" s="116"/>
      <c r="BP19" s="116"/>
      <c r="BQ19" s="116" t="s">
        <v>138</v>
      </c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8"/>
      <c r="DK19" s="118"/>
      <c r="DL19" s="118"/>
      <c r="DM19" s="118"/>
      <c r="DN19" s="118"/>
      <c r="DO19" s="118"/>
      <c r="DP19" s="118"/>
      <c r="DQ19" s="118"/>
      <c r="DR19" s="118"/>
      <c r="DS19" s="118"/>
      <c r="DT19" s="118"/>
      <c r="DU19" s="118"/>
      <c r="DV19" s="118"/>
      <c r="DW19" s="118"/>
      <c r="DX19" s="118"/>
      <c r="DY19" s="118"/>
      <c r="DZ19" s="118"/>
      <c r="EA19" s="118"/>
      <c r="EB19" s="118"/>
      <c r="EC19" s="118"/>
      <c r="ED19" s="118"/>
      <c r="EE19" s="118"/>
      <c r="EF19" s="118"/>
      <c r="EG19" s="118"/>
      <c r="EH19" s="118"/>
      <c r="EI19" s="118"/>
      <c r="EJ19" s="118"/>
      <c r="EK19" s="118"/>
    </row>
    <row r="20" spans="1:141" s="119" customFormat="1" x14ac:dyDescent="0.2">
      <c r="A20" s="120" t="s">
        <v>75</v>
      </c>
      <c r="B20" s="108">
        <v>410</v>
      </c>
      <c r="C20" s="108" t="s">
        <v>83</v>
      </c>
      <c r="D20" s="105" t="s">
        <v>12</v>
      </c>
      <c r="E20" s="110">
        <v>40809</v>
      </c>
      <c r="F20" s="110">
        <v>40826</v>
      </c>
      <c r="G20" s="105" t="s">
        <v>36</v>
      </c>
      <c r="H20" s="105" t="s">
        <v>36</v>
      </c>
      <c r="I20" s="105" t="s">
        <v>36</v>
      </c>
      <c r="J20" s="122">
        <v>40794</v>
      </c>
      <c r="K20" s="111">
        <v>40808</v>
      </c>
      <c r="L20" s="105" t="s">
        <v>35</v>
      </c>
      <c r="M20" s="105" t="s">
        <v>35</v>
      </c>
      <c r="N20" s="112"/>
      <c r="O20" s="105" t="s">
        <v>36</v>
      </c>
      <c r="P20" s="113"/>
      <c r="Q20" s="113"/>
      <c r="R20" s="113"/>
      <c r="S20" s="113"/>
      <c r="T20" s="114"/>
      <c r="U20" s="113"/>
      <c r="V20" s="113"/>
      <c r="W20" s="113"/>
      <c r="X20" s="115"/>
      <c r="Y20" s="113"/>
      <c r="Z20" s="115"/>
      <c r="AA20" s="115"/>
      <c r="AB20" s="115"/>
      <c r="AC20" s="115">
        <f>30.68</f>
        <v>30.68</v>
      </c>
      <c r="AD20" s="115"/>
      <c r="AE20" s="114">
        <f>(29.56+28.6)/2</f>
        <v>29.08</v>
      </c>
      <c r="AF20" s="114"/>
      <c r="AG20" s="115"/>
      <c r="AH20" s="116"/>
      <c r="AI20" s="117">
        <f>(27.96+27.8)/2</f>
        <v>27.880000000000003</v>
      </c>
      <c r="AJ20" s="116"/>
      <c r="AK20" s="116">
        <f>(28.12+27.96)/2</f>
        <v>28.04</v>
      </c>
      <c r="AL20" s="116"/>
      <c r="AM20" s="116"/>
      <c r="AN20" s="116"/>
      <c r="AO20" s="116"/>
      <c r="AP20" s="116"/>
      <c r="AQ20" s="116">
        <f>(24.8+24.43+23.48)/3</f>
        <v>24.236666666666668</v>
      </c>
      <c r="AR20" s="116"/>
      <c r="AS20" s="116"/>
      <c r="AT20" s="116"/>
      <c r="AU20" s="116"/>
      <c r="AV20" s="116"/>
      <c r="AW20" s="116"/>
      <c r="AX20" s="116"/>
      <c r="AY20" s="116">
        <f>(14.95+14.12+14.12)/3</f>
        <v>14.396666666666667</v>
      </c>
      <c r="AZ20" s="116">
        <f>(13.48+13.91)/2</f>
        <v>13.695</v>
      </c>
      <c r="BA20" s="116"/>
      <c r="BB20" s="116"/>
      <c r="BC20" s="116"/>
      <c r="BD20" s="116">
        <f>(11.2+11.5+11.3)/3</f>
        <v>11.333333333333334</v>
      </c>
      <c r="BE20" s="116"/>
      <c r="BF20" s="116"/>
      <c r="BG20" s="116" t="s">
        <v>138</v>
      </c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8"/>
      <c r="DK20" s="118"/>
      <c r="DL20" s="118"/>
      <c r="DM20" s="118"/>
      <c r="DN20" s="118"/>
      <c r="DO20" s="118"/>
      <c r="DP20" s="118"/>
      <c r="DQ20" s="118"/>
      <c r="DR20" s="118"/>
      <c r="DS20" s="118"/>
      <c r="DT20" s="118"/>
      <c r="DU20" s="118"/>
      <c r="DV20" s="118"/>
      <c r="DW20" s="118"/>
      <c r="DX20" s="118"/>
      <c r="DY20" s="118"/>
      <c r="DZ20" s="118"/>
      <c r="EA20" s="118"/>
      <c r="EB20" s="118"/>
      <c r="EC20" s="118"/>
      <c r="ED20" s="118"/>
      <c r="EE20" s="118"/>
      <c r="EF20" s="118"/>
      <c r="EG20" s="118"/>
      <c r="EH20" s="118"/>
      <c r="EI20" s="118"/>
      <c r="EJ20" s="118"/>
      <c r="EK20" s="118"/>
    </row>
    <row r="21" spans="1:141" s="119" customFormat="1" x14ac:dyDescent="0.2">
      <c r="A21" s="106" t="s">
        <v>85</v>
      </c>
      <c r="B21" s="108"/>
      <c r="C21" s="108"/>
      <c r="D21" s="105" t="s">
        <v>13</v>
      </c>
      <c r="E21" s="110"/>
      <c r="F21" s="110"/>
      <c r="G21" s="105"/>
      <c r="H21" s="105"/>
      <c r="I21" s="105"/>
      <c r="J21" s="122"/>
      <c r="K21" s="111"/>
      <c r="L21" s="105"/>
      <c r="M21" s="105"/>
      <c r="N21" s="112"/>
      <c r="O21" s="105"/>
      <c r="P21" s="113"/>
      <c r="Q21" s="113"/>
      <c r="R21" s="113"/>
      <c r="S21" s="113"/>
      <c r="T21" s="114"/>
      <c r="U21" s="113"/>
      <c r="V21" s="113"/>
      <c r="W21" s="113"/>
      <c r="X21" s="115"/>
      <c r="Y21" s="113"/>
      <c r="Z21" s="115"/>
      <c r="AA21" s="115"/>
      <c r="AB21" s="115"/>
      <c r="AC21" s="115">
        <v>29.24</v>
      </c>
      <c r="AD21" s="115"/>
      <c r="AE21" s="114">
        <f>(27+29.29)/2</f>
        <v>28.145</v>
      </c>
      <c r="AF21" s="114"/>
      <c r="AG21" s="115"/>
      <c r="AH21" s="116"/>
      <c r="AI21" s="117">
        <v>24.43</v>
      </c>
      <c r="AJ21" s="116"/>
      <c r="AK21" s="116">
        <v>26.33</v>
      </c>
      <c r="AL21" s="116"/>
      <c r="AM21" s="116"/>
      <c r="AN21" s="116"/>
      <c r="AO21" s="116"/>
      <c r="AP21" s="116"/>
      <c r="AQ21" s="116">
        <v>21.08</v>
      </c>
      <c r="AR21" s="116"/>
      <c r="AS21" s="116"/>
      <c r="AT21" s="116"/>
      <c r="AU21" s="116"/>
      <c r="AV21" s="116"/>
      <c r="AW21" s="116"/>
      <c r="AX21" s="116"/>
      <c r="AY21" s="116">
        <v>15.95</v>
      </c>
      <c r="AZ21" s="116">
        <f>(13.05+15.34)/2</f>
        <v>14.195</v>
      </c>
      <c r="BA21" s="116"/>
      <c r="BB21" s="116"/>
      <c r="BC21" s="116"/>
      <c r="BD21" s="116">
        <f>(12+12.3+12)/3</f>
        <v>12.1</v>
      </c>
      <c r="BE21" s="116" t="s">
        <v>138</v>
      </c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8"/>
      <c r="DK21" s="118"/>
      <c r="DL21" s="118"/>
      <c r="DM21" s="118"/>
      <c r="DN21" s="118"/>
      <c r="DO21" s="118"/>
      <c r="DP21" s="118"/>
      <c r="DQ21" s="118"/>
      <c r="DR21" s="118"/>
      <c r="DS21" s="118"/>
      <c r="DT21" s="118"/>
      <c r="DU21" s="118"/>
      <c r="DV21" s="118"/>
      <c r="DW21" s="118"/>
      <c r="DX21" s="118"/>
      <c r="DY21" s="118"/>
      <c r="DZ21" s="118"/>
      <c r="EA21" s="118"/>
      <c r="EB21" s="118"/>
      <c r="EC21" s="118"/>
      <c r="ED21" s="118"/>
      <c r="EE21" s="118"/>
      <c r="EF21" s="118"/>
      <c r="EG21" s="118"/>
      <c r="EH21" s="118"/>
      <c r="EI21" s="118"/>
      <c r="EJ21" s="118"/>
      <c r="EK21" s="118"/>
    </row>
    <row r="22" spans="1:141" s="119" customFormat="1" x14ac:dyDescent="0.2">
      <c r="A22" s="120" t="s">
        <v>86</v>
      </c>
      <c r="B22" s="108">
        <v>411</v>
      </c>
      <c r="C22" s="108" t="s">
        <v>83</v>
      </c>
      <c r="D22" s="109" t="s">
        <v>12</v>
      </c>
      <c r="E22" s="110">
        <v>40809</v>
      </c>
      <c r="F22" s="110">
        <v>40826</v>
      </c>
      <c r="G22" s="105" t="s">
        <v>36</v>
      </c>
      <c r="H22" s="105" t="s">
        <v>36</v>
      </c>
      <c r="I22" s="105" t="s">
        <v>36</v>
      </c>
      <c r="J22" s="122">
        <v>40799</v>
      </c>
      <c r="K22" s="111">
        <v>40815</v>
      </c>
      <c r="L22" s="105" t="s">
        <v>36</v>
      </c>
      <c r="M22" s="105" t="s">
        <v>36</v>
      </c>
      <c r="N22" s="112"/>
      <c r="O22" s="105" t="s">
        <v>36</v>
      </c>
      <c r="P22" s="113"/>
      <c r="Q22" s="113"/>
      <c r="R22" s="113"/>
      <c r="S22" s="113"/>
      <c r="T22" s="114"/>
      <c r="U22" s="113"/>
      <c r="V22" s="113"/>
      <c r="W22" s="113"/>
      <c r="X22" s="115"/>
      <c r="Y22" s="113"/>
      <c r="Z22" s="115"/>
      <c r="AA22" s="115"/>
      <c r="AB22" s="115"/>
      <c r="AC22" s="115"/>
      <c r="AD22" s="115"/>
      <c r="AE22" s="114">
        <f>(31.63+36.07)/2</f>
        <v>33.85</v>
      </c>
      <c r="AF22" s="114"/>
      <c r="AG22" s="115"/>
      <c r="AH22" s="116"/>
      <c r="AI22" s="117">
        <f>(27.98+29.88)/2</f>
        <v>28.93</v>
      </c>
      <c r="AJ22" s="116"/>
      <c r="AK22" s="116">
        <f>(28.76+28.28)/2</f>
        <v>28.520000000000003</v>
      </c>
      <c r="AL22" s="116"/>
      <c r="AM22" s="116"/>
      <c r="AN22" s="116"/>
      <c r="AO22" s="116"/>
      <c r="AP22" s="116"/>
      <c r="AQ22" s="116">
        <f>(23.48+26.33+22.02)/3</f>
        <v>23.943333333333332</v>
      </c>
      <c r="AR22" s="116"/>
      <c r="AS22" s="116"/>
      <c r="AT22" s="116"/>
      <c r="AU22" s="116"/>
      <c r="AV22" s="116"/>
      <c r="AW22" s="116"/>
      <c r="AX22" s="116"/>
      <c r="AY22" s="116">
        <f>(14.12+13.91+14.12)/3</f>
        <v>14.049999999999999</v>
      </c>
      <c r="AZ22" s="116">
        <f>(13.7+12.39)/2</f>
        <v>13.045</v>
      </c>
      <c r="BA22" s="116"/>
      <c r="BB22" s="116"/>
      <c r="BC22" s="116"/>
      <c r="BD22" s="116">
        <f>(11.7+11.7+11.4)/3</f>
        <v>11.6</v>
      </c>
      <c r="BE22" s="116"/>
      <c r="BF22" s="116"/>
      <c r="BG22" s="116" t="s">
        <v>138</v>
      </c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8"/>
      <c r="DK22" s="118"/>
      <c r="DL22" s="118"/>
      <c r="DM22" s="118"/>
      <c r="DN22" s="118"/>
      <c r="DO22" s="118"/>
      <c r="DP22" s="118"/>
      <c r="DQ22" s="118"/>
      <c r="DR22" s="118"/>
      <c r="DS22" s="118"/>
      <c r="DT22" s="118"/>
      <c r="DU22" s="118"/>
      <c r="DV22" s="118"/>
      <c r="DW22" s="118"/>
      <c r="DX22" s="118"/>
      <c r="DY22" s="118"/>
      <c r="DZ22" s="118"/>
      <c r="EA22" s="118"/>
      <c r="EB22" s="118"/>
      <c r="EC22" s="118"/>
      <c r="ED22" s="118"/>
      <c r="EE22" s="118"/>
      <c r="EF22" s="118"/>
      <c r="EG22" s="118"/>
      <c r="EH22" s="118"/>
      <c r="EI22" s="118"/>
      <c r="EJ22" s="118"/>
      <c r="EK22" s="118"/>
    </row>
    <row r="23" spans="1:141" s="119" customFormat="1" x14ac:dyDescent="0.2">
      <c r="A23" s="106" t="s">
        <v>87</v>
      </c>
      <c r="B23" s="107"/>
      <c r="C23" s="108"/>
      <c r="D23" s="109" t="s">
        <v>13</v>
      </c>
      <c r="E23" s="110"/>
      <c r="F23" s="110"/>
      <c r="G23" s="105"/>
      <c r="H23" s="105"/>
      <c r="I23" s="105"/>
      <c r="J23" s="122"/>
      <c r="K23" s="111"/>
      <c r="L23" s="105"/>
      <c r="M23" s="105"/>
      <c r="N23" s="112"/>
      <c r="O23" s="105"/>
      <c r="P23" s="113"/>
      <c r="Q23" s="113"/>
      <c r="R23" s="113"/>
      <c r="S23" s="113"/>
      <c r="T23" s="114"/>
      <c r="U23" s="113"/>
      <c r="V23" s="113"/>
      <c r="W23" s="113"/>
      <c r="X23" s="115"/>
      <c r="Y23" s="113"/>
      <c r="Z23" s="115"/>
      <c r="AA23" s="115"/>
      <c r="AB23" s="115"/>
      <c r="AC23" s="115"/>
      <c r="AD23" s="115"/>
      <c r="AE23" s="114">
        <f>(27.16+29.56)/2</f>
        <v>28.36</v>
      </c>
      <c r="AF23" s="114"/>
      <c r="AG23" s="115"/>
      <c r="AH23" s="116"/>
      <c r="AI23" s="117">
        <v>28.12</v>
      </c>
      <c r="AJ23" s="116"/>
      <c r="AK23" s="116">
        <v>28.6</v>
      </c>
      <c r="AL23" s="116"/>
      <c r="AM23" s="116"/>
      <c r="AN23" s="116"/>
      <c r="AO23" s="116"/>
      <c r="AP23" s="116"/>
      <c r="AQ23" s="116">
        <v>22.02</v>
      </c>
      <c r="AR23" s="116"/>
      <c r="AS23" s="116"/>
      <c r="AT23" s="116"/>
      <c r="AU23" s="116"/>
      <c r="AV23" s="116"/>
      <c r="AW23" s="116"/>
      <c r="AX23" s="116"/>
      <c r="AY23" s="116">
        <v>15.15</v>
      </c>
      <c r="AZ23" s="116">
        <f>(15.56+12.61)/2</f>
        <v>14.085000000000001</v>
      </c>
      <c r="BA23" s="116"/>
      <c r="BB23" s="116"/>
      <c r="BC23" s="116"/>
      <c r="BD23" s="116">
        <f>(12+12.5+12.3)/3</f>
        <v>12.266666666666666</v>
      </c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 t="s">
        <v>138</v>
      </c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8"/>
      <c r="EH23" s="118"/>
      <c r="EI23" s="118"/>
      <c r="EJ23" s="118"/>
      <c r="EK23" s="118"/>
    </row>
    <row r="24" spans="1:141" s="119" customFormat="1" x14ac:dyDescent="0.2">
      <c r="A24" s="120" t="s">
        <v>75</v>
      </c>
      <c r="B24" s="108">
        <v>412</v>
      </c>
      <c r="C24" s="108" t="s">
        <v>88</v>
      </c>
      <c r="D24" s="109" t="s">
        <v>12</v>
      </c>
      <c r="E24" s="110">
        <v>40812</v>
      </c>
      <c r="F24" s="110">
        <v>40826</v>
      </c>
      <c r="G24" s="105" t="s">
        <v>36</v>
      </c>
      <c r="H24" s="105" t="s">
        <v>36</v>
      </c>
      <c r="I24" s="105" t="s">
        <v>36</v>
      </c>
      <c r="J24" s="122">
        <v>40794</v>
      </c>
      <c r="K24" s="111">
        <v>40817</v>
      </c>
      <c r="L24" s="105" t="s">
        <v>35</v>
      </c>
      <c r="M24" s="105" t="s">
        <v>35</v>
      </c>
      <c r="N24" s="112"/>
      <c r="O24" s="105" t="s">
        <v>36</v>
      </c>
      <c r="P24" s="113"/>
      <c r="Q24" s="113"/>
      <c r="R24" s="113"/>
      <c r="S24" s="113"/>
      <c r="T24" s="114"/>
      <c r="U24" s="113"/>
      <c r="V24" s="113"/>
      <c r="W24" s="113"/>
      <c r="X24" s="115"/>
      <c r="Y24" s="113"/>
      <c r="Z24" s="115"/>
      <c r="AA24" s="115"/>
      <c r="AB24" s="115"/>
      <c r="AC24" s="115"/>
      <c r="AD24" s="115"/>
      <c r="AE24" s="114">
        <v>31.95</v>
      </c>
      <c r="AF24" s="114"/>
      <c r="AG24" s="115"/>
      <c r="AH24" s="116"/>
      <c r="AI24" s="117">
        <f>(31+29.08)/2</f>
        <v>30.04</v>
      </c>
      <c r="AJ24" s="116"/>
      <c r="AK24" s="116"/>
      <c r="AL24" s="116"/>
      <c r="AM24" s="116"/>
      <c r="AN24" s="116"/>
      <c r="AO24" s="116"/>
      <c r="AP24" s="116">
        <f>(27.16+28.44)/2</f>
        <v>27.8</v>
      </c>
      <c r="AQ24" s="116"/>
      <c r="AR24" s="116"/>
      <c r="AS24" s="116">
        <f>(26.07+25.48)/2</f>
        <v>25.774999999999999</v>
      </c>
      <c r="AT24" s="116"/>
      <c r="AU24" s="116"/>
      <c r="AV24" s="116"/>
      <c r="AW24" s="116"/>
      <c r="AX24" s="116"/>
      <c r="AY24" s="116"/>
      <c r="AZ24" s="116">
        <f>(16.73+16.53)/2</f>
        <v>16.630000000000003</v>
      </c>
      <c r="BA24" s="116"/>
      <c r="BB24" s="116">
        <f>(15.35+16.34+14.75)/3</f>
        <v>15.479999999999999</v>
      </c>
      <c r="BC24" s="116"/>
      <c r="BD24" s="116"/>
      <c r="BE24" s="116">
        <f>(15.15+14.12+17.29)/3</f>
        <v>15.520000000000001</v>
      </c>
      <c r="BF24" s="116"/>
      <c r="BG24" s="116"/>
      <c r="BH24" s="116">
        <f>(14.75)</f>
        <v>14.75</v>
      </c>
      <c r="BI24" s="116"/>
      <c r="BJ24" s="116"/>
      <c r="BK24" s="116">
        <v>14.75</v>
      </c>
      <c r="BL24" s="116"/>
      <c r="BM24" s="116"/>
      <c r="BN24" s="116"/>
      <c r="BO24" s="116" t="s">
        <v>138</v>
      </c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8"/>
      <c r="DK24" s="118"/>
      <c r="DL24" s="118"/>
      <c r="DM24" s="118"/>
      <c r="DN24" s="118"/>
      <c r="DO24" s="118"/>
      <c r="DP24" s="118"/>
      <c r="DQ24" s="118"/>
      <c r="DR24" s="118"/>
      <c r="DS24" s="118"/>
      <c r="DT24" s="118"/>
      <c r="DU24" s="118"/>
      <c r="DV24" s="118"/>
      <c r="DW24" s="118"/>
      <c r="DX24" s="118"/>
      <c r="DY24" s="118"/>
      <c r="DZ24" s="118"/>
      <c r="EA24" s="118"/>
      <c r="EB24" s="118"/>
      <c r="EC24" s="118"/>
      <c r="ED24" s="118"/>
      <c r="EE24" s="118"/>
      <c r="EF24" s="118"/>
      <c r="EG24" s="118"/>
      <c r="EH24" s="118"/>
      <c r="EI24" s="118"/>
      <c r="EJ24" s="118"/>
      <c r="EK24" s="118"/>
    </row>
    <row r="25" spans="1:141" s="119" customFormat="1" x14ac:dyDescent="0.2">
      <c r="A25" s="106" t="s">
        <v>89</v>
      </c>
      <c r="B25" s="107"/>
      <c r="C25" s="108"/>
      <c r="D25" s="109" t="s">
        <v>13</v>
      </c>
      <c r="E25" s="110"/>
      <c r="F25" s="110"/>
      <c r="G25" s="105"/>
      <c r="H25" s="105"/>
      <c r="I25" s="105"/>
      <c r="J25" s="122"/>
      <c r="K25" s="111"/>
      <c r="L25" s="105"/>
      <c r="M25" s="105"/>
      <c r="N25" s="112"/>
      <c r="O25" s="105"/>
      <c r="P25" s="113"/>
      <c r="Q25" s="113"/>
      <c r="R25" s="113"/>
      <c r="S25" s="113"/>
      <c r="T25" s="114"/>
      <c r="U25" s="113"/>
      <c r="V25" s="113"/>
      <c r="W25" s="113"/>
      <c r="X25" s="115"/>
      <c r="Y25" s="113"/>
      <c r="Z25" s="115"/>
      <c r="AA25" s="115"/>
      <c r="AB25" s="115"/>
      <c r="AC25" s="115"/>
      <c r="AD25" s="115"/>
      <c r="AE25" s="114">
        <v>31.63</v>
      </c>
      <c r="AF25" s="114"/>
      <c r="AG25" s="115"/>
      <c r="AH25" s="116"/>
      <c r="AI25" s="117">
        <v>29.88</v>
      </c>
      <c r="AJ25" s="116"/>
      <c r="AK25" s="116"/>
      <c r="AL25" s="116"/>
      <c r="AM25" s="116"/>
      <c r="AN25" s="116"/>
      <c r="AO25" s="116"/>
      <c r="AP25" s="116">
        <v>27.96</v>
      </c>
      <c r="AQ25" s="116"/>
      <c r="AR25" s="116"/>
      <c r="AS25" s="116">
        <v>28.6</v>
      </c>
      <c r="AT25" s="116"/>
      <c r="AU25" s="116"/>
      <c r="AV25" s="116"/>
      <c r="AW25" s="116"/>
      <c r="AX25" s="116"/>
      <c r="AY25" s="116"/>
      <c r="AZ25" s="116">
        <v>20.079999999999998</v>
      </c>
      <c r="BA25" s="116"/>
      <c r="BB25" s="116">
        <f>(21.17+19.25+16.34)/3</f>
        <v>18.920000000000002</v>
      </c>
      <c r="BC25" s="116"/>
      <c r="BD25" s="116"/>
      <c r="BE25" s="116">
        <f>(16.34+15.35+16.92)/3</f>
        <v>16.203333333333333</v>
      </c>
      <c r="BF25" s="116"/>
      <c r="BG25" s="116"/>
      <c r="BH25" s="116">
        <v>16.920000000000002</v>
      </c>
      <c r="BI25" s="116"/>
      <c r="BJ25" s="116"/>
      <c r="BK25" s="116">
        <v>17.100000000000001</v>
      </c>
      <c r="BL25" s="116"/>
      <c r="BM25" s="116"/>
      <c r="BN25" s="116" t="s">
        <v>138</v>
      </c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8"/>
      <c r="DK25" s="118"/>
      <c r="DL25" s="118"/>
      <c r="DM25" s="118"/>
      <c r="DN25" s="118"/>
      <c r="DO25" s="118"/>
      <c r="DP25" s="118"/>
      <c r="DQ25" s="118"/>
      <c r="DR25" s="118"/>
      <c r="DS25" s="118"/>
      <c r="DT25" s="118"/>
      <c r="DU25" s="118"/>
      <c r="DV25" s="118"/>
      <c r="DW25" s="118"/>
      <c r="DX25" s="118"/>
      <c r="DY25" s="118"/>
      <c r="DZ25" s="118"/>
      <c r="EA25" s="118"/>
      <c r="EB25" s="118"/>
      <c r="EC25" s="118"/>
      <c r="ED25" s="118"/>
      <c r="EE25" s="118"/>
      <c r="EF25" s="118"/>
      <c r="EG25" s="118"/>
      <c r="EH25" s="118"/>
      <c r="EI25" s="118"/>
      <c r="EJ25" s="118"/>
      <c r="EK25" s="118"/>
    </row>
    <row r="26" spans="1:141" s="119" customFormat="1" x14ac:dyDescent="0.2">
      <c r="A26" s="120" t="s">
        <v>80</v>
      </c>
      <c r="B26" s="108">
        <v>413</v>
      </c>
      <c r="C26" s="108" t="s">
        <v>88</v>
      </c>
      <c r="D26" s="109" t="s">
        <v>12</v>
      </c>
      <c r="E26" s="110">
        <v>40812</v>
      </c>
      <c r="F26" s="110">
        <v>40826</v>
      </c>
      <c r="G26" s="105" t="s">
        <v>36</v>
      </c>
      <c r="H26" s="105" t="s">
        <v>36</v>
      </c>
      <c r="I26" s="105" t="s">
        <v>36</v>
      </c>
      <c r="J26" s="122">
        <v>40798</v>
      </c>
      <c r="K26" s="111">
        <v>40816</v>
      </c>
      <c r="L26" s="105" t="s">
        <v>35</v>
      </c>
      <c r="M26" s="105" t="s">
        <v>35</v>
      </c>
      <c r="N26" s="112"/>
      <c r="O26" s="105" t="s">
        <v>36</v>
      </c>
      <c r="P26" s="113"/>
      <c r="Q26" s="113"/>
      <c r="R26" s="113"/>
      <c r="S26" s="113"/>
      <c r="T26" s="114"/>
      <c r="U26" s="113"/>
      <c r="V26" s="113"/>
      <c r="W26" s="113"/>
      <c r="X26" s="115"/>
      <c r="Y26" s="113"/>
      <c r="Z26" s="115"/>
      <c r="AA26" s="115"/>
      <c r="AB26" s="115"/>
      <c r="AC26" s="115"/>
      <c r="AD26" s="115"/>
      <c r="AE26" s="114"/>
      <c r="AF26" s="114">
        <f>(35.95+31.79)/2</f>
        <v>33.870000000000005</v>
      </c>
      <c r="AG26" s="115"/>
      <c r="AH26" s="116"/>
      <c r="AI26" s="117"/>
      <c r="AJ26" s="116">
        <f>(32.27+35.15)/2</f>
        <v>33.71</v>
      </c>
      <c r="AK26" s="116"/>
      <c r="AL26" s="116"/>
      <c r="AM26" s="116"/>
      <c r="AN26" s="116"/>
      <c r="AO26" s="116"/>
      <c r="AP26" s="116">
        <f>(30.52+31.15)/2</f>
        <v>30.835000000000001</v>
      </c>
      <c r="AQ26" s="116"/>
      <c r="AR26" s="116">
        <f>(25.48+29.08)/2</f>
        <v>27.28</v>
      </c>
      <c r="AS26" s="116"/>
      <c r="AT26" s="116"/>
      <c r="AU26" s="116"/>
      <c r="AV26" s="116"/>
      <c r="AW26" s="116"/>
      <c r="AX26" s="116"/>
      <c r="AY26" s="116"/>
      <c r="AZ26" s="116">
        <f>(17.66+26.48)/2</f>
        <v>22.07</v>
      </c>
      <c r="BA26" s="116"/>
      <c r="BB26" s="116">
        <f>(19.25+17.48+17.66)/3</f>
        <v>18.13</v>
      </c>
      <c r="BC26" s="116"/>
      <c r="BD26" s="116"/>
      <c r="BE26" s="116">
        <f>(14.12+21.77+20.4)/3</f>
        <v>18.763333333333332</v>
      </c>
      <c r="BF26" s="116"/>
      <c r="BG26" s="116"/>
      <c r="BH26" s="116"/>
      <c r="BI26" s="116"/>
      <c r="BJ26" s="116"/>
      <c r="BK26" s="116"/>
      <c r="BL26" s="116"/>
      <c r="BM26" s="116">
        <v>15.4</v>
      </c>
      <c r="BN26" s="116"/>
      <c r="BO26" s="116" t="s">
        <v>138</v>
      </c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8"/>
      <c r="DK26" s="118"/>
      <c r="DL26" s="118"/>
      <c r="DM26" s="118"/>
      <c r="DN26" s="118"/>
      <c r="DO26" s="118"/>
      <c r="DP26" s="118"/>
      <c r="DQ26" s="118"/>
      <c r="DR26" s="118"/>
      <c r="DS26" s="118"/>
      <c r="DT26" s="118"/>
      <c r="DU26" s="118"/>
      <c r="DV26" s="118"/>
      <c r="DW26" s="118"/>
      <c r="DX26" s="118"/>
      <c r="DY26" s="118"/>
      <c r="DZ26" s="118"/>
      <c r="EA26" s="118"/>
      <c r="EB26" s="118"/>
      <c r="EC26" s="118"/>
      <c r="ED26" s="118"/>
      <c r="EE26" s="118"/>
      <c r="EF26" s="118"/>
      <c r="EG26" s="118"/>
      <c r="EH26" s="118"/>
      <c r="EI26" s="118"/>
      <c r="EJ26" s="118"/>
      <c r="EK26" s="118"/>
    </row>
    <row r="27" spans="1:141" s="119" customFormat="1" x14ac:dyDescent="0.2">
      <c r="A27" s="106" t="s">
        <v>90</v>
      </c>
      <c r="B27" s="108"/>
      <c r="C27" s="108"/>
      <c r="D27" s="109" t="s">
        <v>13</v>
      </c>
      <c r="E27" s="110"/>
      <c r="F27" s="110"/>
      <c r="G27" s="105"/>
      <c r="H27" s="105"/>
      <c r="I27" s="105"/>
      <c r="J27" s="122"/>
      <c r="K27" s="111"/>
      <c r="L27" s="105"/>
      <c r="M27" s="105"/>
      <c r="N27" s="112"/>
      <c r="O27" s="105"/>
      <c r="P27" s="113"/>
      <c r="Q27" s="113"/>
      <c r="R27" s="113"/>
      <c r="S27" s="113"/>
      <c r="T27" s="114"/>
      <c r="U27" s="113"/>
      <c r="V27" s="113"/>
      <c r="W27" s="113"/>
      <c r="X27" s="115"/>
      <c r="Y27" s="113"/>
      <c r="Z27" s="115"/>
      <c r="AA27" s="115"/>
      <c r="AB27" s="115"/>
      <c r="AC27" s="115"/>
      <c r="AD27" s="115"/>
      <c r="AE27" s="114"/>
      <c r="AF27" s="114">
        <v>32.43</v>
      </c>
      <c r="AG27" s="115"/>
      <c r="AH27" s="116"/>
      <c r="AI27" s="117"/>
      <c r="AJ27" s="116">
        <v>30.62</v>
      </c>
      <c r="AK27" s="116"/>
      <c r="AL27" s="116"/>
      <c r="AM27" s="116"/>
      <c r="AN27" s="116"/>
      <c r="AO27" s="116"/>
      <c r="AP27" s="116">
        <v>28.76</v>
      </c>
      <c r="AQ27" s="116"/>
      <c r="AR27" s="116">
        <v>29.24</v>
      </c>
      <c r="AS27" s="116"/>
      <c r="AT27" s="116"/>
      <c r="AU27" s="116"/>
      <c r="AV27" s="116"/>
      <c r="AW27" s="116"/>
      <c r="AX27" s="116"/>
      <c r="AY27" s="116"/>
      <c r="AZ27" s="116">
        <v>20.71</v>
      </c>
      <c r="BA27" s="116"/>
      <c r="BB27" s="116">
        <f>(21.77+20.08+18.38)/3</f>
        <v>20.076666666666664</v>
      </c>
      <c r="BC27" s="116"/>
      <c r="BD27" s="116"/>
      <c r="BE27" s="116">
        <f>(16.34+19.08+20.55)/3</f>
        <v>18.656666666666666</v>
      </c>
      <c r="BF27" s="116"/>
      <c r="BG27" s="116"/>
      <c r="BH27" s="116"/>
      <c r="BI27" s="116"/>
      <c r="BJ27" s="116"/>
      <c r="BK27" s="116"/>
      <c r="BL27" s="116" t="s">
        <v>138</v>
      </c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  <c r="DV27" s="118"/>
      <c r="DW27" s="118"/>
      <c r="DX27" s="118"/>
      <c r="DY27" s="118"/>
      <c r="DZ27" s="118"/>
      <c r="EA27" s="118"/>
      <c r="EB27" s="118"/>
      <c r="EC27" s="118"/>
      <c r="ED27" s="118"/>
      <c r="EE27" s="118"/>
      <c r="EF27" s="118"/>
      <c r="EG27" s="118"/>
      <c r="EH27" s="118"/>
      <c r="EI27" s="118"/>
      <c r="EJ27" s="118"/>
      <c r="EK27" s="118"/>
    </row>
    <row r="28" spans="1:141" s="119" customFormat="1" x14ac:dyDescent="0.2">
      <c r="A28" s="120" t="s">
        <v>75</v>
      </c>
      <c r="B28" s="108">
        <v>414</v>
      </c>
      <c r="C28" s="108" t="s">
        <v>91</v>
      </c>
      <c r="D28" s="109" t="s">
        <v>12</v>
      </c>
      <c r="E28" s="110">
        <v>40812</v>
      </c>
      <c r="F28" s="110">
        <v>40826</v>
      </c>
      <c r="G28" s="105" t="s">
        <v>36</v>
      </c>
      <c r="H28" s="105" t="s">
        <v>36</v>
      </c>
      <c r="I28" s="105" t="s">
        <v>36</v>
      </c>
      <c r="J28" s="122">
        <v>40802</v>
      </c>
      <c r="K28" s="111">
        <v>40821</v>
      </c>
      <c r="L28" s="105" t="s">
        <v>36</v>
      </c>
      <c r="M28" s="105" t="s">
        <v>36</v>
      </c>
      <c r="N28" s="112"/>
      <c r="O28" s="105" t="s">
        <v>36</v>
      </c>
      <c r="P28" s="113"/>
      <c r="Q28" s="113"/>
      <c r="R28" s="113"/>
      <c r="S28" s="113"/>
      <c r="T28" s="114"/>
      <c r="U28" s="113"/>
      <c r="V28" s="113"/>
      <c r="W28" s="113"/>
      <c r="X28" s="115"/>
      <c r="Y28" s="113"/>
      <c r="Z28" s="115"/>
      <c r="AA28" s="115"/>
      <c r="AB28" s="115"/>
      <c r="AC28" s="115"/>
      <c r="AD28" s="115"/>
      <c r="AE28" s="114">
        <v>35.79</v>
      </c>
      <c r="AF28" s="114"/>
      <c r="AG28" s="115"/>
      <c r="AH28" s="116"/>
      <c r="AI28" s="117"/>
      <c r="AJ28" s="116">
        <f>(31.32+30.2)/2</f>
        <v>30.759999999999998</v>
      </c>
      <c r="AK28" s="116"/>
      <c r="AL28" s="116"/>
      <c r="AM28" s="116"/>
      <c r="AN28" s="116"/>
      <c r="AO28" s="116"/>
      <c r="AP28" s="116">
        <f>(27+27.96)/2</f>
        <v>27.48</v>
      </c>
      <c r="AQ28" s="116"/>
      <c r="AR28" s="116">
        <f>(27.16+24.8+25.78)/3</f>
        <v>25.913333333333338</v>
      </c>
      <c r="AS28" s="116"/>
      <c r="AT28" s="116"/>
      <c r="AU28" s="116"/>
      <c r="AV28" s="116"/>
      <c r="AW28" s="116"/>
      <c r="AX28" s="116"/>
      <c r="AY28" s="116"/>
      <c r="AZ28" s="116">
        <f>(19.25+17.1)/2</f>
        <v>18.175000000000001</v>
      </c>
      <c r="BA28" s="116"/>
      <c r="BB28" s="116"/>
      <c r="BC28" s="116"/>
      <c r="BD28" s="116"/>
      <c r="BE28" s="116"/>
      <c r="BF28" s="116"/>
      <c r="BG28" s="116"/>
      <c r="BH28" s="116">
        <f>(16+15.9+16.1)/3</f>
        <v>16</v>
      </c>
      <c r="BI28" s="116"/>
      <c r="BJ28" s="116"/>
      <c r="BK28" s="116">
        <f>(18.3+17.9)/2</f>
        <v>18.100000000000001</v>
      </c>
      <c r="BL28" s="116"/>
      <c r="BM28" s="116">
        <v>14.9</v>
      </c>
      <c r="BN28" s="116"/>
      <c r="BO28" s="116"/>
      <c r="BP28" s="116"/>
      <c r="BQ28" s="116">
        <f>(13.91+13.81)/2</f>
        <v>13.86</v>
      </c>
      <c r="BR28" s="116"/>
      <c r="BS28" s="116"/>
      <c r="BT28" s="116">
        <f>(13+13.3+13.3)/3</f>
        <v>13.200000000000001</v>
      </c>
      <c r="BU28" s="116"/>
      <c r="BV28" s="116" t="s">
        <v>138</v>
      </c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8"/>
      <c r="DK28" s="118"/>
      <c r="DL28" s="118"/>
      <c r="DM28" s="118"/>
      <c r="DN28" s="118"/>
      <c r="DO28" s="118"/>
      <c r="DP28" s="118"/>
      <c r="DQ28" s="118"/>
      <c r="DR28" s="118"/>
      <c r="DS28" s="118"/>
      <c r="DT28" s="118"/>
      <c r="DU28" s="118"/>
      <c r="DV28" s="118"/>
      <c r="DW28" s="118"/>
      <c r="DX28" s="118"/>
      <c r="DY28" s="118"/>
      <c r="DZ28" s="118"/>
      <c r="EA28" s="118"/>
      <c r="EB28" s="118"/>
      <c r="EC28" s="118"/>
      <c r="ED28" s="118"/>
      <c r="EE28" s="118"/>
      <c r="EF28" s="118"/>
      <c r="EG28" s="118"/>
      <c r="EH28" s="118"/>
      <c r="EI28" s="118"/>
      <c r="EJ28" s="118"/>
      <c r="EK28" s="118"/>
    </row>
    <row r="29" spans="1:141" s="119" customFormat="1" x14ac:dyDescent="0.2">
      <c r="A29" s="106" t="s">
        <v>92</v>
      </c>
      <c r="B29" s="107"/>
      <c r="C29" s="108"/>
      <c r="D29" s="109" t="s">
        <v>13</v>
      </c>
      <c r="E29" s="110"/>
      <c r="F29" s="110"/>
      <c r="G29" s="105"/>
      <c r="H29" s="105"/>
      <c r="I29" s="105"/>
      <c r="J29" s="122"/>
      <c r="K29" s="111"/>
      <c r="L29" s="105"/>
      <c r="M29" s="105"/>
      <c r="N29" s="112"/>
      <c r="O29" s="105"/>
      <c r="P29" s="113"/>
      <c r="Q29" s="113"/>
      <c r="R29" s="113"/>
      <c r="S29" s="113"/>
      <c r="T29" s="114"/>
      <c r="U29" s="113"/>
      <c r="V29" s="113"/>
      <c r="W29" s="113"/>
      <c r="X29" s="115"/>
      <c r="Y29" s="113"/>
      <c r="Z29" s="115"/>
      <c r="AA29" s="115"/>
      <c r="AB29" s="115"/>
      <c r="AC29" s="115"/>
      <c r="AD29" s="115"/>
      <c r="AE29" s="114">
        <v>33.229999999999997</v>
      </c>
      <c r="AF29" s="114"/>
      <c r="AG29" s="115"/>
      <c r="AH29" s="116"/>
      <c r="AI29" s="117"/>
      <c r="AJ29" s="116">
        <v>29.08</v>
      </c>
      <c r="AK29" s="116"/>
      <c r="AL29" s="116"/>
      <c r="AM29" s="116"/>
      <c r="AN29" s="116"/>
      <c r="AO29" s="116"/>
      <c r="AP29" s="116">
        <v>30.04</v>
      </c>
      <c r="AQ29" s="116"/>
      <c r="AR29" s="116">
        <v>30.36</v>
      </c>
      <c r="AS29" s="116"/>
      <c r="AT29" s="116"/>
      <c r="AU29" s="116"/>
      <c r="AV29" s="116"/>
      <c r="AW29" s="116"/>
      <c r="AX29" s="116"/>
      <c r="AY29" s="116"/>
      <c r="AZ29" s="116">
        <f>(26.64+25.57)/2</f>
        <v>26.105</v>
      </c>
      <c r="BA29" s="116"/>
      <c r="BB29" s="116"/>
      <c r="BC29" s="116"/>
      <c r="BD29" s="116"/>
      <c r="BE29" s="116"/>
      <c r="BF29" s="116"/>
      <c r="BG29" s="116"/>
      <c r="BH29" s="116">
        <f>(17+16.9+17)/3</f>
        <v>16.966666666666665</v>
      </c>
      <c r="BI29" s="116"/>
      <c r="BJ29" s="116"/>
      <c r="BK29" s="116">
        <f>(16.9+16.8)/2</f>
        <v>16.850000000000001</v>
      </c>
      <c r="BL29" s="116"/>
      <c r="BM29" s="116">
        <v>14.7</v>
      </c>
      <c r="BN29" s="116"/>
      <c r="BO29" s="116"/>
      <c r="BP29" s="116"/>
      <c r="BQ29" s="116">
        <f>(16.92+16.92)/2</f>
        <v>16.920000000000002</v>
      </c>
      <c r="BR29" s="116"/>
      <c r="BS29" s="116"/>
      <c r="BT29" s="116">
        <f>(19.4+19)/2</f>
        <v>19.2</v>
      </c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 t="s">
        <v>138</v>
      </c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/>
      <c r="DZ29" s="118"/>
      <c r="EA29" s="118"/>
      <c r="EB29" s="118"/>
      <c r="EC29" s="118"/>
      <c r="ED29" s="118"/>
      <c r="EE29" s="118"/>
      <c r="EF29" s="118"/>
      <c r="EG29" s="118"/>
      <c r="EH29" s="118"/>
      <c r="EI29" s="118"/>
      <c r="EJ29" s="118"/>
      <c r="EK29" s="118"/>
    </row>
    <row r="30" spans="1:141" s="119" customFormat="1" x14ac:dyDescent="0.2">
      <c r="A30" s="120" t="s">
        <v>72</v>
      </c>
      <c r="B30" s="108">
        <v>415</v>
      </c>
      <c r="C30" s="108" t="s">
        <v>91</v>
      </c>
      <c r="D30" s="109" t="s">
        <v>12</v>
      </c>
      <c r="E30" s="110">
        <v>40818</v>
      </c>
      <c r="F30" s="110"/>
      <c r="G30" s="105" t="s">
        <v>36</v>
      </c>
      <c r="H30" s="105" t="s">
        <v>36</v>
      </c>
      <c r="I30" s="105" t="s">
        <v>36</v>
      </c>
      <c r="J30" s="122">
        <v>40812</v>
      </c>
      <c r="K30" s="111">
        <v>40822</v>
      </c>
      <c r="L30" s="105" t="s">
        <v>36</v>
      </c>
      <c r="M30" s="105" t="s">
        <v>36</v>
      </c>
      <c r="N30" s="112"/>
      <c r="O30" s="105" t="s">
        <v>36</v>
      </c>
      <c r="P30" s="113"/>
      <c r="Q30" s="113"/>
      <c r="R30" s="113"/>
      <c r="S30" s="113"/>
      <c r="T30" s="114"/>
      <c r="U30" s="113"/>
      <c r="V30" s="113"/>
      <c r="W30" s="113"/>
      <c r="X30" s="115"/>
      <c r="Y30" s="113"/>
      <c r="Z30" s="115"/>
      <c r="AA30" s="115"/>
      <c r="AB30" s="115"/>
      <c r="AC30" s="115"/>
      <c r="AD30" s="115"/>
      <c r="AE30" s="114"/>
      <c r="AF30" s="114"/>
      <c r="AG30" s="115"/>
      <c r="AH30" s="116"/>
      <c r="AI30" s="117"/>
      <c r="AJ30" s="116">
        <f>(30.68+30.52)/2</f>
        <v>30.6</v>
      </c>
      <c r="AK30" s="116"/>
      <c r="AL30" s="116"/>
      <c r="AM30" s="116"/>
      <c r="AN30" s="116"/>
      <c r="AO30" s="116"/>
      <c r="AP30" s="116"/>
      <c r="AQ30" s="116">
        <f>(31+29.08)/2</f>
        <v>30.04</v>
      </c>
      <c r="AR30" s="116"/>
      <c r="AS30" s="116"/>
      <c r="AT30" s="116">
        <f>(28.92+29.08)/2</f>
        <v>29</v>
      </c>
      <c r="AU30" s="116"/>
      <c r="AV30" s="116"/>
      <c r="AW30" s="116"/>
      <c r="AX30" s="116">
        <f>(34.2)</f>
        <v>34.200000000000003</v>
      </c>
      <c r="AY30" s="116"/>
      <c r="AZ30" s="116"/>
      <c r="BA30" s="116">
        <v>22.28</v>
      </c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>
        <v>17.2</v>
      </c>
      <c r="BN30" s="116"/>
      <c r="BO30" s="116"/>
      <c r="BP30" s="116"/>
      <c r="BQ30" s="116">
        <f>(17.84+17.75)/2</f>
        <v>17.795000000000002</v>
      </c>
      <c r="BR30" s="116"/>
      <c r="BS30" s="116"/>
      <c r="BT30" s="116"/>
      <c r="BU30" s="116"/>
      <c r="BV30" s="116">
        <f>(12+11.9)/2</f>
        <v>11.95</v>
      </c>
      <c r="BW30" s="116"/>
      <c r="BX30" s="116"/>
      <c r="BY30" s="116" t="s">
        <v>138</v>
      </c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8"/>
      <c r="DK30" s="118"/>
      <c r="DL30" s="118"/>
      <c r="DM30" s="118"/>
      <c r="DN30" s="118"/>
      <c r="DO30" s="118"/>
      <c r="DP30" s="118"/>
      <c r="DQ30" s="118"/>
      <c r="DR30" s="118"/>
      <c r="DS30" s="118"/>
      <c r="DT30" s="118"/>
      <c r="DU30" s="118"/>
      <c r="DV30" s="118"/>
      <c r="DW30" s="118"/>
      <c r="DX30" s="118"/>
      <c r="DY30" s="118"/>
      <c r="DZ30" s="118"/>
      <c r="EA30" s="118"/>
      <c r="EB30" s="118"/>
      <c r="EC30" s="118"/>
      <c r="ED30" s="118"/>
      <c r="EE30" s="118"/>
      <c r="EF30" s="118"/>
      <c r="EG30" s="118"/>
      <c r="EH30" s="118"/>
      <c r="EI30" s="118"/>
      <c r="EJ30" s="118"/>
      <c r="EK30" s="118"/>
    </row>
    <row r="31" spans="1:141" s="119" customFormat="1" x14ac:dyDescent="0.2">
      <c r="A31" s="106" t="s">
        <v>93</v>
      </c>
      <c r="B31" s="108"/>
      <c r="C31" s="108"/>
      <c r="D31" s="109" t="s">
        <v>13</v>
      </c>
      <c r="E31" s="110"/>
      <c r="F31" s="110"/>
      <c r="G31" s="105"/>
      <c r="H31" s="105"/>
      <c r="I31" s="105"/>
      <c r="J31" s="122"/>
      <c r="K31" s="111"/>
      <c r="L31" s="105"/>
      <c r="M31" s="105"/>
      <c r="N31" s="112"/>
      <c r="O31" s="105"/>
      <c r="P31" s="113"/>
      <c r="Q31" s="113"/>
      <c r="R31" s="113"/>
      <c r="S31" s="113"/>
      <c r="T31" s="114"/>
      <c r="U31" s="113"/>
      <c r="V31" s="113"/>
      <c r="W31" s="113"/>
      <c r="X31" s="115"/>
      <c r="Y31" s="113"/>
      <c r="Z31" s="115"/>
      <c r="AA31" s="115"/>
      <c r="AB31" s="115"/>
      <c r="AC31" s="115"/>
      <c r="AD31" s="115"/>
      <c r="AE31" s="114"/>
      <c r="AF31" s="114"/>
      <c r="AG31" s="115"/>
      <c r="AH31" s="116"/>
      <c r="AI31" s="117"/>
      <c r="AJ31" s="116">
        <v>30.84</v>
      </c>
      <c r="AK31" s="116"/>
      <c r="AL31" s="116"/>
      <c r="AM31" s="116"/>
      <c r="AN31" s="116"/>
      <c r="AO31" s="116"/>
      <c r="AP31" s="116"/>
      <c r="AQ31" s="116">
        <v>30.2</v>
      </c>
      <c r="AR31" s="116"/>
      <c r="AS31" s="116"/>
      <c r="AT31" s="116">
        <v>32.909999999999997</v>
      </c>
      <c r="AU31" s="116"/>
      <c r="AV31" s="116"/>
      <c r="AW31" s="116"/>
      <c r="AX31" s="116">
        <v>33.1</v>
      </c>
      <c r="AY31" s="116"/>
      <c r="AZ31" s="116"/>
      <c r="BA31" s="116">
        <v>27.96</v>
      </c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>
        <v>21.6</v>
      </c>
      <c r="BN31" s="116"/>
      <c r="BO31" s="116"/>
      <c r="BP31" s="116"/>
      <c r="BQ31" s="116">
        <f>(17.75+17.75)/2</f>
        <v>17.75</v>
      </c>
      <c r="BR31" s="116"/>
      <c r="BS31" s="116"/>
      <c r="BT31" s="116"/>
      <c r="BU31" s="116"/>
      <c r="BV31" s="116">
        <v>18</v>
      </c>
      <c r="BW31" s="116"/>
      <c r="BX31" s="116"/>
      <c r="BY31" s="116"/>
      <c r="BZ31" s="116"/>
      <c r="CA31" s="116"/>
      <c r="CB31" s="116"/>
      <c r="CC31" s="116"/>
      <c r="CD31" s="116"/>
      <c r="CE31" s="116"/>
      <c r="CF31" s="116" t="s">
        <v>138</v>
      </c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8"/>
      <c r="DK31" s="118"/>
      <c r="DL31" s="118"/>
      <c r="DM31" s="118"/>
      <c r="DN31" s="118"/>
      <c r="DO31" s="118"/>
      <c r="DP31" s="118"/>
      <c r="DQ31" s="118"/>
      <c r="DR31" s="118"/>
      <c r="DS31" s="118"/>
      <c r="DT31" s="118"/>
      <c r="DU31" s="118"/>
      <c r="DV31" s="118"/>
      <c r="DW31" s="118"/>
      <c r="DX31" s="118"/>
      <c r="DY31" s="118"/>
      <c r="DZ31" s="118"/>
      <c r="EA31" s="118"/>
      <c r="EB31" s="118"/>
      <c r="EC31" s="118"/>
      <c r="ED31" s="118"/>
      <c r="EE31" s="118"/>
      <c r="EF31" s="118"/>
      <c r="EG31" s="118"/>
      <c r="EH31" s="118"/>
      <c r="EI31" s="118"/>
      <c r="EJ31" s="118"/>
      <c r="EK31" s="118"/>
    </row>
    <row r="32" spans="1:141" s="119" customFormat="1" x14ac:dyDescent="0.2">
      <c r="A32" s="120" t="s">
        <v>94</v>
      </c>
      <c r="B32" s="108">
        <v>416</v>
      </c>
      <c r="C32" s="108" t="s">
        <v>91</v>
      </c>
      <c r="D32" s="109" t="s">
        <v>12</v>
      </c>
      <c r="E32" s="110">
        <v>40819</v>
      </c>
      <c r="F32" s="110">
        <v>40854</v>
      </c>
      <c r="G32" s="105" t="s">
        <v>36</v>
      </c>
      <c r="H32" s="105" t="s">
        <v>36</v>
      </c>
      <c r="I32" s="105" t="s">
        <v>36</v>
      </c>
      <c r="J32" s="122">
        <v>40812</v>
      </c>
      <c r="K32" s="111">
        <v>40822</v>
      </c>
      <c r="L32" s="105" t="s">
        <v>35</v>
      </c>
      <c r="M32" s="105" t="s">
        <v>35</v>
      </c>
      <c r="N32" s="112"/>
      <c r="O32" s="105" t="s">
        <v>36</v>
      </c>
      <c r="P32" s="113"/>
      <c r="Q32" s="113"/>
      <c r="R32" s="113"/>
      <c r="S32" s="113"/>
      <c r="T32" s="114"/>
      <c r="U32" s="113"/>
      <c r="V32" s="113"/>
      <c r="W32" s="113"/>
      <c r="X32" s="115"/>
      <c r="Y32" s="113"/>
      <c r="Z32" s="115"/>
      <c r="AA32" s="115"/>
      <c r="AB32" s="115"/>
      <c r="AC32" s="115"/>
      <c r="AD32" s="115"/>
      <c r="AE32" s="114"/>
      <c r="AF32" s="114"/>
      <c r="AG32" s="115"/>
      <c r="AH32" s="116"/>
      <c r="AI32" s="117"/>
      <c r="AJ32" s="116">
        <f>(31.32+33.55)/2</f>
        <v>32.435000000000002</v>
      </c>
      <c r="AK32" s="116"/>
      <c r="AL32" s="116"/>
      <c r="AM32" s="116"/>
      <c r="AN32" s="116"/>
      <c r="AO32" s="116"/>
      <c r="AP32" s="116"/>
      <c r="AQ32" s="116">
        <f>(30.2+29.88)/2</f>
        <v>30.04</v>
      </c>
      <c r="AR32" s="116"/>
      <c r="AS32" s="116"/>
      <c r="AT32" s="116">
        <f>(31.79+30.84)/2</f>
        <v>31.314999999999998</v>
      </c>
      <c r="AU32" s="116"/>
      <c r="AV32" s="116"/>
      <c r="AW32" s="116"/>
      <c r="AX32" s="116">
        <f>(30.1+23.2)/2</f>
        <v>26.65</v>
      </c>
      <c r="AY32" s="116"/>
      <c r="AZ32" s="116"/>
      <c r="BA32" s="116">
        <v>22.82</v>
      </c>
      <c r="BB32" s="116"/>
      <c r="BC32" s="116"/>
      <c r="BD32" s="116"/>
      <c r="BE32" s="116"/>
      <c r="BF32" s="116"/>
      <c r="BG32" s="116"/>
      <c r="BH32" s="116"/>
      <c r="BI32" s="116"/>
      <c r="BJ32" s="116"/>
      <c r="BK32" s="116">
        <f>(17.6+17.4)/2</f>
        <v>17.5</v>
      </c>
      <c r="BL32" s="116"/>
      <c r="BM32" s="116"/>
      <c r="BN32" s="116"/>
      <c r="BO32" s="116"/>
      <c r="BP32" s="116"/>
      <c r="BQ32" s="116">
        <f>(16.92+16.82)/2</f>
        <v>16.87</v>
      </c>
      <c r="BR32" s="116"/>
      <c r="BS32" s="116"/>
      <c r="BT32" s="116" t="s">
        <v>138</v>
      </c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8"/>
      <c r="DK32" s="118"/>
      <c r="DL32" s="118"/>
      <c r="DM32" s="118"/>
      <c r="DN32" s="118"/>
      <c r="DO32" s="118"/>
      <c r="DP32" s="118"/>
      <c r="DQ32" s="118"/>
      <c r="DR32" s="118"/>
      <c r="DS32" s="118"/>
      <c r="DT32" s="118"/>
      <c r="DU32" s="118"/>
      <c r="DV32" s="118"/>
      <c r="DW32" s="118"/>
      <c r="DX32" s="118"/>
      <c r="DY32" s="118"/>
      <c r="DZ32" s="118"/>
      <c r="EA32" s="118"/>
      <c r="EB32" s="118"/>
      <c r="EC32" s="118"/>
      <c r="ED32" s="118"/>
      <c r="EE32" s="118"/>
      <c r="EF32" s="118"/>
      <c r="EG32" s="118"/>
      <c r="EH32" s="118"/>
      <c r="EI32" s="118"/>
      <c r="EJ32" s="118"/>
      <c r="EK32" s="118"/>
    </row>
    <row r="33" spans="1:141" s="119" customFormat="1" x14ac:dyDescent="0.2">
      <c r="A33" s="106" t="s">
        <v>95</v>
      </c>
      <c r="B33" s="107"/>
      <c r="C33" s="108"/>
      <c r="D33" s="109" t="s">
        <v>13</v>
      </c>
      <c r="E33" s="110"/>
      <c r="F33" s="110"/>
      <c r="G33" s="105"/>
      <c r="H33" s="105"/>
      <c r="I33" s="105"/>
      <c r="J33" s="122"/>
      <c r="K33" s="111"/>
      <c r="L33" s="105"/>
      <c r="M33" s="105"/>
      <c r="N33" s="112"/>
      <c r="O33" s="105"/>
      <c r="P33" s="113"/>
      <c r="Q33" s="113"/>
      <c r="R33" s="113"/>
      <c r="S33" s="113"/>
      <c r="T33" s="114"/>
      <c r="U33" s="113"/>
      <c r="V33" s="113"/>
      <c r="W33" s="113"/>
      <c r="X33" s="115"/>
      <c r="Y33" s="113"/>
      <c r="Z33" s="115"/>
      <c r="AA33" s="115"/>
      <c r="AB33" s="115"/>
      <c r="AC33" s="115"/>
      <c r="AD33" s="115"/>
      <c r="AE33" s="114"/>
      <c r="AF33" s="114"/>
      <c r="AG33" s="115"/>
      <c r="AH33" s="116"/>
      <c r="AI33" s="117"/>
      <c r="AJ33" s="116">
        <v>30.04</v>
      </c>
      <c r="AK33" s="116"/>
      <c r="AL33" s="116"/>
      <c r="AM33" s="116"/>
      <c r="AN33" s="116"/>
      <c r="AO33" s="116"/>
      <c r="AP33" s="116"/>
      <c r="AQ33" s="116">
        <v>29.24</v>
      </c>
      <c r="AR33" s="116"/>
      <c r="AS33" s="116"/>
      <c r="AT33" s="116">
        <v>29.72</v>
      </c>
      <c r="AU33" s="116"/>
      <c r="AV33" s="116"/>
      <c r="AW33" s="116"/>
      <c r="AX33" s="116">
        <v>32.700000000000003</v>
      </c>
      <c r="AY33" s="116"/>
      <c r="AZ33" s="116"/>
      <c r="BA33" s="116">
        <v>25.78</v>
      </c>
      <c r="BB33" s="116"/>
      <c r="BC33" s="116"/>
      <c r="BD33" s="116"/>
      <c r="BE33" s="116"/>
      <c r="BF33" s="116"/>
      <c r="BG33" s="116"/>
      <c r="BH33" s="116"/>
      <c r="BI33" s="116"/>
      <c r="BJ33" s="116"/>
      <c r="BK33" s="116">
        <v>19</v>
      </c>
      <c r="BL33" s="116"/>
      <c r="BM33" s="116"/>
      <c r="BN33" s="116"/>
      <c r="BO33" s="116"/>
      <c r="BP33" s="116"/>
      <c r="BQ33" s="116">
        <f>(17.2+17.29)/2</f>
        <v>17.244999999999997</v>
      </c>
      <c r="BR33" s="116"/>
      <c r="BS33" s="116"/>
      <c r="BT33" s="116" t="s">
        <v>138</v>
      </c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8"/>
      <c r="DK33" s="118"/>
      <c r="DL33" s="118"/>
      <c r="DM33" s="118"/>
      <c r="DN33" s="118"/>
      <c r="DO33" s="118"/>
      <c r="DP33" s="118"/>
      <c r="DQ33" s="118"/>
      <c r="DR33" s="118"/>
      <c r="DS33" s="118"/>
      <c r="DT33" s="118"/>
      <c r="DU33" s="118"/>
      <c r="DV33" s="118"/>
      <c r="DW33" s="118"/>
      <c r="DX33" s="118"/>
      <c r="DY33" s="118"/>
      <c r="DZ33" s="118"/>
      <c r="EA33" s="118"/>
      <c r="EB33" s="118"/>
      <c r="EC33" s="118"/>
      <c r="ED33" s="118"/>
      <c r="EE33" s="118"/>
      <c r="EF33" s="118"/>
      <c r="EG33" s="118"/>
      <c r="EH33" s="118"/>
      <c r="EI33" s="118"/>
      <c r="EJ33" s="118"/>
      <c r="EK33" s="118"/>
    </row>
    <row r="34" spans="1:141" s="119" customFormat="1" x14ac:dyDescent="0.2">
      <c r="A34" s="120" t="s">
        <v>96</v>
      </c>
      <c r="B34" s="108">
        <v>417</v>
      </c>
      <c r="C34" s="108" t="s">
        <v>91</v>
      </c>
      <c r="D34" s="109" t="s">
        <v>12</v>
      </c>
      <c r="E34" s="110">
        <v>40820</v>
      </c>
      <c r="F34" s="110">
        <v>40854</v>
      </c>
      <c r="G34" s="105" t="s">
        <v>36</v>
      </c>
      <c r="H34" s="105" t="s">
        <v>36</v>
      </c>
      <c r="I34" s="105" t="s">
        <v>36</v>
      </c>
      <c r="J34" s="122">
        <v>40812</v>
      </c>
      <c r="K34" s="111">
        <v>40821</v>
      </c>
      <c r="L34" s="105" t="s">
        <v>35</v>
      </c>
      <c r="M34" s="105" t="s">
        <v>35</v>
      </c>
      <c r="N34" s="112"/>
      <c r="O34" s="105" t="s">
        <v>36</v>
      </c>
      <c r="P34" s="113"/>
      <c r="Q34" s="113"/>
      <c r="R34" s="113"/>
      <c r="S34" s="113"/>
      <c r="T34" s="114"/>
      <c r="U34" s="113"/>
      <c r="V34" s="113"/>
      <c r="W34" s="113"/>
      <c r="X34" s="115"/>
      <c r="Y34" s="113"/>
      <c r="Z34" s="115"/>
      <c r="AA34" s="115"/>
      <c r="AB34" s="115"/>
      <c r="AC34" s="115"/>
      <c r="AD34" s="115"/>
      <c r="AE34" s="114"/>
      <c r="AF34" s="114"/>
      <c r="AG34" s="115"/>
      <c r="AH34" s="116"/>
      <c r="AI34" s="117">
        <v>33.869999999999997</v>
      </c>
      <c r="AJ34" s="116"/>
      <c r="AK34" s="116"/>
      <c r="AL34" s="116"/>
      <c r="AM34" s="116"/>
      <c r="AN34" s="116"/>
      <c r="AO34" s="116"/>
      <c r="AP34" s="116">
        <f>(36.27+29.08)/2</f>
        <v>32.674999999999997</v>
      </c>
      <c r="AQ34" s="116"/>
      <c r="AR34" s="116"/>
      <c r="AS34" s="116">
        <v>27.96</v>
      </c>
      <c r="AT34" s="116"/>
      <c r="AU34" s="116"/>
      <c r="AV34" s="116"/>
      <c r="AW34" s="116">
        <f>(21.71+27)/2</f>
        <v>24.355</v>
      </c>
      <c r="AX34" s="116"/>
      <c r="AY34" s="116">
        <f>(25.15+27.48)/2</f>
        <v>26.314999999999998</v>
      </c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>
        <v>20.079999999999998</v>
      </c>
      <c r="BM34" s="116"/>
      <c r="BN34" s="116"/>
      <c r="BO34" s="116"/>
      <c r="BP34" s="116"/>
      <c r="BQ34" s="116">
        <v>24</v>
      </c>
      <c r="BR34" s="116"/>
      <c r="BS34" s="116"/>
      <c r="BT34" s="116"/>
      <c r="BU34" s="116">
        <f>(25.2+27)/2</f>
        <v>26.1</v>
      </c>
      <c r="BV34" s="116"/>
      <c r="BW34" s="116"/>
      <c r="BX34" s="116"/>
      <c r="BY34" s="116">
        <f>(15+15.8)/2</f>
        <v>15.4</v>
      </c>
      <c r="BZ34" s="116"/>
      <c r="CA34" s="116"/>
      <c r="CB34" s="116"/>
      <c r="CC34" s="116"/>
      <c r="CD34" s="116"/>
      <c r="CE34" s="116"/>
      <c r="CF34" s="116">
        <f>(13.1+15.8)/2</f>
        <v>14.45</v>
      </c>
      <c r="CG34" s="116"/>
      <c r="CH34" s="116"/>
      <c r="CI34" s="116"/>
      <c r="CJ34" s="116"/>
      <c r="CK34" s="116"/>
      <c r="CL34" s="116"/>
      <c r="CM34" s="116"/>
      <c r="CN34" s="116"/>
      <c r="CO34" s="116"/>
      <c r="CP34" s="116" t="s">
        <v>138</v>
      </c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</row>
    <row r="35" spans="1:141" s="119" customFormat="1" x14ac:dyDescent="0.2">
      <c r="A35" s="106" t="s">
        <v>97</v>
      </c>
      <c r="B35" s="108"/>
      <c r="C35" s="108"/>
      <c r="D35" s="109" t="s">
        <v>13</v>
      </c>
      <c r="E35" s="110"/>
      <c r="F35" s="110"/>
      <c r="G35" s="105"/>
      <c r="H35" s="105"/>
      <c r="I35" s="105"/>
      <c r="J35" s="122"/>
      <c r="K35" s="111"/>
      <c r="L35" s="105"/>
      <c r="M35" s="105"/>
      <c r="N35" s="112"/>
      <c r="O35" s="105"/>
      <c r="P35" s="113"/>
      <c r="Q35" s="113"/>
      <c r="R35" s="113"/>
      <c r="S35" s="113"/>
      <c r="T35" s="114"/>
      <c r="U35" s="113"/>
      <c r="V35" s="113"/>
      <c r="W35" s="113"/>
      <c r="X35" s="115"/>
      <c r="Y35" s="113"/>
      <c r="Z35" s="115"/>
      <c r="AA35" s="115"/>
      <c r="AB35" s="115"/>
      <c r="AC35" s="115"/>
      <c r="AD35" s="115"/>
      <c r="AE35" s="114"/>
      <c r="AF35" s="114"/>
      <c r="AG35" s="115"/>
      <c r="AH35" s="116"/>
      <c r="AI35" s="117">
        <v>31.16</v>
      </c>
      <c r="AJ35" s="116"/>
      <c r="AK35" s="116"/>
      <c r="AL35" s="116"/>
      <c r="AM35" s="116"/>
      <c r="AN35" s="116"/>
      <c r="AO35" s="116"/>
      <c r="AP35" s="116">
        <v>29.56</v>
      </c>
      <c r="AQ35" s="116"/>
      <c r="AR35" s="116"/>
      <c r="AS35" s="116">
        <v>28.6</v>
      </c>
      <c r="AT35" s="116"/>
      <c r="AU35" s="116"/>
      <c r="AV35" s="116"/>
      <c r="AW35" s="116">
        <v>29.08</v>
      </c>
      <c r="AX35" s="116"/>
      <c r="AY35" s="116">
        <v>28.6</v>
      </c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>
        <v>18.989999999999998</v>
      </c>
      <c r="BM35" s="116"/>
      <c r="BN35" s="116"/>
      <c r="BO35" s="116"/>
      <c r="BP35" s="116"/>
      <c r="BQ35" s="116">
        <f>(25+23.2)/2</f>
        <v>24.1</v>
      </c>
      <c r="BR35" s="116"/>
      <c r="BS35" s="116"/>
      <c r="BT35" s="116"/>
      <c r="BU35" s="116">
        <f>(19.2+22)/2</f>
        <v>20.6</v>
      </c>
      <c r="BV35" s="116"/>
      <c r="BW35" s="116"/>
      <c r="BX35" s="116"/>
      <c r="BY35" s="116">
        <f>(21.2+23)/2</f>
        <v>22.1</v>
      </c>
      <c r="BZ35" s="116"/>
      <c r="CA35" s="116"/>
      <c r="CB35" s="116"/>
      <c r="CC35" s="116"/>
      <c r="CD35" s="116"/>
      <c r="CE35" s="116"/>
      <c r="CF35" s="116" t="s">
        <v>138</v>
      </c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8"/>
      <c r="DK35" s="118"/>
      <c r="DL35" s="118"/>
      <c r="DM35" s="118"/>
      <c r="DN35" s="118"/>
      <c r="DO35" s="118"/>
      <c r="DP35" s="118"/>
      <c r="DQ35" s="118"/>
      <c r="DR35" s="118"/>
      <c r="DS35" s="118"/>
      <c r="DT35" s="118"/>
      <c r="DU35" s="118"/>
      <c r="DV35" s="118"/>
      <c r="DW35" s="118"/>
      <c r="DX35" s="118"/>
      <c r="DY35" s="118"/>
      <c r="DZ35" s="118"/>
      <c r="EA35" s="118"/>
      <c r="EB35" s="118"/>
      <c r="EC35" s="118"/>
      <c r="ED35" s="118"/>
      <c r="EE35" s="118"/>
      <c r="EF35" s="118"/>
      <c r="EG35" s="118"/>
      <c r="EH35" s="118"/>
      <c r="EI35" s="118"/>
      <c r="EJ35" s="118"/>
      <c r="EK35" s="118"/>
    </row>
    <row r="36" spans="1:141" s="119" customFormat="1" x14ac:dyDescent="0.2">
      <c r="A36" s="120" t="s">
        <v>74</v>
      </c>
      <c r="B36" s="108">
        <v>418</v>
      </c>
      <c r="C36" s="108" t="s">
        <v>29</v>
      </c>
      <c r="D36" s="109" t="s">
        <v>12</v>
      </c>
      <c r="E36" s="110">
        <v>40814</v>
      </c>
      <c r="F36" s="110">
        <v>40864</v>
      </c>
      <c r="G36" s="105" t="s">
        <v>36</v>
      </c>
      <c r="H36" s="105" t="s">
        <v>36</v>
      </c>
      <c r="I36" s="105" t="s">
        <v>36</v>
      </c>
      <c r="J36" s="122">
        <v>40806</v>
      </c>
      <c r="K36" s="111">
        <v>40821</v>
      </c>
      <c r="L36" s="105" t="s">
        <v>36</v>
      </c>
      <c r="M36" s="105" t="s">
        <v>36</v>
      </c>
      <c r="N36" s="112"/>
      <c r="O36" s="105" t="s">
        <v>36</v>
      </c>
      <c r="P36" s="113"/>
      <c r="Q36" s="113"/>
      <c r="R36" s="113"/>
      <c r="S36" s="113"/>
      <c r="T36" s="114"/>
      <c r="U36" s="113"/>
      <c r="V36" s="113"/>
      <c r="W36" s="113"/>
      <c r="X36" s="115"/>
      <c r="Y36" s="113"/>
      <c r="Z36" s="115"/>
      <c r="AA36" s="115"/>
      <c r="AB36" s="115"/>
      <c r="AC36" s="115"/>
      <c r="AD36" s="115"/>
      <c r="AE36" s="114" t="s">
        <v>124</v>
      </c>
      <c r="AF36" s="114"/>
      <c r="AG36" s="115"/>
      <c r="AH36" s="116"/>
      <c r="AI36" s="117"/>
      <c r="AJ36" s="116">
        <f>(30.04+30.84)/2</f>
        <v>30.439999999999998</v>
      </c>
      <c r="AK36" s="116"/>
      <c r="AL36" s="116"/>
      <c r="AM36" s="116"/>
      <c r="AN36" s="116"/>
      <c r="AO36" s="116"/>
      <c r="AP36" s="116"/>
      <c r="AQ36" s="116">
        <f>(28.76+28.44)/2</f>
        <v>28.6</v>
      </c>
      <c r="AR36" s="116"/>
      <c r="AS36" s="116"/>
      <c r="AT36" s="116">
        <f>(27.64+27.48)/2</f>
        <v>27.560000000000002</v>
      </c>
      <c r="AU36" s="116"/>
      <c r="AV36" s="116"/>
      <c r="AW36" s="116"/>
      <c r="AX36" s="116">
        <f>(16.75+27.96)/2</f>
        <v>22.355</v>
      </c>
      <c r="AY36" s="116"/>
      <c r="AZ36" s="116"/>
      <c r="BA36" s="116"/>
      <c r="BB36" s="116">
        <f>(18.9+20.08+19.58)/3</f>
        <v>19.52</v>
      </c>
      <c r="BC36" s="116"/>
      <c r="BD36" s="116"/>
      <c r="BE36" s="116">
        <f>(17+16.7+16.9)/3</f>
        <v>16.866666666666667</v>
      </c>
      <c r="BF36" s="116"/>
      <c r="BG36" s="116"/>
      <c r="BH36" s="116"/>
      <c r="BI36" s="116"/>
      <c r="BJ36" s="116"/>
      <c r="BK36" s="116">
        <v>15.7</v>
      </c>
      <c r="BL36" s="116"/>
      <c r="BM36" s="116"/>
      <c r="BN36" s="116">
        <f>(21.4+16.1)/2</f>
        <v>18.75</v>
      </c>
      <c r="BO36" s="116"/>
      <c r="BP36" s="116"/>
      <c r="BQ36" s="116">
        <f>(13)</f>
        <v>13</v>
      </c>
      <c r="BR36" s="116"/>
      <c r="BS36" s="116"/>
      <c r="BT36" s="116" t="s">
        <v>138</v>
      </c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8"/>
      <c r="DK36" s="118"/>
      <c r="DL36" s="118"/>
      <c r="DM36" s="118"/>
      <c r="DN36" s="118"/>
      <c r="DO36" s="118"/>
      <c r="DP36" s="118"/>
      <c r="DQ36" s="118"/>
      <c r="DR36" s="118"/>
      <c r="DS36" s="118"/>
      <c r="DT36" s="118"/>
      <c r="DU36" s="118"/>
      <c r="DV36" s="118"/>
      <c r="DW36" s="118"/>
      <c r="DX36" s="118"/>
      <c r="DY36" s="118"/>
      <c r="DZ36" s="118"/>
      <c r="EA36" s="118"/>
      <c r="EB36" s="118"/>
      <c r="EC36" s="118"/>
      <c r="ED36" s="118"/>
      <c r="EE36" s="118"/>
      <c r="EF36" s="118"/>
      <c r="EG36" s="118"/>
      <c r="EH36" s="118"/>
      <c r="EI36" s="118"/>
      <c r="EJ36" s="118"/>
      <c r="EK36" s="118"/>
    </row>
    <row r="37" spans="1:141" s="119" customFormat="1" x14ac:dyDescent="0.2">
      <c r="A37" s="106" t="s">
        <v>98</v>
      </c>
      <c r="B37" s="108"/>
      <c r="C37" s="108"/>
      <c r="D37" s="109" t="s">
        <v>13</v>
      </c>
      <c r="E37" s="110"/>
      <c r="F37" s="110"/>
      <c r="G37" s="105"/>
      <c r="H37" s="105"/>
      <c r="I37" s="105"/>
      <c r="J37" s="122"/>
      <c r="K37" s="111"/>
      <c r="L37" s="105"/>
      <c r="M37" s="105"/>
      <c r="N37" s="112"/>
      <c r="O37" s="105"/>
      <c r="P37" s="113"/>
      <c r="Q37" s="113"/>
      <c r="R37" s="113"/>
      <c r="S37" s="113"/>
      <c r="T37" s="114"/>
      <c r="U37" s="113"/>
      <c r="V37" s="113"/>
      <c r="W37" s="113"/>
      <c r="X37" s="115"/>
      <c r="Y37" s="113"/>
      <c r="Z37" s="115"/>
      <c r="AA37" s="115"/>
      <c r="AB37" s="115"/>
      <c r="AC37" s="115"/>
      <c r="AD37" s="115"/>
      <c r="AE37" s="114">
        <v>31.47</v>
      </c>
      <c r="AF37" s="114"/>
      <c r="AG37" s="115"/>
      <c r="AH37" s="116"/>
      <c r="AI37" s="117"/>
      <c r="AJ37" s="116">
        <v>25.96</v>
      </c>
      <c r="AK37" s="116"/>
      <c r="AL37" s="116"/>
      <c r="AM37" s="116"/>
      <c r="AN37" s="116"/>
      <c r="AO37" s="116"/>
      <c r="AP37" s="116"/>
      <c r="AQ37" s="116">
        <v>27</v>
      </c>
      <c r="AR37" s="116"/>
      <c r="AS37" s="116"/>
      <c r="AT37" s="116">
        <v>26.07</v>
      </c>
      <c r="AU37" s="116"/>
      <c r="AV37" s="116"/>
      <c r="AW37" s="116"/>
      <c r="AX37" s="116">
        <v>26.07</v>
      </c>
      <c r="AY37" s="116"/>
      <c r="AZ37" s="116"/>
      <c r="BA37" s="116"/>
      <c r="BB37" s="116">
        <f>(20.4+19.41+18.9)/3</f>
        <v>19.57</v>
      </c>
      <c r="BC37" s="116"/>
      <c r="BD37" s="116"/>
      <c r="BE37" s="116">
        <f>(13.8+13.5)/2</f>
        <v>13.65</v>
      </c>
      <c r="BF37" s="116"/>
      <c r="BG37" s="116"/>
      <c r="BH37" s="116"/>
      <c r="BI37" s="116"/>
      <c r="BJ37" s="116"/>
      <c r="BK37" s="116">
        <v>21.1</v>
      </c>
      <c r="BL37" s="116"/>
      <c r="BM37" s="116"/>
      <c r="BN37" s="116"/>
      <c r="BO37" s="116"/>
      <c r="BP37" s="116"/>
      <c r="BQ37" s="116">
        <v>17</v>
      </c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 t="s">
        <v>138</v>
      </c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8"/>
      <c r="DK37" s="118"/>
      <c r="DL37" s="118"/>
      <c r="DM37" s="118"/>
      <c r="DN37" s="118"/>
      <c r="DO37" s="118"/>
      <c r="DP37" s="118"/>
      <c r="DQ37" s="118"/>
      <c r="DR37" s="118"/>
      <c r="DS37" s="118"/>
      <c r="DT37" s="118"/>
      <c r="DU37" s="118"/>
      <c r="DV37" s="118"/>
      <c r="DW37" s="118"/>
      <c r="DX37" s="118"/>
      <c r="DY37" s="118"/>
      <c r="DZ37" s="118"/>
      <c r="EA37" s="118"/>
      <c r="EB37" s="118"/>
      <c r="EC37" s="118"/>
      <c r="ED37" s="118"/>
      <c r="EE37" s="118"/>
      <c r="EF37" s="118"/>
      <c r="EG37" s="118"/>
      <c r="EH37" s="118"/>
      <c r="EI37" s="118"/>
      <c r="EJ37" s="118"/>
      <c r="EK37" s="118"/>
    </row>
    <row r="38" spans="1:141" s="119" customFormat="1" x14ac:dyDescent="0.2">
      <c r="A38" s="120" t="s">
        <v>75</v>
      </c>
      <c r="B38" s="108">
        <v>419</v>
      </c>
      <c r="C38" s="108" t="s">
        <v>29</v>
      </c>
      <c r="D38" s="109" t="s">
        <v>12</v>
      </c>
      <c r="E38" s="110">
        <v>40816</v>
      </c>
      <c r="F38" s="110">
        <v>40837</v>
      </c>
      <c r="G38" s="105" t="s">
        <v>36</v>
      </c>
      <c r="H38" s="105" t="s">
        <v>36</v>
      </c>
      <c r="I38" s="105" t="s">
        <v>36</v>
      </c>
      <c r="J38" s="122">
        <v>40803</v>
      </c>
      <c r="K38" s="111">
        <v>40821</v>
      </c>
      <c r="L38" s="105" t="s">
        <v>36</v>
      </c>
      <c r="M38" s="105" t="s">
        <v>36</v>
      </c>
      <c r="N38" s="112"/>
      <c r="O38" s="105" t="s">
        <v>36</v>
      </c>
      <c r="P38" s="113"/>
      <c r="Q38" s="113"/>
      <c r="R38" s="113"/>
      <c r="S38" s="113"/>
      <c r="T38" s="114"/>
      <c r="U38" s="113"/>
      <c r="V38" s="113"/>
      <c r="W38" s="113"/>
      <c r="X38" s="115"/>
      <c r="Y38" s="113"/>
      <c r="Z38" s="115"/>
      <c r="AA38" s="115"/>
      <c r="AB38" s="115"/>
      <c r="AC38" s="115"/>
      <c r="AD38" s="115"/>
      <c r="AE38" s="114">
        <v>30.2</v>
      </c>
      <c r="AF38" s="114">
        <f>(29.88+31.16)/2</f>
        <v>30.52</v>
      </c>
      <c r="AG38" s="115"/>
      <c r="AH38" s="116"/>
      <c r="AI38" s="117">
        <f>(31.47+30.04)/2</f>
        <v>30.754999999999999</v>
      </c>
      <c r="AJ38" s="116"/>
      <c r="AK38" s="116">
        <v>34.020000000000003</v>
      </c>
      <c r="AL38" s="116"/>
      <c r="AM38" s="116"/>
      <c r="AN38" s="116"/>
      <c r="AO38" s="116"/>
      <c r="AP38" s="116"/>
      <c r="AQ38" s="116">
        <f>(25.15+23.98)/2</f>
        <v>24.564999999999998</v>
      </c>
      <c r="AR38" s="116"/>
      <c r="AS38" s="116">
        <f>(20.75+20.58)/2</f>
        <v>20.664999999999999</v>
      </c>
      <c r="AT38" s="116"/>
      <c r="AU38" s="116"/>
      <c r="AV38" s="116"/>
      <c r="AW38" s="116"/>
      <c r="AX38" s="116">
        <f>(17.34+18.29)/2</f>
        <v>17.814999999999998</v>
      </c>
      <c r="AY38" s="116"/>
      <c r="AZ38" s="116"/>
      <c r="BA38" s="116"/>
      <c r="BB38" s="116"/>
      <c r="BC38" s="116"/>
      <c r="BD38" s="116">
        <f>(12.17+12.39+12.61)/3</f>
        <v>12.39</v>
      </c>
      <c r="BE38" s="116"/>
      <c r="BF38" s="116"/>
      <c r="BG38" s="116"/>
      <c r="BH38" s="116">
        <f>(13.27+12.83)/2</f>
        <v>13.05</v>
      </c>
      <c r="BI38" s="116"/>
      <c r="BJ38" s="116"/>
      <c r="BK38" s="116">
        <v>14.95</v>
      </c>
      <c r="BL38" s="116"/>
      <c r="BM38" s="116">
        <v>13.48</v>
      </c>
      <c r="BN38" s="116"/>
      <c r="BO38" s="116"/>
      <c r="BP38" s="116"/>
      <c r="BQ38" s="116">
        <f>(12.61)</f>
        <v>12.61</v>
      </c>
      <c r="BR38" s="116"/>
      <c r="BS38" s="116" t="s">
        <v>138</v>
      </c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8"/>
      <c r="DK38" s="118"/>
      <c r="DL38" s="118"/>
      <c r="DM38" s="118"/>
      <c r="DN38" s="118"/>
      <c r="DO38" s="118"/>
      <c r="DP38" s="118"/>
      <c r="DQ38" s="118"/>
      <c r="DR38" s="118"/>
      <c r="DS38" s="118"/>
      <c r="DT38" s="118"/>
      <c r="DU38" s="118"/>
      <c r="DV38" s="118"/>
      <c r="DW38" s="118"/>
      <c r="DX38" s="118"/>
      <c r="DY38" s="118"/>
      <c r="DZ38" s="118"/>
      <c r="EA38" s="118"/>
      <c r="EB38" s="118"/>
      <c r="EC38" s="118"/>
      <c r="ED38" s="118"/>
      <c r="EE38" s="118"/>
      <c r="EF38" s="118"/>
      <c r="EG38" s="118"/>
      <c r="EH38" s="118"/>
      <c r="EI38" s="118"/>
      <c r="EJ38" s="118"/>
      <c r="EK38" s="118"/>
    </row>
    <row r="39" spans="1:141" s="119" customFormat="1" x14ac:dyDescent="0.2">
      <c r="A39" s="106" t="s">
        <v>100</v>
      </c>
      <c r="B39" s="108"/>
      <c r="C39" s="108"/>
      <c r="D39" s="109" t="s">
        <v>13</v>
      </c>
      <c r="E39" s="110"/>
      <c r="F39" s="110"/>
      <c r="G39" s="105"/>
      <c r="H39" s="105"/>
      <c r="I39" s="105"/>
      <c r="J39" s="122"/>
      <c r="K39" s="111"/>
      <c r="L39" s="105"/>
      <c r="M39" s="105"/>
      <c r="N39" s="112"/>
      <c r="O39" s="105"/>
      <c r="P39" s="113"/>
      <c r="Q39" s="113"/>
      <c r="R39" s="113"/>
      <c r="S39" s="113"/>
      <c r="T39" s="114"/>
      <c r="U39" s="113"/>
      <c r="V39" s="113"/>
      <c r="W39" s="113"/>
      <c r="X39" s="115"/>
      <c r="Y39" s="113"/>
      <c r="Z39" s="115"/>
      <c r="AA39" s="115"/>
      <c r="AB39" s="115"/>
      <c r="AC39" s="115"/>
      <c r="AD39" s="115"/>
      <c r="AE39" s="114">
        <v>27.16</v>
      </c>
      <c r="AF39" s="114"/>
      <c r="AG39" s="115"/>
      <c r="AH39" s="116"/>
      <c r="AI39" s="117">
        <v>25.76</v>
      </c>
      <c r="AJ39" s="116"/>
      <c r="AK39" s="116">
        <v>28.76</v>
      </c>
      <c r="AL39" s="116"/>
      <c r="AM39" s="116"/>
      <c r="AN39" s="116"/>
      <c r="AO39" s="116"/>
      <c r="AP39" s="116"/>
      <c r="AQ39" s="116">
        <v>23.48</v>
      </c>
      <c r="AR39" s="116"/>
      <c r="AS39" s="116">
        <v>21.55</v>
      </c>
      <c r="AT39" s="116"/>
      <c r="AU39" s="116"/>
      <c r="AV39" s="116"/>
      <c r="AW39" s="116"/>
      <c r="AX39" s="116">
        <v>19.73</v>
      </c>
      <c r="AY39" s="116"/>
      <c r="AZ39" s="116"/>
      <c r="BA39" s="116"/>
      <c r="BB39" s="116"/>
      <c r="BC39" s="116"/>
      <c r="BD39" s="116">
        <f>(12.17+16.73+16.92)/3</f>
        <v>15.273333333333333</v>
      </c>
      <c r="BE39" s="116"/>
      <c r="BF39" s="116"/>
      <c r="BG39" s="116"/>
      <c r="BH39" s="116">
        <f>(17.66+17.1)/2</f>
        <v>17.380000000000003</v>
      </c>
      <c r="BI39" s="116"/>
      <c r="BJ39" s="116"/>
      <c r="BK39" s="116">
        <v>14.95</v>
      </c>
      <c r="BL39" s="116"/>
      <c r="BM39" s="116">
        <v>14.95</v>
      </c>
      <c r="BN39" s="116"/>
      <c r="BO39" s="116"/>
      <c r="BP39" s="116"/>
      <c r="BQ39" s="116">
        <f>(16.73+15.73)/2</f>
        <v>16.23</v>
      </c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 t="s">
        <v>138</v>
      </c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8"/>
      <c r="DK39" s="118"/>
      <c r="DL39" s="118"/>
      <c r="DM39" s="118"/>
      <c r="DN39" s="118"/>
      <c r="DO39" s="118"/>
      <c r="DP39" s="118"/>
      <c r="DQ39" s="118"/>
      <c r="DR39" s="118"/>
      <c r="DS39" s="118"/>
      <c r="DT39" s="118"/>
      <c r="DU39" s="118"/>
      <c r="DV39" s="118"/>
      <c r="DW39" s="118"/>
      <c r="DX39" s="118"/>
      <c r="DY39" s="118"/>
      <c r="DZ39" s="118"/>
      <c r="EA39" s="118"/>
      <c r="EB39" s="118"/>
      <c r="EC39" s="118"/>
      <c r="ED39" s="118"/>
      <c r="EE39" s="118"/>
      <c r="EF39" s="118"/>
      <c r="EG39" s="118"/>
      <c r="EH39" s="118"/>
      <c r="EI39" s="118"/>
      <c r="EJ39" s="118"/>
      <c r="EK39" s="118"/>
    </row>
    <row r="40" spans="1:141" s="119" customFormat="1" x14ac:dyDescent="0.2">
      <c r="A40" s="120" t="s">
        <v>80</v>
      </c>
      <c r="B40" s="108">
        <v>420</v>
      </c>
      <c r="C40" s="108" t="s">
        <v>29</v>
      </c>
      <c r="D40" s="109" t="s">
        <v>12</v>
      </c>
      <c r="E40" s="110">
        <v>40809</v>
      </c>
      <c r="F40" s="110">
        <v>40826</v>
      </c>
      <c r="G40" s="105" t="s">
        <v>36</v>
      </c>
      <c r="H40" s="105" t="s">
        <v>36</v>
      </c>
      <c r="I40" s="105" t="s">
        <v>36</v>
      </c>
      <c r="J40" s="122">
        <v>40800</v>
      </c>
      <c r="K40" s="111">
        <v>40816</v>
      </c>
      <c r="L40" s="105" t="s">
        <v>35</v>
      </c>
      <c r="M40" s="105" t="s">
        <v>35</v>
      </c>
      <c r="N40" s="112"/>
      <c r="O40" s="105" t="s">
        <v>36</v>
      </c>
      <c r="P40" s="113"/>
      <c r="Q40" s="113"/>
      <c r="R40" s="113"/>
      <c r="S40" s="113"/>
      <c r="T40" s="114"/>
      <c r="U40" s="113"/>
      <c r="V40" s="113"/>
      <c r="W40" s="113"/>
      <c r="X40" s="115"/>
      <c r="Y40" s="113"/>
      <c r="Z40" s="115"/>
      <c r="AA40" s="115"/>
      <c r="AB40" s="115"/>
      <c r="AC40" s="115"/>
      <c r="AD40" s="115"/>
      <c r="AE40" s="114"/>
      <c r="AF40" s="114">
        <f>(30.2+33.23+30.04)/3</f>
        <v>31.156666666666666</v>
      </c>
      <c r="AG40" s="115"/>
      <c r="AH40" s="116"/>
      <c r="AI40" s="117"/>
      <c r="AJ40" s="116">
        <f>(29.4+28.44)/2</f>
        <v>28.92</v>
      </c>
      <c r="AK40" s="116"/>
      <c r="AL40" s="116"/>
      <c r="AM40" s="116"/>
      <c r="AN40" s="116"/>
      <c r="AO40" s="116"/>
      <c r="AP40" s="116">
        <f>(25.15+27.16)/2</f>
        <v>26.155000000000001</v>
      </c>
      <c r="AQ40" s="116"/>
      <c r="AR40" s="116">
        <f>(26.33+25.15)/2</f>
        <v>25.74</v>
      </c>
      <c r="AS40" s="116"/>
      <c r="AT40" s="116"/>
      <c r="AU40" s="116"/>
      <c r="AV40" s="116"/>
      <c r="AW40" s="116"/>
      <c r="AX40" s="116"/>
      <c r="AY40" s="116">
        <f>(14.12+14.33)/2</f>
        <v>14.225</v>
      </c>
      <c r="AZ40" s="116"/>
      <c r="BA40" s="116" t="s">
        <v>138</v>
      </c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8"/>
      <c r="DK40" s="118"/>
      <c r="DL40" s="118"/>
      <c r="DM40" s="118"/>
      <c r="DN40" s="118"/>
      <c r="DO40" s="118"/>
      <c r="DP40" s="118"/>
      <c r="DQ40" s="118"/>
      <c r="DR40" s="118"/>
      <c r="DS40" s="118"/>
      <c r="DT40" s="118"/>
      <c r="DU40" s="118"/>
      <c r="DV40" s="118"/>
      <c r="DW40" s="118"/>
      <c r="DX40" s="118"/>
      <c r="DY40" s="118"/>
      <c r="DZ40" s="118"/>
      <c r="EA40" s="118"/>
      <c r="EB40" s="118"/>
      <c r="EC40" s="118"/>
      <c r="ED40" s="118"/>
      <c r="EE40" s="118"/>
      <c r="EF40" s="118"/>
      <c r="EG40" s="118"/>
      <c r="EH40" s="118"/>
      <c r="EI40" s="118"/>
      <c r="EJ40" s="118"/>
      <c r="EK40" s="118"/>
    </row>
    <row r="41" spans="1:141" s="119" customFormat="1" x14ac:dyDescent="0.2">
      <c r="A41" s="106" t="s">
        <v>101</v>
      </c>
      <c r="B41" s="108"/>
      <c r="C41" s="108"/>
      <c r="D41" s="109" t="s">
        <v>13</v>
      </c>
      <c r="E41" s="110"/>
      <c r="F41" s="110"/>
      <c r="G41" s="105"/>
      <c r="H41" s="105"/>
      <c r="I41" s="105"/>
      <c r="J41" s="122"/>
      <c r="K41" s="111"/>
      <c r="L41" s="105"/>
      <c r="M41" s="105"/>
      <c r="N41" s="112"/>
      <c r="O41" s="105"/>
      <c r="P41" s="113"/>
      <c r="Q41" s="113"/>
      <c r="R41" s="113"/>
      <c r="S41" s="113"/>
      <c r="T41" s="114"/>
      <c r="U41" s="113"/>
      <c r="V41" s="113"/>
      <c r="W41" s="113"/>
      <c r="X41" s="115"/>
      <c r="Y41" s="113"/>
      <c r="Z41" s="115"/>
      <c r="AA41" s="115"/>
      <c r="AB41" s="115"/>
      <c r="AC41" s="115"/>
      <c r="AD41" s="115"/>
      <c r="AE41" s="114"/>
      <c r="AF41" s="114">
        <v>25.48</v>
      </c>
      <c r="AG41" s="115"/>
      <c r="AH41" s="116"/>
      <c r="AI41" s="117"/>
      <c r="AJ41" s="116">
        <v>27</v>
      </c>
      <c r="AK41" s="116"/>
      <c r="AL41" s="116"/>
      <c r="AM41" s="116"/>
      <c r="AN41" s="116"/>
      <c r="AO41" s="116"/>
      <c r="AP41" s="116">
        <v>20.91</v>
      </c>
      <c r="AQ41" s="116"/>
      <c r="AR41" s="116">
        <v>19.38</v>
      </c>
      <c r="AS41" s="116"/>
      <c r="AT41" s="116"/>
      <c r="AU41" s="116"/>
      <c r="AV41" s="116"/>
      <c r="AW41" s="116"/>
      <c r="AX41" s="116"/>
      <c r="AY41" s="116">
        <v>12.8</v>
      </c>
      <c r="AZ41" s="116" t="s">
        <v>138</v>
      </c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8"/>
      <c r="DK41" s="118"/>
      <c r="DL41" s="118"/>
      <c r="DM41" s="118"/>
      <c r="DN41" s="118"/>
      <c r="DO41" s="118"/>
      <c r="DP41" s="118"/>
      <c r="DQ41" s="118"/>
      <c r="DR41" s="118"/>
      <c r="DS41" s="118"/>
      <c r="DT41" s="118"/>
      <c r="DU41" s="118"/>
      <c r="DV41" s="118"/>
      <c r="DW41" s="118"/>
      <c r="DX41" s="118"/>
      <c r="DY41" s="118"/>
      <c r="DZ41" s="118"/>
      <c r="EA41" s="118"/>
      <c r="EB41" s="118"/>
      <c r="EC41" s="118"/>
      <c r="ED41" s="118"/>
      <c r="EE41" s="118"/>
      <c r="EF41" s="118"/>
      <c r="EG41" s="118"/>
      <c r="EH41" s="118"/>
      <c r="EI41" s="118"/>
      <c r="EJ41" s="118"/>
      <c r="EK41" s="118"/>
    </row>
    <row r="42" spans="1:141" s="119" customFormat="1" x14ac:dyDescent="0.2">
      <c r="A42" s="120" t="s">
        <v>80</v>
      </c>
      <c r="B42" s="108">
        <v>421</v>
      </c>
      <c r="C42" s="108" t="s">
        <v>29</v>
      </c>
      <c r="D42" s="109" t="s">
        <v>12</v>
      </c>
      <c r="E42" s="110">
        <v>40819</v>
      </c>
      <c r="F42" s="110">
        <v>40854</v>
      </c>
      <c r="G42" s="105" t="s">
        <v>36</v>
      </c>
      <c r="H42" s="105" t="s">
        <v>36</v>
      </c>
      <c r="I42" s="105" t="s">
        <v>36</v>
      </c>
      <c r="J42" s="122">
        <v>40809</v>
      </c>
      <c r="K42" s="111">
        <v>40821</v>
      </c>
      <c r="L42" s="105" t="s">
        <v>35</v>
      </c>
      <c r="M42" s="105" t="s">
        <v>35</v>
      </c>
      <c r="N42" s="112"/>
      <c r="O42" s="105" t="s">
        <v>36</v>
      </c>
      <c r="P42" s="113"/>
      <c r="Q42" s="113"/>
      <c r="R42" s="113"/>
      <c r="S42" s="113"/>
      <c r="T42" s="114"/>
      <c r="U42" s="113"/>
      <c r="V42" s="113"/>
      <c r="W42" s="113"/>
      <c r="X42" s="115"/>
      <c r="Y42" s="113"/>
      <c r="Z42" s="115"/>
      <c r="AA42" s="115"/>
      <c r="AB42" s="115"/>
      <c r="AC42" s="115"/>
      <c r="AD42" s="115"/>
      <c r="AE42" s="114"/>
      <c r="AF42" s="114" t="s">
        <v>124</v>
      </c>
      <c r="AG42" s="115"/>
      <c r="AH42" s="116"/>
      <c r="AI42" s="117"/>
      <c r="AJ42" s="116">
        <f>(30.68+32.75)/2</f>
        <v>31.715</v>
      </c>
      <c r="AK42" s="116"/>
      <c r="AL42" s="116"/>
      <c r="AM42" s="116"/>
      <c r="AN42" s="116"/>
      <c r="AO42" s="116"/>
      <c r="AP42" s="116">
        <f>(30.68+31.92)/2</f>
        <v>31.3</v>
      </c>
      <c r="AQ42" s="116"/>
      <c r="AR42" s="116">
        <f>(29.88+30.04)/2</f>
        <v>29.96</v>
      </c>
      <c r="AS42" s="116"/>
      <c r="AT42" s="116"/>
      <c r="AU42" s="116"/>
      <c r="AV42" s="116"/>
      <c r="AW42" s="116">
        <f>(28.44+27)/2</f>
        <v>27.72</v>
      </c>
      <c r="AX42" s="116"/>
      <c r="AY42" s="116">
        <f>(27.96+27.32)/2</f>
        <v>27.64</v>
      </c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>
        <f>(15.95+15.75)/2</f>
        <v>15.85</v>
      </c>
      <c r="BL42" s="116"/>
      <c r="BM42" s="116"/>
      <c r="BN42" s="116"/>
      <c r="BO42" s="116"/>
      <c r="BP42" s="116"/>
      <c r="BQ42" s="116">
        <f>(13.6+17.1)/2</f>
        <v>15.350000000000001</v>
      </c>
      <c r="BR42" s="116"/>
      <c r="BS42" s="116" t="s">
        <v>138</v>
      </c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8"/>
      <c r="DK42" s="118"/>
      <c r="DL42" s="118"/>
      <c r="DM42" s="118"/>
      <c r="DN42" s="118"/>
      <c r="DO42" s="118"/>
      <c r="DP42" s="118"/>
      <c r="DQ42" s="118"/>
      <c r="DR42" s="118"/>
      <c r="DS42" s="118"/>
      <c r="DT42" s="118"/>
      <c r="DU42" s="118"/>
      <c r="DV42" s="118"/>
      <c r="DW42" s="118"/>
      <c r="DX42" s="118"/>
      <c r="DY42" s="118"/>
      <c r="DZ42" s="118"/>
      <c r="EA42" s="118"/>
      <c r="EB42" s="118"/>
      <c r="EC42" s="118"/>
      <c r="ED42" s="118"/>
      <c r="EE42" s="118"/>
      <c r="EF42" s="118"/>
      <c r="EG42" s="118"/>
      <c r="EH42" s="118"/>
      <c r="EI42" s="118"/>
      <c r="EJ42" s="118"/>
      <c r="EK42" s="118"/>
    </row>
    <row r="43" spans="1:141" s="119" customFormat="1" x14ac:dyDescent="0.2">
      <c r="A43" s="106" t="s">
        <v>102</v>
      </c>
      <c r="B43" s="108"/>
      <c r="C43" s="108"/>
      <c r="D43" s="109" t="s">
        <v>13</v>
      </c>
      <c r="E43" s="110"/>
      <c r="F43" s="110"/>
      <c r="G43" s="105"/>
      <c r="H43" s="105"/>
      <c r="I43" s="105"/>
      <c r="J43" s="122"/>
      <c r="K43" s="111"/>
      <c r="L43" s="105"/>
      <c r="M43" s="105"/>
      <c r="N43" s="112"/>
      <c r="O43" s="105"/>
      <c r="P43" s="113"/>
      <c r="Q43" s="113"/>
      <c r="R43" s="113"/>
      <c r="S43" s="113"/>
      <c r="T43" s="114"/>
      <c r="U43" s="113"/>
      <c r="V43" s="113"/>
      <c r="W43" s="113"/>
      <c r="X43" s="115"/>
      <c r="Y43" s="113"/>
      <c r="Z43" s="115"/>
      <c r="AA43" s="115"/>
      <c r="AB43" s="115"/>
      <c r="AC43" s="115"/>
      <c r="AD43" s="115"/>
      <c r="AE43" s="114"/>
      <c r="AF43" s="114">
        <v>30.84</v>
      </c>
      <c r="AG43" s="115"/>
      <c r="AH43" s="116"/>
      <c r="AI43" s="117"/>
      <c r="AJ43" s="116">
        <v>28.12</v>
      </c>
      <c r="AK43" s="116"/>
      <c r="AL43" s="116"/>
      <c r="AM43" s="116"/>
      <c r="AN43" s="116"/>
      <c r="AO43" s="116"/>
      <c r="AP43" s="116">
        <v>29.4</v>
      </c>
      <c r="AQ43" s="116"/>
      <c r="AR43" s="116">
        <v>27.96</v>
      </c>
      <c r="AS43" s="116"/>
      <c r="AT43" s="116"/>
      <c r="AU43" s="116"/>
      <c r="AV43" s="116"/>
      <c r="AW43" s="116">
        <v>23.48</v>
      </c>
      <c r="AX43" s="116"/>
      <c r="AY43" s="116">
        <v>22.17</v>
      </c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>
        <f>(20.24+17.29)/2</f>
        <v>18.765000000000001</v>
      </c>
      <c r="BL43" s="116"/>
      <c r="BM43" s="116"/>
      <c r="BN43" s="116" t="s">
        <v>138</v>
      </c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8"/>
      <c r="DK43" s="118"/>
      <c r="DL43" s="118"/>
      <c r="DM43" s="118"/>
      <c r="DN43" s="118"/>
      <c r="DO43" s="118"/>
      <c r="DP43" s="118"/>
      <c r="DQ43" s="118"/>
      <c r="DR43" s="118"/>
      <c r="DS43" s="118"/>
      <c r="DT43" s="118"/>
      <c r="DU43" s="118"/>
      <c r="DV43" s="118"/>
      <c r="DW43" s="118"/>
      <c r="DX43" s="118"/>
      <c r="DY43" s="118"/>
      <c r="DZ43" s="118"/>
      <c r="EA43" s="118"/>
      <c r="EB43" s="118"/>
      <c r="EC43" s="118"/>
      <c r="ED43" s="118"/>
      <c r="EE43" s="118"/>
      <c r="EF43" s="118"/>
      <c r="EG43" s="118"/>
      <c r="EH43" s="118"/>
      <c r="EI43" s="118"/>
      <c r="EJ43" s="118"/>
      <c r="EK43" s="118"/>
    </row>
    <row r="44" spans="1:141" s="119" customFormat="1" x14ac:dyDescent="0.2">
      <c r="A44" s="120" t="s">
        <v>75</v>
      </c>
      <c r="B44" s="108">
        <v>422</v>
      </c>
      <c r="C44" s="108">
        <v>8418</v>
      </c>
      <c r="D44" s="109" t="s">
        <v>12</v>
      </c>
      <c r="E44" s="110">
        <v>40809</v>
      </c>
      <c r="F44" s="110"/>
      <c r="G44" s="105" t="s">
        <v>36</v>
      </c>
      <c r="H44" s="105" t="s">
        <v>36</v>
      </c>
      <c r="I44" s="105" t="s">
        <v>36</v>
      </c>
      <c r="J44" s="122">
        <v>40798</v>
      </c>
      <c r="K44" s="111">
        <v>40808</v>
      </c>
      <c r="L44" s="105" t="s">
        <v>36</v>
      </c>
      <c r="M44" s="105" t="s">
        <v>36</v>
      </c>
      <c r="N44" s="112"/>
      <c r="O44" s="105" t="s">
        <v>36</v>
      </c>
      <c r="P44" s="113"/>
      <c r="Q44" s="113"/>
      <c r="R44" s="113"/>
      <c r="S44" s="113"/>
      <c r="T44" s="114"/>
      <c r="U44" s="113"/>
      <c r="V44" s="113"/>
      <c r="W44" s="113"/>
      <c r="X44" s="115"/>
      <c r="Y44" s="113"/>
      <c r="Z44" s="115"/>
      <c r="AA44" s="115"/>
      <c r="AB44" s="115"/>
      <c r="AC44" s="115"/>
      <c r="AD44" s="115"/>
      <c r="AE44" s="114">
        <v>29.88</v>
      </c>
      <c r="AF44" s="114">
        <f>(29.24+28.44+29.4)/3</f>
        <v>29.026666666666667</v>
      </c>
      <c r="AG44" s="115"/>
      <c r="AH44" s="116"/>
      <c r="AI44" s="117"/>
      <c r="AJ44" s="116">
        <f>(26.8+26.57)/2</f>
        <v>26.685000000000002</v>
      </c>
      <c r="AK44" s="116"/>
      <c r="AL44" s="116"/>
      <c r="AM44" s="116"/>
      <c r="AN44" s="116"/>
      <c r="AO44" s="116"/>
      <c r="AP44" s="116">
        <f>(21.71+25.48)/2</f>
        <v>23.594999999999999</v>
      </c>
      <c r="AQ44" s="116"/>
      <c r="AR44" s="116">
        <f>(17.92+18+22.62)/3</f>
        <v>19.513333333333335</v>
      </c>
      <c r="AS44" s="116"/>
      <c r="AT44" s="116"/>
      <c r="AU44" s="116"/>
      <c r="AV44" s="116"/>
      <c r="AW44" s="116"/>
      <c r="AX44" s="116"/>
      <c r="AY44" s="116">
        <f>(16.34+14.75)/2</f>
        <v>15.545</v>
      </c>
      <c r="AZ44" s="116">
        <f>(12.39+11.72)/2</f>
        <v>12.055</v>
      </c>
      <c r="BA44" s="116"/>
      <c r="BB44" s="116"/>
      <c r="BC44" s="116"/>
      <c r="BD44" s="116"/>
      <c r="BE44" s="116"/>
      <c r="BF44" s="116"/>
      <c r="BG44" s="116"/>
      <c r="BH44" s="116">
        <f>(11.9+11.5+11.6)/3</f>
        <v>11.666666666666666</v>
      </c>
      <c r="BI44" s="116"/>
      <c r="BJ44" s="116"/>
      <c r="BK44" s="116">
        <v>14.2</v>
      </c>
      <c r="BL44" s="116"/>
      <c r="BM44" s="116"/>
      <c r="BN44" s="116" t="s">
        <v>138</v>
      </c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8"/>
      <c r="DK44" s="118"/>
      <c r="DL44" s="118"/>
      <c r="DM44" s="118"/>
      <c r="DN44" s="118"/>
      <c r="DO44" s="118"/>
      <c r="DP44" s="118"/>
      <c r="DQ44" s="118"/>
      <c r="DR44" s="118"/>
      <c r="DS44" s="118"/>
      <c r="DT44" s="118"/>
      <c r="DU44" s="118"/>
      <c r="DV44" s="118"/>
      <c r="DW44" s="118"/>
      <c r="DX44" s="118"/>
      <c r="DY44" s="118"/>
      <c r="DZ44" s="118"/>
      <c r="EA44" s="118"/>
      <c r="EB44" s="118"/>
      <c r="EC44" s="118"/>
      <c r="ED44" s="118"/>
      <c r="EE44" s="118"/>
      <c r="EF44" s="118"/>
      <c r="EG44" s="118"/>
      <c r="EH44" s="118"/>
      <c r="EI44" s="118"/>
      <c r="EJ44" s="118"/>
      <c r="EK44" s="118"/>
    </row>
    <row r="45" spans="1:141" s="119" customFormat="1" x14ac:dyDescent="0.2">
      <c r="A45" s="106" t="s">
        <v>103</v>
      </c>
      <c r="B45" s="108"/>
      <c r="C45" s="108"/>
      <c r="D45" s="109" t="s">
        <v>13</v>
      </c>
      <c r="E45" s="110"/>
      <c r="F45" s="110"/>
      <c r="G45" s="105"/>
      <c r="H45" s="105"/>
      <c r="I45" s="105"/>
      <c r="J45" s="122"/>
      <c r="K45" s="111"/>
      <c r="L45" s="105"/>
      <c r="M45" s="105"/>
      <c r="N45" s="112"/>
      <c r="O45" s="105"/>
      <c r="P45" s="113"/>
      <c r="Q45" s="113"/>
      <c r="R45" s="113"/>
      <c r="S45" s="113"/>
      <c r="T45" s="114"/>
      <c r="U45" s="113"/>
      <c r="V45" s="113"/>
      <c r="W45" s="113"/>
      <c r="X45" s="115"/>
      <c r="Y45" s="113"/>
      <c r="Z45" s="115"/>
      <c r="AA45" s="115"/>
      <c r="AB45" s="115"/>
      <c r="AC45" s="115"/>
      <c r="AD45" s="115"/>
      <c r="AE45" s="114">
        <v>30.52</v>
      </c>
      <c r="AF45" s="114">
        <v>34.03</v>
      </c>
      <c r="AG45" s="115"/>
      <c r="AH45" s="116"/>
      <c r="AI45" s="117"/>
      <c r="AJ45" s="116">
        <v>29.24</v>
      </c>
      <c r="AK45" s="116"/>
      <c r="AL45" s="116"/>
      <c r="AM45" s="116"/>
      <c r="AN45" s="116"/>
      <c r="AO45" s="116"/>
      <c r="AP45" s="116">
        <v>29.72</v>
      </c>
      <c r="AQ45" s="116"/>
      <c r="AR45" s="116">
        <v>27.48</v>
      </c>
      <c r="AS45" s="116"/>
      <c r="AT45" s="116"/>
      <c r="AU45" s="116"/>
      <c r="AV45" s="116"/>
      <c r="AW45" s="116"/>
      <c r="AX45" s="116"/>
      <c r="AY45" s="116">
        <v>25.57</v>
      </c>
      <c r="AZ45" s="116">
        <f>(24.48+20.55)/2</f>
        <v>22.515000000000001</v>
      </c>
      <c r="BA45" s="116"/>
      <c r="BB45" s="116"/>
      <c r="BC45" s="116"/>
      <c r="BD45" s="116"/>
      <c r="BE45" s="116"/>
      <c r="BF45" s="116"/>
      <c r="BG45" s="116"/>
      <c r="BH45" s="116">
        <f>(18.4+17.9)/2</f>
        <v>18.149999999999999</v>
      </c>
      <c r="BI45" s="116"/>
      <c r="BJ45" s="116"/>
      <c r="BK45" s="116">
        <v>21</v>
      </c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 t="s">
        <v>138</v>
      </c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8"/>
      <c r="DK45" s="118"/>
      <c r="DL45" s="118"/>
      <c r="DM45" s="118"/>
      <c r="DN45" s="118"/>
      <c r="DO45" s="118"/>
      <c r="DP45" s="118"/>
      <c r="DQ45" s="118"/>
      <c r="DR45" s="118"/>
      <c r="DS45" s="118"/>
      <c r="DT45" s="118"/>
      <c r="DU45" s="118"/>
      <c r="DV45" s="118"/>
      <c r="DW45" s="118"/>
      <c r="DX45" s="118"/>
      <c r="DY45" s="118"/>
      <c r="DZ45" s="118"/>
      <c r="EA45" s="118"/>
      <c r="EB45" s="118"/>
      <c r="EC45" s="118"/>
      <c r="ED45" s="118"/>
      <c r="EE45" s="118"/>
      <c r="EF45" s="118"/>
      <c r="EG45" s="118"/>
      <c r="EH45" s="118"/>
      <c r="EI45" s="118"/>
      <c r="EJ45" s="118"/>
      <c r="EK45" s="118"/>
    </row>
    <row r="46" spans="1:141" s="119" customFormat="1" x14ac:dyDescent="0.2">
      <c r="A46" s="120" t="s">
        <v>67</v>
      </c>
      <c r="B46" s="108">
        <v>423</v>
      </c>
      <c r="C46" s="108">
        <v>8418</v>
      </c>
      <c r="D46" s="109" t="s">
        <v>12</v>
      </c>
      <c r="E46" s="110">
        <v>40809</v>
      </c>
      <c r="F46" s="110">
        <v>40826</v>
      </c>
      <c r="G46" s="105" t="s">
        <v>36</v>
      </c>
      <c r="H46" s="105" t="s">
        <v>36</v>
      </c>
      <c r="I46" s="105" t="s">
        <v>36</v>
      </c>
      <c r="J46" s="122">
        <v>40798</v>
      </c>
      <c r="K46" s="111">
        <v>40815</v>
      </c>
      <c r="L46" s="105" t="s">
        <v>36</v>
      </c>
      <c r="M46" s="105" t="s">
        <v>36</v>
      </c>
      <c r="N46" s="112"/>
      <c r="O46" s="105" t="s">
        <v>36</v>
      </c>
      <c r="P46" s="113"/>
      <c r="Q46" s="113"/>
      <c r="R46" s="113"/>
      <c r="S46" s="113"/>
      <c r="T46" s="114"/>
      <c r="U46" s="113"/>
      <c r="V46" s="113"/>
      <c r="W46" s="113"/>
      <c r="X46" s="115"/>
      <c r="Y46" s="113"/>
      <c r="Z46" s="115"/>
      <c r="AA46" s="115"/>
      <c r="AB46" s="115"/>
      <c r="AC46" s="115"/>
      <c r="AD46" s="115"/>
      <c r="AE46" s="114">
        <v>28.28</v>
      </c>
      <c r="AF46" s="114">
        <f>(28.76+29.08+28.76)/3</f>
        <v>28.866666666666671</v>
      </c>
      <c r="AG46" s="115"/>
      <c r="AH46" s="116"/>
      <c r="AI46" s="117"/>
      <c r="AJ46" s="116">
        <f>(24.08+23.98)/2</f>
        <v>24.03</v>
      </c>
      <c r="AK46" s="116"/>
      <c r="AL46" s="116"/>
      <c r="AM46" s="116"/>
      <c r="AN46" s="116"/>
      <c r="AO46" s="116"/>
      <c r="AP46" s="116">
        <f>(21.71+23.48)/2</f>
        <v>22.594999999999999</v>
      </c>
      <c r="AQ46" s="116"/>
      <c r="AR46" s="116">
        <f>(18.1+19.2+16.15)/3</f>
        <v>17.816666666666666</v>
      </c>
      <c r="AS46" s="116"/>
      <c r="AT46" s="116"/>
      <c r="AU46" s="116"/>
      <c r="AV46" s="116"/>
      <c r="AW46" s="116"/>
      <c r="AX46" s="116"/>
      <c r="AY46" s="116">
        <f>(13.05+12.39+12.61)/3</f>
        <v>12.683333333333332</v>
      </c>
      <c r="AZ46" s="116">
        <f>(11.72+11.49)/2</f>
        <v>11.605</v>
      </c>
      <c r="BA46" s="116"/>
      <c r="BB46" s="116"/>
      <c r="BC46" s="124" t="s">
        <v>138</v>
      </c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8"/>
      <c r="DK46" s="118"/>
      <c r="DL46" s="118"/>
      <c r="DM46" s="118"/>
      <c r="DN46" s="118"/>
      <c r="DO46" s="118"/>
      <c r="DP46" s="118"/>
      <c r="DQ46" s="118"/>
      <c r="DR46" s="118"/>
      <c r="DS46" s="118"/>
      <c r="DT46" s="118"/>
      <c r="DU46" s="118"/>
      <c r="DV46" s="118"/>
      <c r="DW46" s="118"/>
      <c r="DX46" s="118"/>
      <c r="DY46" s="118"/>
      <c r="DZ46" s="118"/>
      <c r="EA46" s="118"/>
      <c r="EB46" s="118"/>
      <c r="EC46" s="118"/>
      <c r="ED46" s="118"/>
      <c r="EE46" s="118"/>
      <c r="EF46" s="118"/>
      <c r="EG46" s="118"/>
      <c r="EH46" s="118"/>
      <c r="EI46" s="118"/>
      <c r="EJ46" s="118"/>
      <c r="EK46" s="118"/>
    </row>
    <row r="47" spans="1:141" s="119" customFormat="1" x14ac:dyDescent="0.2">
      <c r="A47" s="106" t="s">
        <v>104</v>
      </c>
      <c r="B47" s="108"/>
      <c r="C47" s="108"/>
      <c r="D47" s="109" t="s">
        <v>13</v>
      </c>
      <c r="E47" s="110"/>
      <c r="F47" s="110"/>
      <c r="G47" s="105"/>
      <c r="H47" s="105"/>
      <c r="I47" s="105"/>
      <c r="J47" s="122"/>
      <c r="K47" s="111"/>
      <c r="L47" s="105"/>
      <c r="M47" s="105"/>
      <c r="N47" s="112"/>
      <c r="O47" s="105"/>
      <c r="P47" s="113"/>
      <c r="Q47" s="113"/>
      <c r="R47" s="113"/>
      <c r="S47" s="113"/>
      <c r="T47" s="114"/>
      <c r="U47" s="113"/>
      <c r="V47" s="113"/>
      <c r="W47" s="113"/>
      <c r="X47" s="115"/>
      <c r="Y47" s="113"/>
      <c r="Z47" s="115"/>
      <c r="AA47" s="115"/>
      <c r="AB47" s="115"/>
      <c r="AC47" s="115"/>
      <c r="AD47" s="115"/>
      <c r="AE47" s="114">
        <v>29.08</v>
      </c>
      <c r="AF47" s="114">
        <v>36.43</v>
      </c>
      <c r="AG47" s="115"/>
      <c r="AH47" s="116"/>
      <c r="AI47" s="117"/>
      <c r="AJ47" s="116">
        <v>28.76</v>
      </c>
      <c r="AK47" s="116"/>
      <c r="AL47" s="116"/>
      <c r="AM47" s="116"/>
      <c r="AN47" s="116"/>
      <c r="AO47" s="116"/>
      <c r="AP47" s="116">
        <v>28.76</v>
      </c>
      <c r="AQ47" s="116"/>
      <c r="AR47" s="116">
        <v>26.57</v>
      </c>
      <c r="AS47" s="116"/>
      <c r="AT47" s="116"/>
      <c r="AU47" s="116"/>
      <c r="AV47" s="116"/>
      <c r="AW47" s="116"/>
      <c r="AX47" s="116"/>
      <c r="AY47" s="116">
        <v>18.899999999999999</v>
      </c>
      <c r="AZ47" s="116">
        <f>(17.66+19.41)/2</f>
        <v>18.535</v>
      </c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 t="s">
        <v>138</v>
      </c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8"/>
      <c r="DK47" s="118"/>
      <c r="DL47" s="118"/>
      <c r="DM47" s="118"/>
      <c r="DN47" s="118"/>
      <c r="DO47" s="118"/>
      <c r="DP47" s="118"/>
      <c r="DQ47" s="118"/>
      <c r="DR47" s="118"/>
      <c r="DS47" s="118"/>
      <c r="DT47" s="118"/>
      <c r="DU47" s="118"/>
      <c r="DV47" s="118"/>
      <c r="DW47" s="118"/>
      <c r="DX47" s="118"/>
      <c r="DY47" s="118"/>
      <c r="DZ47" s="118"/>
      <c r="EA47" s="118"/>
      <c r="EB47" s="118"/>
      <c r="EC47" s="118"/>
      <c r="ED47" s="118"/>
      <c r="EE47" s="118"/>
      <c r="EF47" s="118"/>
      <c r="EG47" s="118"/>
      <c r="EH47" s="118"/>
      <c r="EI47" s="118"/>
      <c r="EJ47" s="118"/>
      <c r="EK47" s="118"/>
    </row>
    <row r="48" spans="1:141" s="119" customFormat="1" x14ac:dyDescent="0.2">
      <c r="A48" s="120" t="s">
        <v>74</v>
      </c>
      <c r="B48" s="108">
        <v>424</v>
      </c>
      <c r="C48" s="108" t="s">
        <v>48</v>
      </c>
      <c r="D48" s="109" t="s">
        <v>12</v>
      </c>
      <c r="E48" s="110">
        <v>40810</v>
      </c>
      <c r="F48" s="110">
        <v>40864</v>
      </c>
      <c r="G48" s="105" t="s">
        <v>36</v>
      </c>
      <c r="H48" s="105" t="s">
        <v>36</v>
      </c>
      <c r="I48" s="105" t="s">
        <v>36</v>
      </c>
      <c r="J48" s="122">
        <v>40794</v>
      </c>
      <c r="K48" s="111">
        <v>40817</v>
      </c>
      <c r="L48" s="105" t="s">
        <v>35</v>
      </c>
      <c r="M48" s="105" t="s">
        <v>35</v>
      </c>
      <c r="N48" s="112"/>
      <c r="O48" s="105" t="s">
        <v>36</v>
      </c>
      <c r="P48" s="113"/>
      <c r="Q48" s="113"/>
      <c r="R48" s="113"/>
      <c r="S48" s="113"/>
      <c r="T48" s="114"/>
      <c r="U48" s="113"/>
      <c r="V48" s="113"/>
      <c r="W48" s="113"/>
      <c r="X48" s="115"/>
      <c r="Y48" s="113"/>
      <c r="Z48" s="115"/>
      <c r="AA48" s="115"/>
      <c r="AB48" s="115"/>
      <c r="AC48" s="115"/>
      <c r="AD48" s="115"/>
      <c r="AE48" s="114">
        <v>32.590000000000003</v>
      </c>
      <c r="AF48" s="114"/>
      <c r="AG48" s="115"/>
      <c r="AH48" s="116"/>
      <c r="AI48" s="117">
        <f>(30.68+29.88)/2</f>
        <v>30.28</v>
      </c>
      <c r="AJ48" s="116"/>
      <c r="AK48" s="116"/>
      <c r="AL48" s="116"/>
      <c r="AM48" s="116"/>
      <c r="AN48" s="116"/>
      <c r="AO48" s="116"/>
      <c r="AP48" s="116">
        <f>(28.97+29.24)/2</f>
        <v>29.104999999999997</v>
      </c>
      <c r="AQ48" s="116"/>
      <c r="AR48" s="116">
        <f>(28.6+28.44)/2</f>
        <v>28.520000000000003</v>
      </c>
      <c r="AS48" s="116"/>
      <c r="AT48" s="116"/>
      <c r="AU48" s="116"/>
      <c r="AV48" s="116"/>
      <c r="AW48" s="116">
        <f>(25.78+24.43)/2</f>
        <v>25.105</v>
      </c>
      <c r="AX48" s="116"/>
      <c r="AY48" s="116"/>
      <c r="AZ48" s="116">
        <f>(18.2+23.8)/2</f>
        <v>21</v>
      </c>
      <c r="BA48" s="116"/>
      <c r="BB48" s="116"/>
      <c r="BC48" s="116"/>
      <c r="BD48" s="116">
        <f>(16.53+15.15+17.84)/3</f>
        <v>16.506666666666664</v>
      </c>
      <c r="BE48" s="116"/>
      <c r="BF48" s="116"/>
      <c r="BG48" s="116"/>
      <c r="BH48" s="116">
        <v>15.56</v>
      </c>
      <c r="BI48" s="116"/>
      <c r="BJ48" s="116"/>
      <c r="BK48" s="116">
        <v>14.33</v>
      </c>
      <c r="BL48" s="116"/>
      <c r="BM48" s="116">
        <v>15.5</v>
      </c>
      <c r="BN48" s="116" t="s">
        <v>138</v>
      </c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6"/>
      <c r="DD48" s="116"/>
      <c r="DE48" s="116"/>
      <c r="DF48" s="116"/>
      <c r="DG48" s="116"/>
      <c r="DH48" s="116"/>
      <c r="DI48" s="116"/>
      <c r="DJ48" s="118"/>
      <c r="DK48" s="118"/>
      <c r="DL48" s="118"/>
      <c r="DM48" s="118"/>
      <c r="DN48" s="118"/>
      <c r="DO48" s="118"/>
      <c r="DP48" s="118"/>
      <c r="DQ48" s="118"/>
      <c r="DR48" s="118"/>
      <c r="DS48" s="118"/>
      <c r="DT48" s="118"/>
      <c r="DU48" s="118"/>
      <c r="DV48" s="118"/>
      <c r="DW48" s="118"/>
      <c r="DX48" s="118"/>
      <c r="DY48" s="118"/>
      <c r="DZ48" s="118"/>
      <c r="EA48" s="118"/>
      <c r="EB48" s="118"/>
      <c r="EC48" s="118"/>
      <c r="ED48" s="118"/>
      <c r="EE48" s="118"/>
      <c r="EF48" s="118"/>
      <c r="EG48" s="118"/>
      <c r="EH48" s="118"/>
      <c r="EI48" s="118"/>
      <c r="EJ48" s="118"/>
      <c r="EK48" s="118"/>
    </row>
    <row r="49" spans="1:141" s="119" customFormat="1" x14ac:dyDescent="0.2">
      <c r="A49" s="106" t="s">
        <v>105</v>
      </c>
      <c r="B49" s="108"/>
      <c r="C49" s="108"/>
      <c r="D49" s="109" t="s">
        <v>13</v>
      </c>
      <c r="E49" s="110"/>
      <c r="F49" s="110"/>
      <c r="G49" s="105"/>
      <c r="H49" s="105"/>
      <c r="I49" s="105"/>
      <c r="J49" s="122"/>
      <c r="K49" s="111"/>
      <c r="L49" s="105"/>
      <c r="M49" s="105"/>
      <c r="N49" s="112"/>
      <c r="O49" s="105"/>
      <c r="P49" s="113"/>
      <c r="Q49" s="113"/>
      <c r="R49" s="113"/>
      <c r="S49" s="113"/>
      <c r="T49" s="114"/>
      <c r="U49" s="113"/>
      <c r="V49" s="113"/>
      <c r="W49" s="113"/>
      <c r="X49" s="115"/>
      <c r="Y49" s="113"/>
      <c r="Z49" s="115"/>
      <c r="AA49" s="115"/>
      <c r="AB49" s="115"/>
      <c r="AC49" s="115"/>
      <c r="AD49" s="115"/>
      <c r="AE49" s="114">
        <v>30.04</v>
      </c>
      <c r="AF49" s="114"/>
      <c r="AG49" s="115"/>
      <c r="AH49" s="116"/>
      <c r="AI49" s="117">
        <v>28.28</v>
      </c>
      <c r="AJ49" s="116"/>
      <c r="AK49" s="116"/>
      <c r="AL49" s="116"/>
      <c r="AM49" s="116"/>
      <c r="AN49" s="116"/>
      <c r="AO49" s="116"/>
      <c r="AP49" s="116">
        <v>28.76</v>
      </c>
      <c r="AQ49" s="116"/>
      <c r="AR49" s="116">
        <v>27.48</v>
      </c>
      <c r="AS49" s="116"/>
      <c r="AT49" s="116"/>
      <c r="AU49" s="116"/>
      <c r="AV49" s="116"/>
      <c r="AW49" s="116">
        <v>24.8</v>
      </c>
      <c r="AX49" s="116"/>
      <c r="AY49" s="116"/>
      <c r="AZ49" s="116">
        <v>18.38</v>
      </c>
      <c r="BA49" s="116"/>
      <c r="BB49" s="116"/>
      <c r="BC49" s="116"/>
      <c r="BD49" s="116">
        <f>(15.95+14.95+16.92)/3</f>
        <v>15.94</v>
      </c>
      <c r="BE49" s="116"/>
      <c r="BF49" s="116"/>
      <c r="BG49" s="116"/>
      <c r="BH49" s="116">
        <v>15.95</v>
      </c>
      <c r="BI49" s="116"/>
      <c r="BJ49" s="116"/>
      <c r="BK49" s="116">
        <v>16.34</v>
      </c>
      <c r="BL49" s="116" t="s">
        <v>138</v>
      </c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116"/>
      <c r="DF49" s="116"/>
      <c r="DG49" s="116"/>
      <c r="DH49" s="116"/>
      <c r="DI49" s="116"/>
      <c r="DJ49" s="118"/>
      <c r="DK49" s="118"/>
      <c r="DL49" s="118"/>
      <c r="DM49" s="118"/>
      <c r="DN49" s="118"/>
      <c r="DO49" s="118"/>
      <c r="DP49" s="118"/>
      <c r="DQ49" s="118"/>
      <c r="DR49" s="118"/>
      <c r="DS49" s="118"/>
      <c r="DT49" s="118"/>
      <c r="DU49" s="118"/>
      <c r="DV49" s="118"/>
      <c r="DW49" s="118"/>
      <c r="DX49" s="118"/>
      <c r="DY49" s="118"/>
      <c r="DZ49" s="118"/>
      <c r="EA49" s="118"/>
      <c r="EB49" s="118"/>
      <c r="EC49" s="118"/>
      <c r="ED49" s="118"/>
      <c r="EE49" s="118"/>
      <c r="EF49" s="118"/>
      <c r="EG49" s="118"/>
      <c r="EH49" s="118"/>
      <c r="EI49" s="118"/>
      <c r="EJ49" s="118"/>
      <c r="EK49" s="118"/>
    </row>
    <row r="50" spans="1:141" s="119" customFormat="1" x14ac:dyDescent="0.2">
      <c r="A50" s="120" t="s">
        <v>80</v>
      </c>
      <c r="B50" s="108">
        <v>425</v>
      </c>
      <c r="C50" s="108" t="s">
        <v>48</v>
      </c>
      <c r="D50" s="109" t="s">
        <v>12</v>
      </c>
      <c r="E50" s="110">
        <v>40816</v>
      </c>
      <c r="F50" s="110">
        <v>40826</v>
      </c>
      <c r="G50" s="105" t="s">
        <v>36</v>
      </c>
      <c r="H50" s="105" t="s">
        <v>36</v>
      </c>
      <c r="I50" s="105" t="s">
        <v>36</v>
      </c>
      <c r="J50" s="122">
        <v>40799</v>
      </c>
      <c r="K50" s="111">
        <v>40817</v>
      </c>
      <c r="L50" s="105" t="s">
        <v>35</v>
      </c>
      <c r="M50" s="105" t="s">
        <v>35</v>
      </c>
      <c r="N50" s="112"/>
      <c r="O50" s="105" t="s">
        <v>36</v>
      </c>
      <c r="P50" s="113"/>
      <c r="Q50" s="113"/>
      <c r="R50" s="113"/>
      <c r="S50" s="113"/>
      <c r="T50" s="114"/>
      <c r="U50" s="113"/>
      <c r="V50" s="113"/>
      <c r="W50" s="113"/>
      <c r="X50" s="115"/>
      <c r="Y50" s="113"/>
      <c r="Z50" s="115"/>
      <c r="AA50" s="115"/>
      <c r="AB50" s="115"/>
      <c r="AC50" s="115"/>
      <c r="AD50" s="115"/>
      <c r="AE50" s="114"/>
      <c r="AF50" s="114">
        <f>(33.07+33.71+32.43)/3</f>
        <v>33.07</v>
      </c>
      <c r="AG50" s="115"/>
      <c r="AH50" s="116"/>
      <c r="AI50" s="117"/>
      <c r="AJ50" s="116">
        <f>(30.68+29.08)/2</f>
        <v>29.88</v>
      </c>
      <c r="AK50" s="116"/>
      <c r="AL50" s="116"/>
      <c r="AM50" s="116"/>
      <c r="AN50" s="116"/>
      <c r="AO50" s="116"/>
      <c r="AP50" s="116">
        <f>(28.92+29.56)/2</f>
        <v>29.240000000000002</v>
      </c>
      <c r="AQ50" s="116"/>
      <c r="AR50" s="116">
        <f>(29.4+27.88)/2</f>
        <v>28.64</v>
      </c>
      <c r="AS50" s="116"/>
      <c r="AT50" s="116"/>
      <c r="AU50" s="116"/>
      <c r="AV50" s="116"/>
      <c r="AW50" s="116">
        <f>(27.32+27.96)/2</f>
        <v>27.64</v>
      </c>
      <c r="AX50" s="116"/>
      <c r="AY50" s="116"/>
      <c r="AZ50" s="116"/>
      <c r="BA50" s="116"/>
      <c r="BB50" s="116"/>
      <c r="BC50" s="116"/>
      <c r="BD50" s="116"/>
      <c r="BE50" s="116">
        <f>(16.73+17.48+18.56)/3</f>
        <v>17.59</v>
      </c>
      <c r="BF50" s="116"/>
      <c r="BG50" s="116"/>
      <c r="BH50" s="116"/>
      <c r="BI50" s="116"/>
      <c r="BJ50" s="116"/>
      <c r="BK50" s="116">
        <f>(18.2+17.1)/2</f>
        <v>17.649999999999999</v>
      </c>
      <c r="BL50" s="116">
        <v>17.48</v>
      </c>
      <c r="BM50" s="116">
        <v>15.6</v>
      </c>
      <c r="BN50" s="116"/>
      <c r="BO50" s="116"/>
      <c r="BP50" s="116" t="s">
        <v>138</v>
      </c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6"/>
      <c r="DD50" s="116"/>
      <c r="DE50" s="116"/>
      <c r="DF50" s="116"/>
      <c r="DG50" s="116"/>
      <c r="DH50" s="116"/>
      <c r="DI50" s="116"/>
      <c r="DJ50" s="118"/>
      <c r="DK50" s="118"/>
      <c r="DL50" s="118"/>
      <c r="DM50" s="118"/>
      <c r="DN50" s="118"/>
      <c r="DO50" s="118"/>
      <c r="DP50" s="118"/>
      <c r="DQ50" s="118"/>
      <c r="DR50" s="118"/>
      <c r="DS50" s="118"/>
      <c r="DT50" s="118"/>
      <c r="DU50" s="118"/>
      <c r="DV50" s="118"/>
      <c r="DW50" s="118"/>
      <c r="DX50" s="118"/>
      <c r="DY50" s="118"/>
      <c r="DZ50" s="118"/>
      <c r="EA50" s="118"/>
      <c r="EB50" s="118"/>
      <c r="EC50" s="118"/>
      <c r="ED50" s="118"/>
      <c r="EE50" s="118"/>
      <c r="EF50" s="118"/>
      <c r="EG50" s="118"/>
      <c r="EH50" s="118"/>
      <c r="EI50" s="118"/>
      <c r="EJ50" s="118"/>
      <c r="EK50" s="118"/>
    </row>
    <row r="51" spans="1:141" s="119" customFormat="1" x14ac:dyDescent="0.2">
      <c r="A51" s="106" t="s">
        <v>106</v>
      </c>
      <c r="B51" s="108"/>
      <c r="C51" s="108"/>
      <c r="D51" s="109" t="s">
        <v>13</v>
      </c>
      <c r="E51" s="110"/>
      <c r="F51" s="110"/>
      <c r="G51" s="105"/>
      <c r="H51" s="105"/>
      <c r="I51" s="105"/>
      <c r="J51" s="122"/>
      <c r="K51" s="111"/>
      <c r="L51" s="105"/>
      <c r="M51" s="105"/>
      <c r="N51" s="112"/>
      <c r="O51" s="105"/>
      <c r="P51" s="113"/>
      <c r="Q51" s="113"/>
      <c r="R51" s="113"/>
      <c r="S51" s="113"/>
      <c r="T51" s="114"/>
      <c r="U51" s="113"/>
      <c r="V51" s="113"/>
      <c r="W51" s="113"/>
      <c r="X51" s="115"/>
      <c r="Y51" s="113"/>
      <c r="Z51" s="115"/>
      <c r="AA51" s="115"/>
      <c r="AB51" s="115"/>
      <c r="AC51" s="115"/>
      <c r="AD51" s="115"/>
      <c r="AE51" s="114"/>
      <c r="AF51" s="114">
        <v>33.29</v>
      </c>
      <c r="AG51" s="115"/>
      <c r="AH51" s="116"/>
      <c r="AI51" s="117"/>
      <c r="AJ51" s="116">
        <v>28.29</v>
      </c>
      <c r="AK51" s="116"/>
      <c r="AL51" s="116"/>
      <c r="AM51" s="116"/>
      <c r="AN51" s="116"/>
      <c r="AO51" s="116"/>
      <c r="AP51" s="116">
        <v>29.4</v>
      </c>
      <c r="AQ51" s="116"/>
      <c r="AR51" s="116">
        <v>29.24</v>
      </c>
      <c r="AS51" s="116"/>
      <c r="AT51" s="116"/>
      <c r="AU51" s="116"/>
      <c r="AV51" s="116"/>
      <c r="AW51" s="116">
        <v>27.64</v>
      </c>
      <c r="AX51" s="116"/>
      <c r="AY51" s="116"/>
      <c r="AZ51" s="116"/>
      <c r="BA51" s="116"/>
      <c r="BB51" s="116"/>
      <c r="BC51" s="116"/>
      <c r="BD51" s="116"/>
      <c r="BE51" s="116">
        <f>(18.02+18.02+18.38)/3</f>
        <v>18.14</v>
      </c>
      <c r="BF51" s="116"/>
      <c r="BG51" s="116"/>
      <c r="BH51" s="116"/>
      <c r="BI51" s="116"/>
      <c r="BJ51" s="116"/>
      <c r="BK51" s="116">
        <f>(21.02+19.75)/2</f>
        <v>20.384999999999998</v>
      </c>
      <c r="BL51" s="116">
        <v>20.55</v>
      </c>
      <c r="BM51" s="116" t="s">
        <v>138</v>
      </c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8"/>
      <c r="DK51" s="118"/>
      <c r="DL51" s="118"/>
      <c r="DM51" s="118"/>
      <c r="DN51" s="118"/>
      <c r="DO51" s="118"/>
      <c r="DP51" s="118"/>
      <c r="DQ51" s="118"/>
      <c r="DR51" s="118"/>
      <c r="DS51" s="118"/>
      <c r="DT51" s="118"/>
      <c r="DU51" s="118"/>
      <c r="DV51" s="118"/>
      <c r="DW51" s="118"/>
      <c r="DX51" s="118"/>
      <c r="DY51" s="118"/>
      <c r="DZ51" s="118"/>
      <c r="EA51" s="118"/>
      <c r="EB51" s="118"/>
      <c r="EC51" s="118"/>
      <c r="ED51" s="118"/>
      <c r="EE51" s="118"/>
      <c r="EF51" s="118"/>
      <c r="EG51" s="118"/>
      <c r="EH51" s="118"/>
      <c r="EI51" s="118"/>
      <c r="EJ51" s="118"/>
      <c r="EK51" s="118"/>
    </row>
    <row r="52" spans="1:141" s="119" customFormat="1" x14ac:dyDescent="0.2">
      <c r="A52" s="120" t="s">
        <v>107</v>
      </c>
      <c r="B52" s="108">
        <v>426</v>
      </c>
      <c r="C52" s="108" t="s">
        <v>48</v>
      </c>
      <c r="D52" s="109" t="s">
        <v>12</v>
      </c>
      <c r="E52" s="110">
        <v>40820</v>
      </c>
      <c r="F52" s="110">
        <v>40854</v>
      </c>
      <c r="G52" s="105" t="s">
        <v>36</v>
      </c>
      <c r="H52" s="105" t="s">
        <v>36</v>
      </c>
      <c r="I52" s="105" t="s">
        <v>36</v>
      </c>
      <c r="J52" s="122">
        <v>40806</v>
      </c>
      <c r="K52" s="111">
        <v>40821</v>
      </c>
      <c r="L52" s="105" t="s">
        <v>35</v>
      </c>
      <c r="M52" s="105" t="s">
        <v>35</v>
      </c>
      <c r="N52" s="112"/>
      <c r="O52" s="105" t="s">
        <v>36</v>
      </c>
      <c r="P52" s="113"/>
      <c r="Q52" s="113"/>
      <c r="R52" s="113"/>
      <c r="S52" s="113"/>
      <c r="T52" s="114"/>
      <c r="U52" s="113"/>
      <c r="V52" s="113"/>
      <c r="W52" s="113"/>
      <c r="X52" s="115"/>
      <c r="Y52" s="113"/>
      <c r="Z52" s="115"/>
      <c r="AA52" s="115"/>
      <c r="AB52" s="115"/>
      <c r="AC52" s="115"/>
      <c r="AD52" s="115"/>
      <c r="AE52" s="114">
        <v>38.67</v>
      </c>
      <c r="AF52" s="114"/>
      <c r="AG52" s="115"/>
      <c r="AH52" s="116"/>
      <c r="AI52" s="117">
        <f>(32.59+30.36)/2</f>
        <v>31.475000000000001</v>
      </c>
      <c r="AJ52" s="116"/>
      <c r="AK52" s="116"/>
      <c r="AL52" s="116"/>
      <c r="AM52" s="116"/>
      <c r="AN52" s="116"/>
      <c r="AO52" s="116"/>
      <c r="AP52" s="116">
        <f>(32.27+28.6)/2</f>
        <v>30.435000000000002</v>
      </c>
      <c r="AQ52" s="116"/>
      <c r="AR52" s="116"/>
      <c r="AS52" s="116">
        <f>(30.04)</f>
        <v>30.04</v>
      </c>
      <c r="AT52" s="116"/>
      <c r="AU52" s="116"/>
      <c r="AV52" s="116"/>
      <c r="AW52" s="116">
        <f>(25.15+27.64)/2</f>
        <v>26.395</v>
      </c>
      <c r="AX52" s="116"/>
      <c r="AY52" s="116">
        <f>(29.08+23.48)/2</f>
        <v>26.28</v>
      </c>
      <c r="AZ52" s="116"/>
      <c r="BA52" s="116"/>
      <c r="BB52" s="116"/>
      <c r="BC52" s="116"/>
      <c r="BD52" s="116">
        <f>(22.1+19.2+21)/3</f>
        <v>20.766666666666666</v>
      </c>
      <c r="BE52" s="116"/>
      <c r="BF52" s="116"/>
      <c r="BG52" s="116"/>
      <c r="BH52" s="116"/>
      <c r="BI52" s="116"/>
      <c r="BJ52" s="116"/>
      <c r="BK52" s="116"/>
      <c r="BL52" s="116">
        <v>16.149999999999999</v>
      </c>
      <c r="BM52" s="116"/>
      <c r="BN52" s="116"/>
      <c r="BO52" s="116"/>
      <c r="BP52" s="116"/>
      <c r="BQ52" s="116">
        <f>(13.91+14.75)/2</f>
        <v>14.33</v>
      </c>
      <c r="BR52" s="116"/>
      <c r="BS52" s="116"/>
      <c r="BT52" s="116"/>
      <c r="BU52" s="116">
        <f>(14.7+14.6)/2</f>
        <v>14.649999999999999</v>
      </c>
      <c r="BV52" s="116"/>
      <c r="BW52" s="116"/>
      <c r="BX52" s="116"/>
      <c r="BY52" s="116">
        <f>(11.3+11)/2</f>
        <v>11.15</v>
      </c>
      <c r="BZ52" s="116"/>
      <c r="CA52" s="116"/>
      <c r="CB52" s="116"/>
      <c r="CC52" s="116"/>
      <c r="CD52" s="116"/>
      <c r="CE52" s="116">
        <f>(12.3+15.7)/2</f>
        <v>14</v>
      </c>
      <c r="CF52" s="116"/>
      <c r="CG52" s="116" t="s">
        <v>138</v>
      </c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116"/>
      <c r="CY52" s="116"/>
      <c r="CZ52" s="116"/>
      <c r="DA52" s="116"/>
      <c r="DB52" s="116"/>
      <c r="DC52" s="116"/>
      <c r="DD52" s="116"/>
      <c r="DE52" s="116"/>
      <c r="DF52" s="116"/>
      <c r="DG52" s="116"/>
      <c r="DH52" s="116"/>
      <c r="DI52" s="116"/>
      <c r="DJ52" s="118"/>
      <c r="DK52" s="118"/>
      <c r="DL52" s="118"/>
      <c r="DM52" s="118"/>
      <c r="DN52" s="118"/>
      <c r="DO52" s="118"/>
      <c r="DP52" s="118"/>
      <c r="DQ52" s="118"/>
      <c r="DR52" s="118"/>
      <c r="DS52" s="118"/>
      <c r="DT52" s="118"/>
      <c r="DU52" s="118"/>
      <c r="DV52" s="118"/>
      <c r="DW52" s="118"/>
      <c r="DX52" s="118"/>
      <c r="DY52" s="118"/>
      <c r="DZ52" s="118"/>
      <c r="EA52" s="118"/>
      <c r="EB52" s="118"/>
      <c r="EC52" s="118"/>
      <c r="ED52" s="118"/>
      <c r="EE52" s="118"/>
      <c r="EF52" s="118"/>
      <c r="EG52" s="118"/>
      <c r="EH52" s="118"/>
      <c r="EI52" s="118"/>
      <c r="EJ52" s="118"/>
      <c r="EK52" s="118"/>
    </row>
    <row r="53" spans="1:141" s="119" customFormat="1" x14ac:dyDescent="0.2">
      <c r="A53" s="106" t="s">
        <v>108</v>
      </c>
      <c r="B53" s="107"/>
      <c r="C53" s="108"/>
      <c r="D53" s="109" t="s">
        <v>13</v>
      </c>
      <c r="E53" s="110"/>
      <c r="F53" s="110"/>
      <c r="G53" s="105"/>
      <c r="H53" s="105"/>
      <c r="I53" s="105"/>
      <c r="J53" s="122"/>
      <c r="K53" s="111"/>
      <c r="L53" s="105"/>
      <c r="M53" s="105"/>
      <c r="N53" s="112"/>
      <c r="O53" s="105"/>
      <c r="P53" s="113"/>
      <c r="Q53" s="113"/>
      <c r="R53" s="113"/>
      <c r="S53" s="113"/>
      <c r="T53" s="114"/>
      <c r="U53" s="113"/>
      <c r="V53" s="113"/>
      <c r="W53" s="113"/>
      <c r="X53" s="115"/>
      <c r="Y53" s="113"/>
      <c r="Z53" s="115"/>
      <c r="AA53" s="115"/>
      <c r="AB53" s="115"/>
      <c r="AC53" s="115"/>
      <c r="AD53" s="115"/>
      <c r="AE53" s="114">
        <v>34.25</v>
      </c>
      <c r="AF53" s="114"/>
      <c r="AG53" s="115"/>
      <c r="AH53" s="116"/>
      <c r="AI53" s="117">
        <v>30.84</v>
      </c>
      <c r="AJ53" s="116"/>
      <c r="AK53" s="116"/>
      <c r="AL53" s="116"/>
      <c r="AM53" s="116"/>
      <c r="AN53" s="116"/>
      <c r="AO53" s="116"/>
      <c r="AP53" s="116">
        <v>32.1</v>
      </c>
      <c r="AQ53" s="116"/>
      <c r="AR53" s="116"/>
      <c r="AS53" s="116">
        <v>32.11</v>
      </c>
      <c r="AT53" s="116"/>
      <c r="AU53" s="116"/>
      <c r="AV53" s="116"/>
      <c r="AW53" s="116">
        <v>28</v>
      </c>
      <c r="AX53" s="116"/>
      <c r="AY53" s="116">
        <v>29.72</v>
      </c>
      <c r="AZ53" s="116"/>
      <c r="BA53" s="116"/>
      <c r="BB53" s="116"/>
      <c r="BC53" s="116"/>
      <c r="BD53" s="116">
        <v>19.3</v>
      </c>
      <c r="BE53" s="116"/>
      <c r="BF53" s="116"/>
      <c r="BG53" s="116"/>
      <c r="BH53" s="116"/>
      <c r="BI53" s="116"/>
      <c r="BJ53" s="116"/>
      <c r="BK53" s="116"/>
      <c r="BL53" s="116">
        <v>17.48</v>
      </c>
      <c r="BM53" s="116"/>
      <c r="BN53" s="116"/>
      <c r="BO53" s="116"/>
      <c r="BP53" s="116"/>
      <c r="BQ53" s="116"/>
      <c r="BR53" s="116"/>
      <c r="BS53" s="116"/>
      <c r="BT53" s="116"/>
      <c r="BU53" s="116">
        <f>(13.7+14)/2</f>
        <v>13.85</v>
      </c>
      <c r="BV53" s="116"/>
      <c r="BW53" s="116"/>
      <c r="BX53" s="116"/>
      <c r="BY53" s="116"/>
      <c r="BZ53" s="116"/>
      <c r="CA53" s="116"/>
      <c r="CB53" s="116"/>
      <c r="CC53" s="116" t="s">
        <v>138</v>
      </c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8"/>
      <c r="DK53" s="118"/>
      <c r="DL53" s="118"/>
      <c r="DM53" s="118"/>
      <c r="DN53" s="118"/>
      <c r="DO53" s="118"/>
      <c r="DP53" s="118"/>
      <c r="DQ53" s="118"/>
      <c r="DR53" s="118"/>
      <c r="DS53" s="118"/>
      <c r="DT53" s="118"/>
      <c r="DU53" s="118"/>
      <c r="DV53" s="118"/>
      <c r="DW53" s="118"/>
      <c r="DX53" s="118"/>
      <c r="DY53" s="118"/>
      <c r="DZ53" s="118"/>
      <c r="EA53" s="118"/>
      <c r="EB53" s="118"/>
      <c r="EC53" s="118"/>
      <c r="ED53" s="118"/>
      <c r="EE53" s="118"/>
      <c r="EF53" s="118"/>
      <c r="EG53" s="118"/>
      <c r="EH53" s="118"/>
      <c r="EI53" s="118"/>
      <c r="EJ53" s="118"/>
      <c r="EK53" s="118"/>
    </row>
    <row r="54" spans="1:141" s="119" customFormat="1" x14ac:dyDescent="0.2">
      <c r="A54" s="120" t="s">
        <v>109</v>
      </c>
      <c r="B54" s="108">
        <v>427</v>
      </c>
      <c r="C54" s="108" t="s">
        <v>48</v>
      </c>
      <c r="D54" s="109" t="s">
        <v>12</v>
      </c>
      <c r="E54" s="110">
        <v>40810</v>
      </c>
      <c r="F54" s="110">
        <v>40826</v>
      </c>
      <c r="G54" s="105" t="s">
        <v>36</v>
      </c>
      <c r="H54" s="105" t="s">
        <v>36</v>
      </c>
      <c r="I54" s="105" t="s">
        <v>36</v>
      </c>
      <c r="J54" s="122">
        <v>40794</v>
      </c>
      <c r="K54" s="111">
        <v>40816</v>
      </c>
      <c r="L54" s="105" t="s">
        <v>36</v>
      </c>
      <c r="M54" s="105" t="s">
        <v>36</v>
      </c>
      <c r="N54" s="112"/>
      <c r="O54" s="105" t="s">
        <v>36</v>
      </c>
      <c r="P54" s="113"/>
      <c r="Q54" s="113"/>
      <c r="R54" s="113"/>
      <c r="S54" s="113"/>
      <c r="T54" s="114"/>
      <c r="U54" s="113"/>
      <c r="V54" s="113"/>
      <c r="W54" s="113"/>
      <c r="X54" s="115"/>
      <c r="Y54" s="113"/>
      <c r="Z54" s="115"/>
      <c r="AA54" s="115"/>
      <c r="AB54" s="115"/>
      <c r="AC54" s="115"/>
      <c r="AD54" s="115"/>
      <c r="AE54" s="114">
        <f>(29.56+32.11)/2</f>
        <v>30.835000000000001</v>
      </c>
      <c r="AF54" s="114"/>
      <c r="AG54" s="115"/>
      <c r="AH54" s="116"/>
      <c r="AI54" s="117">
        <f>(28.6+28.76)/2</f>
        <v>28.68</v>
      </c>
      <c r="AJ54" s="116"/>
      <c r="AK54" s="116"/>
      <c r="AL54" s="116"/>
      <c r="AM54" s="116"/>
      <c r="AN54" s="116"/>
      <c r="AO54" s="116"/>
      <c r="AP54" s="116">
        <f>(27.8+26.8)/2</f>
        <v>27.3</v>
      </c>
      <c r="AQ54" s="116"/>
      <c r="AR54" s="116"/>
      <c r="AS54" s="116">
        <f>(24.8+24.8)/2</f>
        <v>24.8</v>
      </c>
      <c r="AT54" s="116"/>
      <c r="AU54" s="116"/>
      <c r="AV54" s="116"/>
      <c r="AW54" s="116"/>
      <c r="AX54" s="116"/>
      <c r="AY54" s="116"/>
      <c r="AZ54" s="116">
        <f>(17.29+14.95+14.54)/3</f>
        <v>15.593333333333332</v>
      </c>
      <c r="BA54" s="116"/>
      <c r="BB54" s="116"/>
      <c r="BC54" s="116"/>
      <c r="BD54" s="116">
        <f>(12.2+12.4)/2</f>
        <v>12.3</v>
      </c>
      <c r="BE54" s="116"/>
      <c r="BF54" s="116" t="s">
        <v>138</v>
      </c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  <c r="DC54" s="116"/>
      <c r="DD54" s="116"/>
      <c r="DE54" s="116"/>
      <c r="DF54" s="116"/>
      <c r="DG54" s="116"/>
      <c r="DH54" s="116"/>
      <c r="DI54" s="116"/>
      <c r="DJ54" s="118"/>
      <c r="DK54" s="118"/>
      <c r="DL54" s="118"/>
      <c r="DM54" s="118"/>
      <c r="DN54" s="118"/>
      <c r="DO54" s="118"/>
      <c r="DP54" s="118"/>
      <c r="DQ54" s="118"/>
      <c r="DR54" s="118"/>
      <c r="DS54" s="118"/>
      <c r="DT54" s="118"/>
      <c r="DU54" s="118"/>
      <c r="DV54" s="118"/>
      <c r="DW54" s="118"/>
      <c r="DX54" s="118"/>
      <c r="DY54" s="118"/>
      <c r="DZ54" s="118"/>
      <c r="EA54" s="118"/>
      <c r="EB54" s="118"/>
      <c r="EC54" s="118"/>
      <c r="ED54" s="118"/>
      <c r="EE54" s="118"/>
      <c r="EF54" s="118"/>
      <c r="EG54" s="118"/>
      <c r="EH54" s="118"/>
      <c r="EI54" s="118"/>
      <c r="EJ54" s="118"/>
      <c r="EK54" s="118"/>
    </row>
    <row r="55" spans="1:141" s="119" customFormat="1" x14ac:dyDescent="0.2">
      <c r="A55" s="106" t="s">
        <v>110</v>
      </c>
      <c r="B55" s="107"/>
      <c r="C55" s="108"/>
      <c r="D55" s="109" t="s">
        <v>13</v>
      </c>
      <c r="E55" s="110"/>
      <c r="F55" s="110"/>
      <c r="G55" s="105"/>
      <c r="H55" s="105"/>
      <c r="I55" s="105"/>
      <c r="J55" s="122"/>
      <c r="K55" s="111"/>
      <c r="L55" s="105"/>
      <c r="M55" s="105"/>
      <c r="N55" s="112"/>
      <c r="O55" s="105"/>
      <c r="P55" s="113"/>
      <c r="Q55" s="113"/>
      <c r="R55" s="113"/>
      <c r="S55" s="113"/>
      <c r="T55" s="114"/>
      <c r="U55" s="113"/>
      <c r="V55" s="113"/>
      <c r="W55" s="113"/>
      <c r="X55" s="115"/>
      <c r="Y55" s="113"/>
      <c r="Z55" s="115"/>
      <c r="AA55" s="115"/>
      <c r="AB55" s="115"/>
      <c r="AC55" s="115"/>
      <c r="AD55" s="115"/>
      <c r="AE55" s="114">
        <f>(31.47+30.52)/2</f>
        <v>30.994999999999997</v>
      </c>
      <c r="AF55" s="114"/>
      <c r="AG55" s="115"/>
      <c r="AH55" s="116"/>
      <c r="AI55" s="117">
        <v>28.64</v>
      </c>
      <c r="AJ55" s="116"/>
      <c r="AK55" s="116"/>
      <c r="AL55" s="116"/>
      <c r="AM55" s="116"/>
      <c r="AN55" s="116"/>
      <c r="AO55" s="116"/>
      <c r="AP55" s="116">
        <v>26.07</v>
      </c>
      <c r="AQ55" s="116"/>
      <c r="AR55" s="116"/>
      <c r="AS55" s="116">
        <v>26.33</v>
      </c>
      <c r="AT55" s="116"/>
      <c r="AU55" s="116"/>
      <c r="AV55" s="116"/>
      <c r="AW55" s="116"/>
      <c r="AX55" s="116"/>
      <c r="AY55" s="116"/>
      <c r="AZ55" s="116">
        <f>(20.71+15.76+16.16)/3</f>
        <v>17.543333333333333</v>
      </c>
      <c r="BA55" s="116"/>
      <c r="BB55" s="116"/>
      <c r="BC55" s="116"/>
      <c r="BD55" s="116">
        <f>(16.2+16.8)/2</f>
        <v>16.5</v>
      </c>
      <c r="BE55" s="116"/>
      <c r="BF55" s="116"/>
      <c r="BG55" s="116" t="s">
        <v>138</v>
      </c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/>
      <c r="DE55" s="116"/>
      <c r="DF55" s="116"/>
      <c r="DG55" s="116"/>
      <c r="DH55" s="116"/>
      <c r="DI55" s="116"/>
      <c r="DJ55" s="118"/>
      <c r="DK55" s="118"/>
      <c r="DL55" s="118"/>
      <c r="DM55" s="118"/>
      <c r="DN55" s="118"/>
      <c r="DO55" s="118"/>
      <c r="DP55" s="118"/>
      <c r="DQ55" s="118"/>
      <c r="DR55" s="118"/>
      <c r="DS55" s="118"/>
      <c r="DT55" s="118"/>
      <c r="DU55" s="118"/>
      <c r="DV55" s="118"/>
      <c r="DW55" s="118"/>
      <c r="DX55" s="118"/>
      <c r="DY55" s="118"/>
      <c r="DZ55" s="118"/>
      <c r="EA55" s="118"/>
      <c r="EB55" s="118"/>
      <c r="EC55" s="118"/>
      <c r="ED55" s="118"/>
      <c r="EE55" s="118"/>
      <c r="EF55" s="118"/>
      <c r="EG55" s="118"/>
      <c r="EH55" s="118"/>
      <c r="EI55" s="118"/>
      <c r="EJ55" s="118"/>
      <c r="EK55" s="118"/>
    </row>
    <row r="56" spans="1:141" s="119" customFormat="1" x14ac:dyDescent="0.2">
      <c r="A56" s="120" t="s">
        <v>75</v>
      </c>
      <c r="B56" s="108">
        <v>428</v>
      </c>
      <c r="C56" s="108" t="s">
        <v>111</v>
      </c>
      <c r="D56" s="109" t="s">
        <v>12</v>
      </c>
      <c r="E56" s="127">
        <v>40819</v>
      </c>
      <c r="F56" s="110">
        <v>40837</v>
      </c>
      <c r="G56" s="105" t="s">
        <v>35</v>
      </c>
      <c r="H56" s="105" t="s">
        <v>36</v>
      </c>
      <c r="I56" s="105" t="s">
        <v>123</v>
      </c>
      <c r="J56" s="122">
        <v>40805</v>
      </c>
      <c r="K56" s="111">
        <v>40821</v>
      </c>
      <c r="L56" s="105" t="s">
        <v>35</v>
      </c>
      <c r="M56" s="105" t="s">
        <v>35</v>
      </c>
      <c r="N56" s="112"/>
      <c r="O56" s="105" t="s">
        <v>36</v>
      </c>
      <c r="P56" s="113"/>
      <c r="Q56" s="113"/>
      <c r="R56" s="113"/>
      <c r="S56" s="113"/>
      <c r="T56" s="114"/>
      <c r="U56" s="113"/>
      <c r="V56" s="113"/>
      <c r="W56" s="113"/>
      <c r="X56" s="115"/>
      <c r="Y56" s="113"/>
      <c r="Z56" s="115"/>
      <c r="AA56" s="115"/>
      <c r="AB56" s="115"/>
      <c r="AC56" s="115"/>
      <c r="AD56" s="115"/>
      <c r="AE56" s="114" t="s">
        <v>124</v>
      </c>
      <c r="AF56" s="114"/>
      <c r="AG56" s="115"/>
      <c r="AH56" s="116"/>
      <c r="AI56" s="117">
        <f>(35.16+34.51)/2</f>
        <v>34.834999999999994</v>
      </c>
      <c r="AJ56" s="116"/>
      <c r="AK56" s="116"/>
      <c r="AL56" s="116"/>
      <c r="AM56" s="116"/>
      <c r="AN56" s="116"/>
      <c r="AO56" s="116"/>
      <c r="AP56" s="116"/>
      <c r="AQ56" s="116">
        <f>(30.04+30.36)/2</f>
        <v>30.2</v>
      </c>
      <c r="AR56" s="116"/>
      <c r="AS56" s="116">
        <f>(32.87+35.47)/2</f>
        <v>34.17</v>
      </c>
      <c r="AT56" s="116"/>
      <c r="AU56" s="116"/>
      <c r="AV56" s="116"/>
      <c r="AW56" s="116"/>
      <c r="AX56" s="116">
        <f>(27.32+32.11)/2</f>
        <v>29.715</v>
      </c>
      <c r="AY56" s="116"/>
      <c r="AZ56" s="116">
        <f>(28.67+21.87)/2</f>
        <v>25.270000000000003</v>
      </c>
      <c r="BA56" s="116"/>
      <c r="BB56" s="116"/>
      <c r="BC56" s="116"/>
      <c r="BD56" s="116"/>
      <c r="BE56" s="116"/>
      <c r="BF56" s="116"/>
      <c r="BG56" s="116"/>
      <c r="BH56" s="116">
        <f>(22.48+21.98)/2</f>
        <v>22.23</v>
      </c>
      <c r="BI56" s="116"/>
      <c r="BJ56" s="116"/>
      <c r="BK56" s="116">
        <v>20.55</v>
      </c>
      <c r="BL56" s="116"/>
      <c r="BM56" s="116"/>
      <c r="BN56" s="116"/>
      <c r="BO56" s="116">
        <f>(17.48+17.1)/2</f>
        <v>17.29</v>
      </c>
      <c r="BP56" s="116"/>
      <c r="BQ56" s="116">
        <f>(20.6+14.6)/2</f>
        <v>17.600000000000001</v>
      </c>
      <c r="BR56" s="116"/>
      <c r="BS56" s="116"/>
      <c r="BT56" s="116"/>
      <c r="BU56" s="116">
        <f>(17+17.2+17)/3</f>
        <v>17.066666666666666</v>
      </c>
      <c r="BV56" s="116"/>
      <c r="BW56" s="116"/>
      <c r="BX56" s="116"/>
      <c r="BY56" s="116">
        <f>(16.2+16.5)/2</f>
        <v>16.350000000000001</v>
      </c>
      <c r="BZ56" s="116"/>
      <c r="CA56" s="116"/>
      <c r="CB56" s="116"/>
      <c r="CC56" s="116"/>
      <c r="CD56" s="116"/>
      <c r="CE56" s="116">
        <v>15.3</v>
      </c>
      <c r="CF56" s="116"/>
      <c r="CG56" s="116" t="s">
        <v>138</v>
      </c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116"/>
      <c r="CY56" s="116"/>
      <c r="CZ56" s="116"/>
      <c r="DA56" s="116"/>
      <c r="DB56" s="116"/>
      <c r="DC56" s="116"/>
      <c r="DD56" s="116"/>
      <c r="DE56" s="116"/>
      <c r="DF56" s="116"/>
      <c r="DG56" s="116"/>
      <c r="DH56" s="116"/>
      <c r="DI56" s="116"/>
      <c r="DJ56" s="118"/>
      <c r="DK56" s="118"/>
      <c r="DL56" s="118"/>
      <c r="DM56" s="118"/>
      <c r="DN56" s="118"/>
      <c r="DO56" s="118"/>
      <c r="DP56" s="118"/>
      <c r="DQ56" s="118"/>
      <c r="DR56" s="118"/>
      <c r="DS56" s="118"/>
      <c r="DT56" s="118"/>
      <c r="DU56" s="118"/>
      <c r="DV56" s="118"/>
      <c r="DW56" s="118"/>
      <c r="DX56" s="118"/>
      <c r="DY56" s="118"/>
      <c r="DZ56" s="118"/>
      <c r="EA56" s="118"/>
      <c r="EB56" s="118"/>
      <c r="EC56" s="118"/>
      <c r="ED56" s="118"/>
      <c r="EE56" s="118"/>
      <c r="EF56" s="118"/>
      <c r="EG56" s="118"/>
      <c r="EH56" s="118"/>
      <c r="EI56" s="118"/>
      <c r="EJ56" s="118"/>
      <c r="EK56" s="118"/>
    </row>
    <row r="57" spans="1:141" s="119" customFormat="1" x14ac:dyDescent="0.2">
      <c r="A57" s="106" t="s">
        <v>112</v>
      </c>
      <c r="B57" s="108"/>
      <c r="C57" s="108"/>
      <c r="D57" s="109" t="s">
        <v>13</v>
      </c>
      <c r="E57" s="110"/>
      <c r="F57" s="110"/>
      <c r="G57" s="105"/>
      <c r="H57" s="105"/>
      <c r="I57" s="105"/>
      <c r="J57" s="122"/>
      <c r="K57" s="111"/>
      <c r="L57" s="105"/>
      <c r="M57" s="105"/>
      <c r="N57" s="112"/>
      <c r="O57" s="105"/>
      <c r="P57" s="113"/>
      <c r="Q57" s="113"/>
      <c r="R57" s="113"/>
      <c r="S57" s="113"/>
      <c r="T57" s="114"/>
      <c r="U57" s="113"/>
      <c r="V57" s="113"/>
      <c r="W57" s="113"/>
      <c r="X57" s="115"/>
      <c r="Y57" s="113"/>
      <c r="Z57" s="115"/>
      <c r="AA57" s="115"/>
      <c r="AB57" s="115"/>
      <c r="AC57" s="115"/>
      <c r="AD57" s="115"/>
      <c r="AE57" s="114">
        <v>30.2</v>
      </c>
      <c r="AF57" s="114"/>
      <c r="AG57" s="115"/>
      <c r="AH57" s="116"/>
      <c r="AI57" s="117">
        <v>31.16</v>
      </c>
      <c r="AJ57" s="116"/>
      <c r="AK57" s="116"/>
      <c r="AL57" s="116"/>
      <c r="AM57" s="116"/>
      <c r="AN57" s="116"/>
      <c r="AO57" s="116"/>
      <c r="AP57" s="116"/>
      <c r="AQ57" s="116">
        <v>29.08</v>
      </c>
      <c r="AR57" s="116"/>
      <c r="AS57" s="116">
        <v>29.4</v>
      </c>
      <c r="AT57" s="116"/>
      <c r="AU57" s="116"/>
      <c r="AV57" s="116"/>
      <c r="AW57" s="116"/>
      <c r="AX57" s="116">
        <v>23.2</v>
      </c>
      <c r="AY57" s="116"/>
      <c r="AZ57" s="116">
        <v>22.98</v>
      </c>
      <c r="BA57" s="116"/>
      <c r="BB57" s="116"/>
      <c r="BC57" s="116"/>
      <c r="BD57" s="116"/>
      <c r="BE57" s="116"/>
      <c r="BF57" s="116"/>
      <c r="BG57" s="116"/>
      <c r="BH57" s="116">
        <f>(21.77+20.87)/2</f>
        <v>21.32</v>
      </c>
      <c r="BI57" s="116"/>
      <c r="BJ57" s="116"/>
      <c r="BK57" s="116">
        <v>17.29</v>
      </c>
      <c r="BL57" s="116"/>
      <c r="BM57" s="116"/>
      <c r="BN57" s="116"/>
      <c r="BO57" s="116">
        <f>(16.92+15.95)/2</f>
        <v>16.435000000000002</v>
      </c>
      <c r="BP57" s="116"/>
      <c r="BQ57" s="116" t="s">
        <v>138</v>
      </c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116"/>
      <c r="DJ57" s="118"/>
      <c r="DK57" s="118"/>
      <c r="DL57" s="118"/>
      <c r="DM57" s="118"/>
      <c r="DN57" s="118"/>
      <c r="DO57" s="118"/>
      <c r="DP57" s="118"/>
      <c r="DQ57" s="118"/>
      <c r="DR57" s="118"/>
      <c r="DS57" s="118"/>
      <c r="DT57" s="118"/>
      <c r="DU57" s="118"/>
      <c r="DV57" s="118"/>
      <c r="DW57" s="118"/>
      <c r="DX57" s="118"/>
      <c r="DY57" s="118"/>
      <c r="DZ57" s="118"/>
      <c r="EA57" s="118"/>
      <c r="EB57" s="118"/>
      <c r="EC57" s="118"/>
      <c r="ED57" s="118"/>
      <c r="EE57" s="118"/>
      <c r="EF57" s="118"/>
      <c r="EG57" s="118"/>
      <c r="EH57" s="118"/>
      <c r="EI57" s="118"/>
      <c r="EJ57" s="118"/>
      <c r="EK57" s="118"/>
    </row>
    <row r="58" spans="1:141" s="119" customFormat="1" x14ac:dyDescent="0.2">
      <c r="A58" s="120" t="s">
        <v>107</v>
      </c>
      <c r="B58" s="108">
        <v>429</v>
      </c>
      <c r="C58" s="108" t="s">
        <v>113</v>
      </c>
      <c r="D58" s="109" t="s">
        <v>12</v>
      </c>
      <c r="E58" s="110">
        <v>40820</v>
      </c>
      <c r="F58" s="110">
        <v>40854</v>
      </c>
      <c r="G58" s="105" t="s">
        <v>36</v>
      </c>
      <c r="H58" s="105" t="s">
        <v>36</v>
      </c>
      <c r="I58" s="105" t="s">
        <v>36</v>
      </c>
      <c r="J58" s="122">
        <v>40806</v>
      </c>
      <c r="K58" s="111">
        <v>40821</v>
      </c>
      <c r="L58" s="105" t="s">
        <v>35</v>
      </c>
      <c r="M58" s="105" t="s">
        <v>35</v>
      </c>
      <c r="N58" s="112"/>
      <c r="O58" s="105" t="s">
        <v>36</v>
      </c>
      <c r="P58" s="113"/>
      <c r="Q58" s="113"/>
      <c r="R58" s="113"/>
      <c r="S58" s="113"/>
      <c r="T58" s="114"/>
      <c r="U58" s="113"/>
      <c r="V58" s="113"/>
      <c r="W58" s="113"/>
      <c r="X58" s="115"/>
      <c r="Y58" s="113"/>
      <c r="Z58" s="115"/>
      <c r="AA58" s="115"/>
      <c r="AB58" s="115"/>
      <c r="AC58" s="115"/>
      <c r="AD58" s="115"/>
      <c r="AE58" s="114">
        <v>37.07</v>
      </c>
      <c r="AF58" s="114"/>
      <c r="AG58" s="115"/>
      <c r="AH58" s="116"/>
      <c r="AI58" s="117">
        <f>(32.27+26.27)/2</f>
        <v>29.270000000000003</v>
      </c>
      <c r="AJ58" s="116"/>
      <c r="AK58" s="116"/>
      <c r="AL58" s="116"/>
      <c r="AM58" s="116"/>
      <c r="AN58" s="116"/>
      <c r="AO58" s="116"/>
      <c r="AP58" s="116">
        <f>(33.55+30.36)/2</f>
        <v>31.954999999999998</v>
      </c>
      <c r="AQ58" s="116"/>
      <c r="AR58" s="116"/>
      <c r="AS58" s="116">
        <f>(30.52)</f>
        <v>30.52</v>
      </c>
      <c r="AT58" s="116"/>
      <c r="AU58" s="116"/>
      <c r="AV58" s="116"/>
      <c r="AW58" s="116">
        <f>(30.04+27.8)/2</f>
        <v>28.92</v>
      </c>
      <c r="AX58" s="116"/>
      <c r="AY58" s="116">
        <f>(28.92+31)/2</f>
        <v>29.96</v>
      </c>
      <c r="AZ58" s="116"/>
      <c r="BA58" s="116"/>
      <c r="BB58" s="116"/>
      <c r="BC58" s="116"/>
      <c r="BD58" s="116">
        <f>(17.8+18)/2</f>
        <v>17.899999999999999</v>
      </c>
      <c r="BE58" s="116"/>
      <c r="BF58" s="116"/>
      <c r="BG58" s="116"/>
      <c r="BI58" s="116"/>
      <c r="BJ58" s="116"/>
      <c r="BK58" s="116"/>
      <c r="BL58" s="116">
        <v>17.100000000000001</v>
      </c>
      <c r="BM58" s="116"/>
      <c r="BN58" s="116"/>
      <c r="BO58" s="116"/>
      <c r="BP58" s="116"/>
      <c r="BQ58" s="116">
        <f>(16.9+16.9)/2</f>
        <v>16.899999999999999</v>
      </c>
      <c r="BR58" s="116"/>
      <c r="BS58" s="116"/>
      <c r="BT58" s="116"/>
      <c r="BU58" s="116">
        <f>(15+15.3+15.1)/3</f>
        <v>15.133333333333333</v>
      </c>
      <c r="BV58" s="116"/>
      <c r="BW58" s="116"/>
      <c r="BX58" s="116"/>
      <c r="BY58" s="116">
        <f>(13+12.8)/2</f>
        <v>12.9</v>
      </c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 t="s">
        <v>138</v>
      </c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  <c r="CY58" s="116"/>
      <c r="CZ58" s="116"/>
      <c r="DA58" s="116"/>
      <c r="DB58" s="116"/>
      <c r="DC58" s="116"/>
      <c r="DD58" s="116"/>
      <c r="DE58" s="116"/>
      <c r="DF58" s="116"/>
      <c r="DG58" s="116"/>
      <c r="DH58" s="116"/>
      <c r="DI58" s="116"/>
      <c r="DJ58" s="118"/>
      <c r="DK58" s="118"/>
      <c r="DL58" s="118"/>
      <c r="DM58" s="118"/>
      <c r="DN58" s="118"/>
      <c r="DO58" s="118"/>
      <c r="DP58" s="118"/>
      <c r="DQ58" s="118"/>
      <c r="DR58" s="118"/>
      <c r="DS58" s="118"/>
      <c r="DT58" s="118"/>
      <c r="DU58" s="118"/>
      <c r="DV58" s="118"/>
      <c r="DW58" s="118"/>
      <c r="DX58" s="118"/>
      <c r="DY58" s="118"/>
      <c r="DZ58" s="118"/>
      <c r="EA58" s="118"/>
      <c r="EB58" s="118"/>
      <c r="EC58" s="118"/>
      <c r="ED58" s="118"/>
      <c r="EE58" s="118"/>
      <c r="EF58" s="118"/>
      <c r="EG58" s="118"/>
      <c r="EH58" s="118"/>
      <c r="EI58" s="118"/>
      <c r="EJ58" s="118"/>
      <c r="EK58" s="118"/>
    </row>
    <row r="59" spans="1:141" s="119" customFormat="1" x14ac:dyDescent="0.2">
      <c r="A59" s="106" t="s">
        <v>114</v>
      </c>
      <c r="B59" s="108"/>
      <c r="C59" s="108"/>
      <c r="D59" s="109" t="s">
        <v>13</v>
      </c>
      <c r="E59" s="110"/>
      <c r="F59" s="110"/>
      <c r="G59" s="105"/>
      <c r="H59" s="105"/>
      <c r="I59" s="105"/>
      <c r="J59" s="122"/>
      <c r="K59" s="111"/>
      <c r="L59" s="105"/>
      <c r="M59" s="105"/>
      <c r="N59" s="112"/>
      <c r="O59" s="105"/>
      <c r="P59" s="113"/>
      <c r="Q59" s="113"/>
      <c r="R59" s="113"/>
      <c r="S59" s="113"/>
      <c r="T59" s="114"/>
      <c r="U59" s="113"/>
      <c r="V59" s="113"/>
      <c r="W59" s="113"/>
      <c r="X59" s="115"/>
      <c r="Y59" s="113"/>
      <c r="Z59" s="115"/>
      <c r="AA59" s="115"/>
      <c r="AB59" s="115"/>
      <c r="AC59" s="115"/>
      <c r="AD59" s="115"/>
      <c r="AE59" s="114">
        <v>33.549999999999997</v>
      </c>
      <c r="AF59" s="114"/>
      <c r="AG59" s="115"/>
      <c r="AH59" s="116"/>
      <c r="AI59" s="117">
        <v>33.07</v>
      </c>
      <c r="AJ59" s="116"/>
      <c r="AK59" s="116"/>
      <c r="AL59" s="116"/>
      <c r="AM59" s="116"/>
      <c r="AN59" s="116"/>
      <c r="AO59" s="116"/>
      <c r="AP59" s="116">
        <v>29.88</v>
      </c>
      <c r="AQ59" s="116"/>
      <c r="AR59" s="116"/>
      <c r="AS59" s="116">
        <v>32.270000000000003</v>
      </c>
      <c r="AT59" s="116"/>
      <c r="AU59" s="116"/>
      <c r="AV59" s="116"/>
      <c r="AW59" s="116">
        <v>27.96</v>
      </c>
      <c r="AX59" s="116"/>
      <c r="AY59" s="116">
        <v>31</v>
      </c>
      <c r="AZ59" s="116"/>
      <c r="BA59" s="116"/>
      <c r="BB59" s="116"/>
      <c r="BC59" s="116"/>
      <c r="BD59" s="116">
        <f>(20.4+20.8)/2</f>
        <v>20.6</v>
      </c>
      <c r="BE59" s="116"/>
      <c r="BF59" s="116"/>
      <c r="BG59" s="116"/>
      <c r="BI59" s="116"/>
      <c r="BJ59" s="116"/>
      <c r="BK59" s="116"/>
      <c r="BL59" s="116">
        <v>17.57</v>
      </c>
      <c r="BM59" s="116"/>
      <c r="BN59" s="116"/>
      <c r="BO59" s="116"/>
      <c r="BP59" s="116"/>
      <c r="BQ59" s="116"/>
      <c r="BR59" s="116"/>
      <c r="BS59" s="116"/>
      <c r="BT59" s="116"/>
      <c r="BU59" s="116">
        <f>(15.2+15)/2</f>
        <v>15.1</v>
      </c>
      <c r="BV59" s="116"/>
      <c r="BW59" s="116"/>
      <c r="BX59" s="116"/>
      <c r="BY59" s="116"/>
      <c r="BZ59" s="116"/>
      <c r="CA59" s="116"/>
      <c r="CB59" s="116"/>
      <c r="CC59" s="116" t="s">
        <v>138</v>
      </c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/>
      <c r="DE59" s="116"/>
      <c r="DF59" s="116"/>
      <c r="DG59" s="116"/>
      <c r="DH59" s="116"/>
      <c r="DI59" s="116"/>
      <c r="DJ59" s="118"/>
      <c r="DK59" s="118"/>
      <c r="DL59" s="118"/>
      <c r="DM59" s="118"/>
      <c r="DN59" s="118"/>
      <c r="DO59" s="118"/>
      <c r="DP59" s="118"/>
      <c r="DQ59" s="118"/>
      <c r="DR59" s="118"/>
      <c r="DS59" s="118"/>
      <c r="DT59" s="118"/>
      <c r="DU59" s="118"/>
      <c r="DV59" s="118"/>
      <c r="DW59" s="118"/>
      <c r="DX59" s="118"/>
      <c r="DY59" s="118"/>
      <c r="DZ59" s="118"/>
      <c r="EA59" s="118"/>
      <c r="EB59" s="118"/>
      <c r="EC59" s="118"/>
      <c r="ED59" s="118"/>
      <c r="EE59" s="118"/>
      <c r="EF59" s="118"/>
      <c r="EG59" s="118"/>
      <c r="EH59" s="118"/>
      <c r="EI59" s="118"/>
      <c r="EJ59" s="118"/>
      <c r="EK59" s="118"/>
    </row>
    <row r="60" spans="1:141" s="119" customFormat="1" ht="12" customHeight="1" x14ac:dyDescent="0.2">
      <c r="A60" s="120" t="s">
        <v>75</v>
      </c>
      <c r="B60" s="108">
        <v>430</v>
      </c>
      <c r="C60" s="108" t="s">
        <v>115</v>
      </c>
      <c r="D60" s="109" t="s">
        <v>12</v>
      </c>
      <c r="E60" s="110">
        <v>40819</v>
      </c>
      <c r="F60" s="110">
        <v>40837</v>
      </c>
      <c r="G60" s="105" t="s">
        <v>36</v>
      </c>
      <c r="H60" s="105" t="s">
        <v>36</v>
      </c>
      <c r="I60" s="105" t="s">
        <v>36</v>
      </c>
      <c r="J60" s="122">
        <v>40805</v>
      </c>
      <c r="K60" s="111">
        <v>40821</v>
      </c>
      <c r="L60" s="105" t="s">
        <v>35</v>
      </c>
      <c r="M60" s="105" t="s">
        <v>35</v>
      </c>
      <c r="N60" s="112"/>
      <c r="O60" s="105" t="s">
        <v>36</v>
      </c>
      <c r="P60" s="113"/>
      <c r="Q60" s="113"/>
      <c r="R60" s="113"/>
      <c r="S60" s="113"/>
      <c r="T60" s="114"/>
      <c r="U60" s="113"/>
      <c r="V60" s="113"/>
      <c r="W60" s="113"/>
      <c r="X60" s="115"/>
      <c r="Y60" s="113"/>
      <c r="Z60" s="115"/>
      <c r="AA60" s="115"/>
      <c r="AB60" s="115"/>
      <c r="AC60" s="115"/>
      <c r="AD60" s="115"/>
      <c r="AE60" s="114">
        <v>33.229999999999997</v>
      </c>
      <c r="AF60" s="114"/>
      <c r="AG60" s="115"/>
      <c r="AH60" s="116"/>
      <c r="AI60" s="117">
        <f>(30.52+30.68)/2</f>
        <v>30.6</v>
      </c>
      <c r="AJ60" s="116"/>
      <c r="AK60" s="116">
        <v>30.4</v>
      </c>
      <c r="AL60" s="116"/>
      <c r="AM60" s="116"/>
      <c r="AN60" s="116"/>
      <c r="AO60" s="116"/>
      <c r="AP60" s="116"/>
      <c r="AQ60" s="116">
        <f>(26.8+27.96)/2</f>
        <v>27.380000000000003</v>
      </c>
      <c r="AR60" s="116"/>
      <c r="AS60" s="116">
        <f>(26.8+27)/2</f>
        <v>26.9</v>
      </c>
      <c r="AT60" s="116"/>
      <c r="AU60" s="116"/>
      <c r="AV60" s="116"/>
      <c r="AW60" s="116"/>
      <c r="AX60" s="116">
        <f>(19.2+19.38)/2</f>
        <v>19.29</v>
      </c>
      <c r="AY60" s="116"/>
      <c r="AZ60" s="116">
        <f>(21.4+16.95)/2</f>
        <v>19.174999999999997</v>
      </c>
      <c r="BA60" s="116"/>
      <c r="BB60" s="116"/>
      <c r="BC60" s="116"/>
      <c r="BD60" s="116"/>
      <c r="BE60" s="116"/>
      <c r="BF60" s="116"/>
      <c r="BG60" s="116"/>
      <c r="BH60" s="116">
        <f>(14.33+16.92)/2</f>
        <v>15.625</v>
      </c>
      <c r="BI60" s="116"/>
      <c r="BJ60" s="116"/>
      <c r="BK60" s="116">
        <v>14.12</v>
      </c>
      <c r="BL60" s="116"/>
      <c r="BM60" s="116"/>
      <c r="BN60" s="116"/>
      <c r="BO60" s="116">
        <f>(14.75+14.12)/2</f>
        <v>14.434999999999999</v>
      </c>
      <c r="BP60" s="116"/>
      <c r="BQ60" s="116"/>
      <c r="BR60" s="116" t="s">
        <v>138</v>
      </c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8"/>
      <c r="DK60" s="118"/>
      <c r="DL60" s="118"/>
      <c r="DM60" s="118"/>
      <c r="DN60" s="118"/>
      <c r="DO60" s="118"/>
      <c r="DP60" s="118"/>
      <c r="DQ60" s="118"/>
      <c r="DR60" s="118"/>
      <c r="DS60" s="118"/>
      <c r="DT60" s="118"/>
      <c r="DU60" s="118"/>
      <c r="DV60" s="118"/>
      <c r="DW60" s="118"/>
      <c r="DX60" s="118"/>
      <c r="DY60" s="118"/>
      <c r="DZ60" s="118"/>
      <c r="EA60" s="118"/>
      <c r="EB60" s="118"/>
      <c r="EC60" s="118"/>
      <c r="ED60" s="118"/>
      <c r="EE60" s="118"/>
      <c r="EF60" s="118"/>
      <c r="EG60" s="118"/>
      <c r="EH60" s="118"/>
      <c r="EI60" s="118"/>
      <c r="EJ60" s="118"/>
      <c r="EK60" s="118"/>
    </row>
    <row r="61" spans="1:141" s="119" customFormat="1" x14ac:dyDescent="0.2">
      <c r="A61" s="106" t="s">
        <v>116</v>
      </c>
      <c r="B61" s="108"/>
      <c r="C61" s="108"/>
      <c r="D61" s="109" t="s">
        <v>13</v>
      </c>
      <c r="E61" s="110"/>
      <c r="F61" s="110"/>
      <c r="G61" s="105"/>
      <c r="H61" s="105"/>
      <c r="I61" s="105"/>
      <c r="J61" s="122"/>
      <c r="K61" s="111"/>
      <c r="L61" s="105"/>
      <c r="M61" s="105"/>
      <c r="N61" s="112"/>
      <c r="O61" s="105"/>
      <c r="P61" s="113"/>
      <c r="Q61" s="113"/>
      <c r="R61" s="113"/>
      <c r="S61" s="113"/>
      <c r="T61" s="114"/>
      <c r="U61" s="113"/>
      <c r="V61" s="113"/>
      <c r="W61" s="113"/>
      <c r="X61" s="115"/>
      <c r="Y61" s="113"/>
      <c r="Z61" s="115"/>
      <c r="AA61" s="115"/>
      <c r="AB61" s="115"/>
      <c r="AC61" s="115"/>
      <c r="AD61" s="115"/>
      <c r="AE61" s="114">
        <v>31.95</v>
      </c>
      <c r="AF61" s="114"/>
      <c r="AG61" s="115"/>
      <c r="AH61" s="116"/>
      <c r="AI61" s="117">
        <v>29.56</v>
      </c>
      <c r="AJ61" s="116"/>
      <c r="AK61" s="116">
        <v>31.6</v>
      </c>
      <c r="AL61" s="116"/>
      <c r="AM61" s="116"/>
      <c r="AN61" s="116"/>
      <c r="AO61" s="116"/>
      <c r="AP61" s="116"/>
      <c r="AQ61" s="116">
        <v>25.15</v>
      </c>
      <c r="AR61" s="116"/>
      <c r="AS61" s="116">
        <v>22.62</v>
      </c>
      <c r="AT61" s="116"/>
      <c r="AU61" s="116"/>
      <c r="AV61" s="116"/>
      <c r="AW61" s="116"/>
      <c r="AX61" s="116">
        <v>16.95</v>
      </c>
      <c r="AY61" s="116"/>
      <c r="AZ61" s="116">
        <v>17.73</v>
      </c>
      <c r="BA61" s="116"/>
      <c r="BB61" s="116"/>
      <c r="BC61" s="116"/>
      <c r="BD61" s="116"/>
      <c r="BE61" s="116"/>
      <c r="BF61" s="116"/>
      <c r="BG61" s="116"/>
      <c r="BH61" s="116">
        <f>(15.35+14.54)/2</f>
        <v>14.945</v>
      </c>
      <c r="BI61" s="116"/>
      <c r="BJ61" s="116"/>
      <c r="BK61" s="116">
        <v>13.91</v>
      </c>
      <c r="BL61" s="116"/>
      <c r="BM61" s="116"/>
      <c r="BN61" s="116"/>
      <c r="BO61" s="116">
        <f>(13.05+13.91)/2</f>
        <v>13.48</v>
      </c>
      <c r="BP61" s="116" t="s">
        <v>138</v>
      </c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  <c r="DE61" s="116"/>
      <c r="DF61" s="116"/>
      <c r="DG61" s="116"/>
      <c r="DH61" s="116"/>
      <c r="DI61" s="116"/>
      <c r="DJ61" s="118"/>
      <c r="DK61" s="118"/>
      <c r="DL61" s="118"/>
      <c r="DM61" s="118"/>
      <c r="DN61" s="118"/>
      <c r="DO61" s="118"/>
      <c r="DP61" s="118"/>
      <c r="DQ61" s="118"/>
      <c r="DR61" s="118"/>
      <c r="DS61" s="118"/>
      <c r="DT61" s="118"/>
      <c r="DU61" s="118"/>
      <c r="DV61" s="118"/>
      <c r="DW61" s="118"/>
      <c r="DX61" s="118"/>
      <c r="DY61" s="118"/>
      <c r="DZ61" s="118"/>
      <c r="EA61" s="118"/>
      <c r="EB61" s="118"/>
      <c r="EC61" s="118"/>
      <c r="ED61" s="118"/>
      <c r="EE61" s="118"/>
      <c r="EF61" s="118"/>
      <c r="EG61" s="118"/>
      <c r="EH61" s="118"/>
      <c r="EI61" s="118"/>
      <c r="EJ61" s="118"/>
      <c r="EK61" s="118"/>
    </row>
    <row r="62" spans="1:141" s="119" customFormat="1" ht="11.25" customHeight="1" x14ac:dyDescent="0.2">
      <c r="A62" s="120" t="s">
        <v>74</v>
      </c>
      <c r="B62" s="108">
        <v>431</v>
      </c>
      <c r="C62" s="108" t="s">
        <v>117</v>
      </c>
      <c r="D62" s="109" t="s">
        <v>12</v>
      </c>
      <c r="E62" s="110">
        <v>40799</v>
      </c>
      <c r="F62" s="110">
        <v>40864</v>
      </c>
      <c r="G62" s="105" t="s">
        <v>35</v>
      </c>
      <c r="H62" s="105" t="s">
        <v>36</v>
      </c>
      <c r="I62" s="105" t="s">
        <v>123</v>
      </c>
      <c r="J62" s="111">
        <v>40793</v>
      </c>
      <c r="K62" s="111">
        <v>40809</v>
      </c>
      <c r="L62" s="105" t="s">
        <v>35</v>
      </c>
      <c r="M62" s="105" t="s">
        <v>35</v>
      </c>
      <c r="N62" s="112"/>
      <c r="O62" s="105" t="s">
        <v>36</v>
      </c>
      <c r="P62" s="113"/>
      <c r="Q62" s="113"/>
      <c r="R62" s="113"/>
      <c r="S62" s="113"/>
      <c r="T62" s="114"/>
      <c r="U62" s="113"/>
      <c r="V62" s="113"/>
      <c r="W62" s="113"/>
      <c r="X62" s="115"/>
      <c r="Y62" s="113"/>
      <c r="Z62" s="115"/>
      <c r="AA62" s="115"/>
      <c r="AB62" s="115"/>
      <c r="AC62" s="115">
        <f>(25.15+27.48)/2</f>
        <v>26.314999999999998</v>
      </c>
      <c r="AD62" s="115"/>
      <c r="AE62" s="114"/>
      <c r="AF62" s="114">
        <f>(28.28+28.28+28.44)/3</f>
        <v>28.333333333333332</v>
      </c>
      <c r="AG62" s="115"/>
      <c r="AH62" s="116"/>
      <c r="AI62" s="117"/>
      <c r="AJ62" s="116"/>
      <c r="AK62" s="116"/>
      <c r="AL62" s="116"/>
      <c r="AM62" s="116"/>
      <c r="AN62" s="116"/>
      <c r="AO62" s="116"/>
      <c r="AP62" s="116">
        <f>(19.9+22.83)/2</f>
        <v>21.364999999999998</v>
      </c>
      <c r="AQ62" s="116"/>
      <c r="AR62" s="116"/>
      <c r="AS62" s="116">
        <f>(16.53+17.1)/2</f>
        <v>16.815000000000001</v>
      </c>
      <c r="AT62" s="116"/>
      <c r="AU62" s="116"/>
      <c r="AV62" s="116"/>
      <c r="AW62" s="116"/>
      <c r="AX62" s="116">
        <f>(13.27+14.12+13.27)/3</f>
        <v>13.553333333333333</v>
      </c>
      <c r="AY62" s="116" t="s">
        <v>138</v>
      </c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8"/>
      <c r="DK62" s="118"/>
      <c r="DL62" s="118"/>
      <c r="DM62" s="118"/>
      <c r="DN62" s="118"/>
      <c r="DO62" s="118"/>
      <c r="DP62" s="118"/>
      <c r="DQ62" s="118"/>
      <c r="DR62" s="118"/>
      <c r="DS62" s="118"/>
      <c r="DT62" s="118"/>
      <c r="DU62" s="118"/>
      <c r="DV62" s="118"/>
      <c r="DW62" s="118"/>
      <c r="DX62" s="118"/>
      <c r="DY62" s="118"/>
      <c r="DZ62" s="118"/>
      <c r="EA62" s="118"/>
      <c r="EB62" s="118"/>
      <c r="EC62" s="118"/>
      <c r="ED62" s="118"/>
      <c r="EE62" s="118"/>
      <c r="EF62" s="118"/>
      <c r="EG62" s="118"/>
      <c r="EH62" s="118"/>
      <c r="EI62" s="118"/>
      <c r="EJ62" s="118"/>
      <c r="EK62" s="118"/>
    </row>
    <row r="63" spans="1:141" s="119" customFormat="1" x14ac:dyDescent="0.2">
      <c r="A63" s="106" t="s">
        <v>89</v>
      </c>
      <c r="B63" s="107"/>
      <c r="C63" s="108"/>
      <c r="D63" s="109" t="s">
        <v>13</v>
      </c>
      <c r="E63" s="110"/>
      <c r="F63" s="110"/>
      <c r="G63" s="105"/>
      <c r="H63" s="105"/>
      <c r="I63" s="105"/>
      <c r="J63" s="111"/>
      <c r="K63" s="111"/>
      <c r="L63" s="105"/>
      <c r="M63" s="105"/>
      <c r="N63" s="112"/>
      <c r="O63" s="105"/>
      <c r="P63" s="113"/>
      <c r="Q63" s="113"/>
      <c r="R63" s="113"/>
      <c r="S63" s="113"/>
      <c r="T63" s="114"/>
      <c r="U63" s="113"/>
      <c r="V63" s="113"/>
      <c r="W63" s="113"/>
      <c r="X63" s="115"/>
      <c r="Y63" s="113"/>
      <c r="Z63" s="115"/>
      <c r="AA63" s="115"/>
      <c r="AB63" s="115"/>
      <c r="AC63" s="115">
        <f>(31.47+29.08)/2</f>
        <v>30.274999999999999</v>
      </c>
      <c r="AD63" s="115"/>
      <c r="AE63" s="114"/>
      <c r="AF63" s="114"/>
      <c r="AG63" s="115"/>
      <c r="AH63" s="116"/>
      <c r="AI63" s="117"/>
      <c r="AJ63" s="116"/>
      <c r="AK63" s="116"/>
      <c r="AL63" s="116"/>
      <c r="AM63" s="116"/>
      <c r="AN63" s="116"/>
      <c r="AO63" s="116"/>
      <c r="AP63" s="116">
        <v>27.32</v>
      </c>
      <c r="AQ63" s="116"/>
      <c r="AR63" s="116"/>
      <c r="AS63" s="116">
        <v>22.98</v>
      </c>
      <c r="AT63" s="116"/>
      <c r="AU63" s="116"/>
      <c r="AV63" s="116"/>
      <c r="AW63" s="116" t="s">
        <v>138</v>
      </c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8"/>
      <c r="DK63" s="118"/>
      <c r="DL63" s="118"/>
      <c r="DM63" s="118"/>
      <c r="DN63" s="118"/>
      <c r="DO63" s="118"/>
      <c r="DP63" s="118"/>
      <c r="DQ63" s="118"/>
      <c r="DR63" s="118"/>
      <c r="DS63" s="118"/>
      <c r="DT63" s="118"/>
      <c r="DU63" s="118"/>
      <c r="DV63" s="118"/>
      <c r="DW63" s="118"/>
      <c r="DX63" s="118"/>
      <c r="DY63" s="118"/>
      <c r="DZ63" s="118"/>
      <c r="EA63" s="118"/>
      <c r="EB63" s="118"/>
      <c r="EC63" s="118"/>
      <c r="ED63" s="118"/>
      <c r="EE63" s="118"/>
      <c r="EF63" s="118"/>
      <c r="EG63" s="118"/>
      <c r="EH63" s="118"/>
      <c r="EI63" s="118"/>
      <c r="EJ63" s="118"/>
      <c r="EK63" s="118"/>
    </row>
    <row r="64" spans="1:141" s="119" customFormat="1" x14ac:dyDescent="0.2">
      <c r="A64" s="120" t="s">
        <v>80</v>
      </c>
      <c r="B64" s="108">
        <v>432</v>
      </c>
      <c r="C64" s="108" t="s">
        <v>118</v>
      </c>
      <c r="D64" s="109" t="s">
        <v>12</v>
      </c>
      <c r="E64" s="110">
        <v>40812</v>
      </c>
      <c r="F64" s="110">
        <v>40826</v>
      </c>
      <c r="G64" s="105" t="s">
        <v>36</v>
      </c>
      <c r="H64" s="105" t="s">
        <v>36</v>
      </c>
      <c r="I64" s="105" t="s">
        <v>36</v>
      </c>
      <c r="J64" s="111">
        <v>40798</v>
      </c>
      <c r="K64" s="111">
        <v>40816</v>
      </c>
      <c r="L64" s="105" t="s">
        <v>35</v>
      </c>
      <c r="M64" s="105" t="s">
        <v>35</v>
      </c>
      <c r="N64" s="112"/>
      <c r="O64" s="105" t="s">
        <v>36</v>
      </c>
      <c r="P64" s="113"/>
      <c r="Q64" s="113"/>
      <c r="R64" s="113"/>
      <c r="S64" s="113"/>
      <c r="T64" s="114"/>
      <c r="U64" s="113"/>
      <c r="V64" s="113"/>
      <c r="W64" s="113"/>
      <c r="X64" s="115"/>
      <c r="Y64" s="113"/>
      <c r="Z64" s="115"/>
      <c r="AA64" s="115"/>
      <c r="AB64" s="115"/>
      <c r="AC64" s="115"/>
      <c r="AD64" s="115"/>
      <c r="AE64" s="114"/>
      <c r="AF64" s="114">
        <v>35.950000000000003</v>
      </c>
      <c r="AG64" s="115"/>
      <c r="AH64" s="116"/>
      <c r="AI64" s="117"/>
      <c r="AJ64" s="116">
        <v>30.84</v>
      </c>
      <c r="AK64" s="116"/>
      <c r="AL64" s="116"/>
      <c r="AM64" s="116"/>
      <c r="AN64" s="116"/>
      <c r="AO64" s="116"/>
      <c r="AP64" s="116">
        <v>29.88</v>
      </c>
      <c r="AQ64" s="116"/>
      <c r="AR64" s="116">
        <v>27.16</v>
      </c>
      <c r="AS64" s="116"/>
      <c r="AT64" s="116"/>
      <c r="AU64" s="116"/>
      <c r="AV64" s="116"/>
      <c r="AW64" s="116"/>
      <c r="AX64" s="116"/>
      <c r="AY64" s="116"/>
      <c r="AZ64" s="116">
        <v>19.41</v>
      </c>
      <c r="BA64" s="116"/>
      <c r="BB64" s="116">
        <f>(24.48+17.84)/2</f>
        <v>21.16</v>
      </c>
      <c r="BC64" s="116"/>
      <c r="BD64" s="116"/>
      <c r="BE64" s="116">
        <f>(16.53+15.56)/2</f>
        <v>16.045000000000002</v>
      </c>
      <c r="BF64" s="116"/>
      <c r="BG64" s="116"/>
      <c r="BH64" s="116"/>
      <c r="BI64" s="116"/>
      <c r="BJ64" s="116"/>
      <c r="BK64" s="116">
        <f>(18.02+17.84)/2</f>
        <v>17.93</v>
      </c>
      <c r="BL64" s="116"/>
      <c r="BM64" s="116">
        <v>15.6</v>
      </c>
      <c r="BN64" s="116" t="s">
        <v>138</v>
      </c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8"/>
      <c r="DK64" s="118"/>
      <c r="DL64" s="118"/>
      <c r="DM64" s="118"/>
      <c r="DN64" s="118"/>
      <c r="DO64" s="118"/>
      <c r="DP64" s="118"/>
      <c r="DQ64" s="118"/>
      <c r="DR64" s="118"/>
      <c r="DS64" s="118"/>
      <c r="DT64" s="118"/>
      <c r="DU64" s="118"/>
      <c r="DV64" s="118"/>
      <c r="DW64" s="118"/>
      <c r="DX64" s="118"/>
      <c r="DY64" s="118"/>
      <c r="DZ64" s="118"/>
      <c r="EA64" s="118"/>
      <c r="EB64" s="118"/>
      <c r="EC64" s="118"/>
      <c r="ED64" s="118"/>
      <c r="EE64" s="118"/>
      <c r="EF64" s="118"/>
      <c r="EG64" s="118"/>
      <c r="EH64" s="118"/>
      <c r="EI64" s="118"/>
      <c r="EJ64" s="118"/>
      <c r="EK64" s="118"/>
    </row>
    <row r="65" spans="1:141" s="119" customFormat="1" x14ac:dyDescent="0.2">
      <c r="A65" s="106" t="s">
        <v>90</v>
      </c>
      <c r="B65" s="108"/>
      <c r="C65" s="108"/>
      <c r="D65" s="109" t="s">
        <v>13</v>
      </c>
      <c r="E65" s="110"/>
      <c r="F65" s="110"/>
      <c r="G65" s="105"/>
      <c r="H65" s="105"/>
      <c r="I65" s="105"/>
      <c r="J65" s="111"/>
      <c r="K65" s="111"/>
      <c r="L65" s="105"/>
      <c r="M65" s="105"/>
      <c r="N65" s="112"/>
      <c r="O65" s="105"/>
      <c r="P65" s="113"/>
      <c r="Q65" s="113"/>
      <c r="R65" s="113"/>
      <c r="S65" s="113"/>
      <c r="T65" s="114"/>
      <c r="U65" s="113"/>
      <c r="V65" s="113"/>
      <c r="W65" s="113"/>
      <c r="X65" s="115"/>
      <c r="Y65" s="113"/>
      <c r="Z65" s="115"/>
      <c r="AA65" s="115"/>
      <c r="AB65" s="115"/>
      <c r="AC65" s="115"/>
      <c r="AD65" s="115"/>
      <c r="AE65" s="114"/>
      <c r="AF65" s="114">
        <v>31.63</v>
      </c>
      <c r="AG65" s="115"/>
      <c r="AH65" s="116"/>
      <c r="AI65" s="117"/>
      <c r="AJ65" s="116">
        <v>30.62</v>
      </c>
      <c r="AK65" s="116"/>
      <c r="AL65" s="116"/>
      <c r="AM65" s="116"/>
      <c r="AN65" s="116"/>
      <c r="AO65" s="116"/>
      <c r="AP65" s="116">
        <v>28.76</v>
      </c>
      <c r="AQ65" s="116"/>
      <c r="AR65" s="116">
        <v>27.16</v>
      </c>
      <c r="AS65" s="116"/>
      <c r="AT65" s="116"/>
      <c r="AU65" s="116"/>
      <c r="AV65" s="116"/>
      <c r="AW65" s="116"/>
      <c r="AX65" s="116"/>
      <c r="AY65" s="116"/>
      <c r="AZ65" s="116">
        <v>19.75</v>
      </c>
      <c r="BA65" s="116"/>
      <c r="BB65" s="116">
        <f>(19.58+16.34)/2</f>
        <v>17.96</v>
      </c>
      <c r="BC65" s="116"/>
      <c r="BD65" s="116"/>
      <c r="BE65" s="116">
        <f>(16.92+14.95)/2</f>
        <v>15.935</v>
      </c>
      <c r="BF65" s="116"/>
      <c r="BG65" s="116"/>
      <c r="BH65" s="116"/>
      <c r="BI65" s="116"/>
      <c r="BJ65" s="116"/>
      <c r="BK65" s="116">
        <f>(17.48+17.66)/2</f>
        <v>17.57</v>
      </c>
      <c r="BL65" s="116" t="s">
        <v>138</v>
      </c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8"/>
      <c r="DK65" s="118"/>
      <c r="DL65" s="118"/>
      <c r="DM65" s="118"/>
      <c r="DN65" s="118"/>
      <c r="DO65" s="118"/>
      <c r="DP65" s="118"/>
      <c r="DQ65" s="118"/>
      <c r="DR65" s="118"/>
      <c r="DS65" s="118"/>
      <c r="DT65" s="118"/>
      <c r="DU65" s="118"/>
      <c r="DV65" s="118"/>
      <c r="DW65" s="118"/>
      <c r="DX65" s="118"/>
      <c r="DY65" s="118"/>
      <c r="DZ65" s="118"/>
      <c r="EA65" s="118"/>
      <c r="EB65" s="118"/>
      <c r="EC65" s="118"/>
      <c r="ED65" s="118"/>
      <c r="EE65" s="118"/>
      <c r="EF65" s="118"/>
      <c r="EG65" s="118"/>
      <c r="EH65" s="118"/>
      <c r="EI65" s="118"/>
      <c r="EJ65" s="118"/>
      <c r="EK65" s="118"/>
    </row>
    <row r="66" spans="1:141" s="119" customFormat="1" x14ac:dyDescent="0.2">
      <c r="A66" s="120" t="s">
        <v>75</v>
      </c>
      <c r="B66" s="108">
        <v>433</v>
      </c>
      <c r="C66" s="108" t="s">
        <v>119</v>
      </c>
      <c r="D66" s="105" t="s">
        <v>12</v>
      </c>
      <c r="E66" s="110">
        <v>40812</v>
      </c>
      <c r="F66" s="110">
        <v>40826</v>
      </c>
      <c r="G66" s="105" t="s">
        <v>36</v>
      </c>
      <c r="H66" s="105" t="s">
        <v>36</v>
      </c>
      <c r="I66" s="105" t="s">
        <v>36</v>
      </c>
      <c r="J66" s="111">
        <v>40794</v>
      </c>
      <c r="K66" s="111">
        <v>40817</v>
      </c>
      <c r="L66" s="105" t="s">
        <v>35</v>
      </c>
      <c r="M66" s="105" t="s">
        <v>35</v>
      </c>
      <c r="N66" s="112"/>
      <c r="O66" s="105" t="s">
        <v>36</v>
      </c>
      <c r="P66" s="113"/>
      <c r="Q66" s="113"/>
      <c r="R66" s="113"/>
      <c r="S66" s="113"/>
      <c r="T66" s="114"/>
      <c r="U66" s="113"/>
      <c r="V66" s="113"/>
      <c r="W66" s="113"/>
      <c r="X66" s="115"/>
      <c r="Y66" s="113"/>
      <c r="Z66" s="115"/>
      <c r="AA66" s="115"/>
      <c r="AB66" s="115"/>
      <c r="AC66" s="115"/>
      <c r="AD66" s="115"/>
      <c r="AE66" s="114">
        <v>29.08</v>
      </c>
      <c r="AF66" s="114"/>
      <c r="AG66" s="115"/>
      <c r="AH66" s="116"/>
      <c r="AI66" s="117">
        <f>(28.92+27.96)/2</f>
        <v>28.44</v>
      </c>
      <c r="AJ66" s="116"/>
      <c r="AK66" s="116"/>
      <c r="AL66" s="116"/>
      <c r="AM66" s="116"/>
      <c r="AN66" s="116"/>
      <c r="AO66" s="116"/>
      <c r="AP66" s="116">
        <f>(26.07+27.8)/2</f>
        <v>26.935000000000002</v>
      </c>
      <c r="AQ66" s="116"/>
      <c r="AR66" s="116"/>
      <c r="AS66" s="116">
        <f>(26.07+21.08)/2</f>
        <v>23.574999999999999</v>
      </c>
      <c r="AT66" s="116"/>
      <c r="AU66" s="116"/>
      <c r="AV66" s="116"/>
      <c r="AW66" s="116"/>
      <c r="AX66" s="116"/>
      <c r="AY66" s="116"/>
      <c r="AZ66" s="116">
        <f>(16.53+13.48)/2</f>
        <v>15.005000000000001</v>
      </c>
      <c r="BA66" s="116"/>
      <c r="BB66" s="116">
        <f>(15.75+13.05+17.48)/3</f>
        <v>15.426666666666668</v>
      </c>
      <c r="BC66" s="116"/>
      <c r="BD66" s="116"/>
      <c r="BE66" s="116">
        <f>(13.05+11.49+12.17)/3</f>
        <v>12.236666666666666</v>
      </c>
      <c r="BF66" s="116"/>
      <c r="BG66" s="116"/>
      <c r="BH66" s="116">
        <v>16.53</v>
      </c>
      <c r="BI66" s="116"/>
      <c r="BJ66" s="116"/>
      <c r="BK66" s="116">
        <v>14.33</v>
      </c>
      <c r="BL66" s="116"/>
      <c r="BM66" s="116"/>
      <c r="BN66" s="116" t="s">
        <v>138</v>
      </c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8"/>
      <c r="DK66" s="118"/>
      <c r="DL66" s="118"/>
      <c r="DM66" s="118"/>
      <c r="DN66" s="118"/>
      <c r="DO66" s="118"/>
      <c r="DP66" s="118"/>
      <c r="DQ66" s="118"/>
      <c r="DR66" s="118"/>
      <c r="DS66" s="118"/>
      <c r="DT66" s="118"/>
      <c r="DU66" s="118"/>
      <c r="DV66" s="118"/>
      <c r="DW66" s="118"/>
      <c r="DX66" s="118"/>
      <c r="DY66" s="118"/>
      <c r="DZ66" s="118"/>
      <c r="EA66" s="118"/>
      <c r="EB66" s="118"/>
      <c r="EC66" s="118"/>
      <c r="ED66" s="118"/>
      <c r="EE66" s="118"/>
      <c r="EF66" s="118"/>
      <c r="EG66" s="118"/>
      <c r="EH66" s="118"/>
      <c r="EI66" s="118"/>
      <c r="EJ66" s="118"/>
      <c r="EK66" s="118"/>
    </row>
    <row r="67" spans="1:141" s="119" customFormat="1" x14ac:dyDescent="0.2">
      <c r="A67" s="106" t="s">
        <v>89</v>
      </c>
      <c r="B67" s="108"/>
      <c r="C67" s="108"/>
      <c r="D67" s="105" t="s">
        <v>13</v>
      </c>
      <c r="E67" s="110"/>
      <c r="F67" s="110"/>
      <c r="G67" s="105"/>
      <c r="H67" s="105"/>
      <c r="I67" s="105"/>
      <c r="J67" s="111"/>
      <c r="K67" s="111"/>
      <c r="L67" s="105"/>
      <c r="M67" s="105"/>
      <c r="N67" s="112"/>
      <c r="O67" s="105"/>
      <c r="P67" s="113"/>
      <c r="Q67" s="113"/>
      <c r="R67" s="113"/>
      <c r="S67" s="113"/>
      <c r="T67" s="114"/>
      <c r="U67" s="113"/>
      <c r="V67" s="113"/>
      <c r="W67" s="113"/>
      <c r="X67" s="115"/>
      <c r="Y67" s="113"/>
      <c r="Z67" s="115"/>
      <c r="AA67" s="115"/>
      <c r="AB67" s="115"/>
      <c r="AC67" s="115"/>
      <c r="AD67" s="115"/>
      <c r="AE67" s="114">
        <v>31.63</v>
      </c>
      <c r="AF67" s="114"/>
      <c r="AG67" s="115"/>
      <c r="AH67" s="116"/>
      <c r="AI67" s="117">
        <v>29.88</v>
      </c>
      <c r="AJ67" s="116"/>
      <c r="AK67" s="116"/>
      <c r="AL67" s="116"/>
      <c r="AM67" s="116"/>
      <c r="AN67" s="116"/>
      <c r="AO67" s="116"/>
      <c r="AP67" s="116">
        <v>27.96</v>
      </c>
      <c r="AQ67" s="116"/>
      <c r="AR67" s="116"/>
      <c r="AS67" s="116">
        <v>28.6</v>
      </c>
      <c r="AT67" s="116"/>
      <c r="AU67" s="116"/>
      <c r="AV67" s="116"/>
      <c r="AW67" s="116"/>
      <c r="AX67" s="116"/>
      <c r="AY67" s="116"/>
      <c r="AZ67" s="116">
        <v>20.079999999999998</v>
      </c>
      <c r="BA67" s="116"/>
      <c r="BB67" s="116">
        <f>(18.2+15.56+19.58)/3</f>
        <v>17.779999999999998</v>
      </c>
      <c r="BC67" s="116"/>
      <c r="BD67" s="116"/>
      <c r="BE67" s="116">
        <f>(14.95+12.83+15.15)/3</f>
        <v>14.31</v>
      </c>
      <c r="BF67" s="116"/>
      <c r="BG67" s="116"/>
      <c r="BH67" s="116">
        <v>16.920000000000002</v>
      </c>
      <c r="BI67" s="116"/>
      <c r="BJ67" s="116"/>
      <c r="BK67" s="116">
        <v>16.53</v>
      </c>
      <c r="BL67" s="116"/>
      <c r="BM67" s="116"/>
      <c r="BN67" s="116" t="s">
        <v>138</v>
      </c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8"/>
      <c r="DK67" s="118"/>
      <c r="DL67" s="118"/>
      <c r="DM67" s="118"/>
      <c r="DN67" s="118"/>
      <c r="DO67" s="118"/>
      <c r="DP67" s="118"/>
      <c r="DQ67" s="118"/>
      <c r="DR67" s="118"/>
      <c r="DS67" s="118"/>
      <c r="DT67" s="118"/>
      <c r="DU67" s="118"/>
      <c r="DV67" s="118"/>
      <c r="DW67" s="118"/>
      <c r="DX67" s="118"/>
      <c r="DY67" s="118"/>
      <c r="DZ67" s="118"/>
      <c r="EA67" s="118"/>
      <c r="EB67" s="118"/>
      <c r="EC67" s="118"/>
      <c r="ED67" s="118"/>
      <c r="EE67" s="118"/>
      <c r="EF67" s="118"/>
      <c r="EG67" s="118"/>
      <c r="EH67" s="118"/>
      <c r="EI67" s="118"/>
      <c r="EJ67" s="118"/>
      <c r="EK67" s="118"/>
    </row>
    <row r="68" spans="1:141" s="119" customFormat="1" x14ac:dyDescent="0.2">
      <c r="A68" s="120" t="s">
        <v>75</v>
      </c>
      <c r="B68" s="108">
        <v>434</v>
      </c>
      <c r="C68" s="108" t="s">
        <v>120</v>
      </c>
      <c r="D68" s="105" t="s">
        <v>12</v>
      </c>
      <c r="E68" s="110">
        <v>40812</v>
      </c>
      <c r="F68" s="110">
        <v>40826</v>
      </c>
      <c r="G68" s="105" t="s">
        <v>36</v>
      </c>
      <c r="H68" s="105" t="s">
        <v>36</v>
      </c>
      <c r="I68" s="105" t="s">
        <v>36</v>
      </c>
      <c r="J68" s="111">
        <v>40802</v>
      </c>
      <c r="K68" s="111">
        <v>40821</v>
      </c>
      <c r="L68" s="105" t="s">
        <v>36</v>
      </c>
      <c r="M68" s="105" t="s">
        <v>36</v>
      </c>
      <c r="N68" s="112"/>
      <c r="O68" s="105" t="s">
        <v>36</v>
      </c>
      <c r="P68" s="113"/>
      <c r="Q68" s="113"/>
      <c r="R68" s="113"/>
      <c r="S68" s="113"/>
      <c r="T68" s="114"/>
      <c r="U68" s="113"/>
      <c r="V68" s="113"/>
      <c r="W68" s="113"/>
      <c r="X68" s="115"/>
      <c r="Y68" s="113"/>
      <c r="Z68" s="115"/>
      <c r="AA68" s="115"/>
      <c r="AB68" s="115"/>
      <c r="AC68" s="115"/>
      <c r="AD68" s="115"/>
      <c r="AE68" s="114">
        <v>30.68</v>
      </c>
      <c r="AF68" s="114"/>
      <c r="AG68" s="115"/>
      <c r="AH68" s="116"/>
      <c r="AI68" s="117"/>
      <c r="AJ68" s="116">
        <v>31.33</v>
      </c>
      <c r="AK68" s="116"/>
      <c r="AL68" s="116"/>
      <c r="AM68" s="116"/>
      <c r="AN68" s="116"/>
      <c r="AO68" s="116"/>
      <c r="AP68" s="116">
        <f>(24.43)</f>
        <v>24.43</v>
      </c>
      <c r="AQ68" s="116"/>
      <c r="AR68" s="116">
        <v>22.02</v>
      </c>
      <c r="AS68" s="116"/>
      <c r="AT68" s="116"/>
      <c r="AU68" s="116"/>
      <c r="AV68" s="116"/>
      <c r="AW68" s="116"/>
      <c r="AX68" s="116"/>
      <c r="AY68" s="116"/>
      <c r="AZ68" s="116">
        <f>(14.95)</f>
        <v>14.95</v>
      </c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>
        <f>(14.02+14.12)/2</f>
        <v>14.07</v>
      </c>
      <c r="BR68" s="116"/>
      <c r="BS68" s="116"/>
      <c r="BT68" s="116">
        <f>(13+13.3+13.3)/3</f>
        <v>13.200000000000001</v>
      </c>
      <c r="BU68" s="116"/>
      <c r="BV68" s="116"/>
      <c r="BW68" s="116" t="s">
        <v>138</v>
      </c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8"/>
      <c r="DK68" s="118"/>
      <c r="DL68" s="118"/>
      <c r="DM68" s="118"/>
      <c r="DN68" s="118"/>
      <c r="DO68" s="118"/>
      <c r="DP68" s="118"/>
      <c r="DQ68" s="118"/>
      <c r="DR68" s="118"/>
      <c r="DS68" s="118"/>
      <c r="DT68" s="118"/>
      <c r="DU68" s="118"/>
      <c r="DV68" s="118"/>
      <c r="DW68" s="118"/>
      <c r="DX68" s="118"/>
      <c r="DY68" s="118"/>
      <c r="DZ68" s="118"/>
      <c r="EA68" s="118"/>
      <c r="EB68" s="118"/>
      <c r="EC68" s="118"/>
      <c r="ED68" s="118"/>
      <c r="EE68" s="118"/>
      <c r="EF68" s="118"/>
      <c r="EG68" s="118"/>
      <c r="EH68" s="118"/>
      <c r="EI68" s="118"/>
      <c r="EJ68" s="118"/>
      <c r="EK68" s="118"/>
    </row>
    <row r="69" spans="1:141" s="119" customFormat="1" x14ac:dyDescent="0.2">
      <c r="A69" s="106" t="s">
        <v>92</v>
      </c>
      <c r="B69" s="108"/>
      <c r="C69" s="108"/>
      <c r="D69" s="105" t="s">
        <v>13</v>
      </c>
      <c r="E69" s="110"/>
      <c r="F69" s="110"/>
      <c r="G69" s="105"/>
      <c r="H69" s="105"/>
      <c r="I69" s="105"/>
      <c r="J69" s="111"/>
      <c r="K69" s="111"/>
      <c r="L69" s="105"/>
      <c r="M69" s="105"/>
      <c r="N69" s="112"/>
      <c r="O69" s="105"/>
      <c r="P69" s="113"/>
      <c r="Q69" s="113"/>
      <c r="R69" s="113"/>
      <c r="S69" s="113"/>
      <c r="T69" s="114"/>
      <c r="U69" s="113"/>
      <c r="V69" s="113"/>
      <c r="W69" s="113"/>
      <c r="X69" s="115"/>
      <c r="Y69" s="113"/>
      <c r="Z69" s="115"/>
      <c r="AA69" s="115"/>
      <c r="AB69" s="115"/>
      <c r="AC69" s="115"/>
      <c r="AD69" s="115"/>
      <c r="AE69" s="114">
        <v>33.229999999999997</v>
      </c>
      <c r="AF69" s="114"/>
      <c r="AG69" s="115"/>
      <c r="AH69" s="116"/>
      <c r="AI69" s="117"/>
      <c r="AJ69" s="116">
        <v>29.08</v>
      </c>
      <c r="AK69" s="116"/>
      <c r="AL69" s="116"/>
      <c r="AM69" s="116"/>
      <c r="AN69" s="116"/>
      <c r="AO69" s="116"/>
      <c r="AP69" s="116"/>
      <c r="AQ69" s="116"/>
      <c r="AR69" s="116">
        <v>30.36</v>
      </c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 t="s">
        <v>138</v>
      </c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8"/>
      <c r="DK69" s="118"/>
      <c r="DL69" s="118"/>
      <c r="DM69" s="118"/>
      <c r="DN69" s="118"/>
      <c r="DO69" s="118"/>
      <c r="DP69" s="118"/>
      <c r="DQ69" s="118"/>
      <c r="DR69" s="118"/>
      <c r="DS69" s="118"/>
      <c r="DT69" s="118"/>
      <c r="DU69" s="118"/>
      <c r="DV69" s="118"/>
      <c r="DW69" s="118"/>
      <c r="DX69" s="118"/>
      <c r="DY69" s="118"/>
      <c r="DZ69" s="118"/>
      <c r="EA69" s="118"/>
      <c r="EB69" s="118"/>
      <c r="EC69" s="118"/>
      <c r="ED69" s="118"/>
      <c r="EE69" s="118"/>
      <c r="EF69" s="118"/>
      <c r="EG69" s="118"/>
      <c r="EH69" s="118"/>
      <c r="EI69" s="118"/>
      <c r="EJ69" s="118"/>
      <c r="EK69" s="118"/>
    </row>
    <row r="70" spans="1:141" s="119" customFormat="1" x14ac:dyDescent="0.2">
      <c r="A70" s="120" t="s">
        <v>80</v>
      </c>
      <c r="B70" s="108">
        <v>435</v>
      </c>
      <c r="C70" s="108" t="s">
        <v>121</v>
      </c>
      <c r="D70" s="105" t="s">
        <v>12</v>
      </c>
      <c r="E70" s="110" t="s">
        <v>123</v>
      </c>
      <c r="F70" s="110" t="s">
        <v>123</v>
      </c>
      <c r="G70" s="105" t="s">
        <v>36</v>
      </c>
      <c r="H70" s="105" t="s">
        <v>36</v>
      </c>
      <c r="I70" s="105" t="s">
        <v>36</v>
      </c>
      <c r="J70" s="111">
        <v>40793</v>
      </c>
      <c r="K70" s="111">
        <v>40815</v>
      </c>
      <c r="L70" s="105" t="s">
        <v>35</v>
      </c>
      <c r="M70" s="105" t="s">
        <v>35</v>
      </c>
      <c r="N70" s="112"/>
      <c r="O70" s="105" t="s">
        <v>36</v>
      </c>
      <c r="P70" s="113"/>
      <c r="Q70" s="113"/>
      <c r="R70" s="113"/>
      <c r="S70" s="113"/>
      <c r="T70" s="114"/>
      <c r="U70" s="113"/>
      <c r="V70" s="113"/>
      <c r="W70" s="113"/>
      <c r="X70" s="115"/>
      <c r="Y70" s="113"/>
      <c r="Z70" s="115"/>
      <c r="AA70" s="115"/>
      <c r="AB70" s="115"/>
      <c r="AC70" s="115">
        <f>(27.16+21.57)/2</f>
        <v>24.365000000000002</v>
      </c>
      <c r="AD70" s="115"/>
      <c r="AE70" s="114"/>
      <c r="AF70" s="114">
        <f>(26.57+23.98)/2</f>
        <v>25.274999999999999</v>
      </c>
      <c r="AG70" s="115"/>
      <c r="AH70" s="116"/>
      <c r="AI70" s="117"/>
      <c r="AJ70" s="116"/>
      <c r="AK70" s="116"/>
      <c r="AL70" s="116"/>
      <c r="AM70" s="116"/>
      <c r="AN70" s="116"/>
      <c r="AO70" s="116"/>
      <c r="AP70" s="116">
        <v>16.149999999999999</v>
      </c>
      <c r="AQ70" s="116"/>
      <c r="AR70" s="116"/>
      <c r="AS70" s="116">
        <v>16.75</v>
      </c>
      <c r="AT70" s="116"/>
      <c r="AU70" s="116"/>
      <c r="AV70" s="116"/>
      <c r="AW70" s="116"/>
      <c r="AX70" s="116">
        <f>(14.05+14.24)/2</f>
        <v>14.145</v>
      </c>
      <c r="AY70" s="116"/>
      <c r="AZ70" s="116" t="s">
        <v>138</v>
      </c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  <c r="CY70" s="116"/>
      <c r="CZ70" s="116"/>
      <c r="DA70" s="116"/>
      <c r="DB70" s="116"/>
      <c r="DC70" s="116"/>
      <c r="DD70" s="116"/>
      <c r="DE70" s="116"/>
      <c r="DF70" s="116"/>
      <c r="DG70" s="116"/>
      <c r="DH70" s="116"/>
      <c r="DI70" s="116"/>
      <c r="DJ70" s="118"/>
      <c r="DK70" s="118"/>
      <c r="DL70" s="118"/>
      <c r="DM70" s="118"/>
      <c r="DN70" s="118"/>
      <c r="DO70" s="118"/>
      <c r="DP70" s="118"/>
      <c r="DQ70" s="118"/>
      <c r="DR70" s="118"/>
      <c r="DS70" s="118"/>
      <c r="DT70" s="118"/>
      <c r="DU70" s="118"/>
      <c r="DV70" s="118"/>
      <c r="DW70" s="118"/>
      <c r="DX70" s="118"/>
      <c r="DY70" s="118"/>
      <c r="DZ70" s="118"/>
      <c r="EA70" s="118"/>
      <c r="EB70" s="118"/>
      <c r="EC70" s="118"/>
      <c r="ED70" s="118"/>
      <c r="EE70" s="118"/>
      <c r="EF70" s="118"/>
      <c r="EG70" s="118"/>
      <c r="EH70" s="118"/>
      <c r="EI70" s="118"/>
      <c r="EJ70" s="118"/>
      <c r="EK70" s="118"/>
    </row>
    <row r="71" spans="1:141" s="119" customFormat="1" x14ac:dyDescent="0.2">
      <c r="A71" s="106" t="s">
        <v>81</v>
      </c>
      <c r="B71" s="108"/>
      <c r="C71" s="108"/>
      <c r="D71" s="105" t="s">
        <v>13</v>
      </c>
      <c r="E71" s="110"/>
      <c r="F71" s="110"/>
      <c r="G71" s="105"/>
      <c r="H71" s="105"/>
      <c r="I71" s="105"/>
      <c r="J71" s="111"/>
      <c r="K71" s="111"/>
      <c r="L71" s="105"/>
      <c r="M71" s="105"/>
      <c r="N71" s="112"/>
      <c r="O71" s="105"/>
      <c r="P71" s="113"/>
      <c r="Q71" s="113"/>
      <c r="R71" s="113"/>
      <c r="S71" s="113"/>
      <c r="T71" s="114"/>
      <c r="U71" s="113"/>
      <c r="V71" s="113"/>
      <c r="W71" s="113"/>
      <c r="X71" s="115"/>
      <c r="Y71" s="113"/>
      <c r="Z71" s="115"/>
      <c r="AA71" s="115"/>
      <c r="AB71" s="115"/>
      <c r="AC71" s="115">
        <f>(24.43+23.48)/2</f>
        <v>23.954999999999998</v>
      </c>
      <c r="AD71" s="115"/>
      <c r="AE71" s="114"/>
      <c r="AF71" s="114"/>
      <c r="AG71" s="115"/>
      <c r="AH71" s="116"/>
      <c r="AI71" s="117"/>
      <c r="AJ71" s="116"/>
      <c r="AK71" s="116"/>
      <c r="AL71" s="116"/>
      <c r="AM71" s="116"/>
      <c r="AN71" s="116"/>
      <c r="AO71" s="116"/>
      <c r="AP71" s="116">
        <v>20.87</v>
      </c>
      <c r="AQ71" s="116"/>
      <c r="AR71" s="116"/>
      <c r="AS71" s="116">
        <v>16.95</v>
      </c>
      <c r="AT71" s="116"/>
      <c r="AU71" s="116"/>
      <c r="AV71" s="116"/>
      <c r="AW71" s="116"/>
      <c r="AX71" s="116">
        <v>14.91</v>
      </c>
      <c r="AY71" s="116" t="s">
        <v>138</v>
      </c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116"/>
      <c r="DF71" s="116"/>
      <c r="DG71" s="116"/>
      <c r="DH71" s="116"/>
      <c r="DI71" s="116"/>
      <c r="DJ71" s="118"/>
      <c r="DK71" s="118"/>
      <c r="DL71" s="118"/>
      <c r="DM71" s="118"/>
      <c r="DN71" s="118"/>
      <c r="DO71" s="118"/>
      <c r="DP71" s="118"/>
      <c r="DQ71" s="118"/>
      <c r="DR71" s="118"/>
      <c r="DS71" s="118"/>
      <c r="DT71" s="118"/>
      <c r="DU71" s="118"/>
      <c r="DV71" s="118"/>
      <c r="DW71" s="118"/>
      <c r="DX71" s="118"/>
      <c r="DY71" s="118"/>
      <c r="DZ71" s="118"/>
      <c r="EA71" s="118"/>
      <c r="EB71" s="118"/>
      <c r="EC71" s="118"/>
      <c r="ED71" s="118"/>
      <c r="EE71" s="118"/>
      <c r="EF71" s="118"/>
      <c r="EG71" s="118"/>
      <c r="EH71" s="118"/>
      <c r="EI71" s="118"/>
      <c r="EJ71" s="118"/>
      <c r="EK71" s="118"/>
    </row>
    <row r="72" spans="1:141" s="119" customFormat="1" x14ac:dyDescent="0.2">
      <c r="A72" s="120" t="s">
        <v>96</v>
      </c>
      <c r="B72" s="108">
        <v>436</v>
      </c>
      <c r="C72" s="108" t="s">
        <v>122</v>
      </c>
      <c r="D72" s="105" t="s">
        <v>12</v>
      </c>
      <c r="E72" s="110">
        <v>40820</v>
      </c>
      <c r="F72" s="110">
        <v>40854</v>
      </c>
      <c r="G72" s="105" t="s">
        <v>36</v>
      </c>
      <c r="H72" s="105" t="s">
        <v>36</v>
      </c>
      <c r="I72" s="105" t="s">
        <v>36</v>
      </c>
      <c r="J72" s="111">
        <v>40812</v>
      </c>
      <c r="K72" s="111">
        <v>40821</v>
      </c>
      <c r="L72" s="105" t="s">
        <v>35</v>
      </c>
      <c r="M72" s="105" t="s">
        <v>35</v>
      </c>
      <c r="N72" s="112"/>
      <c r="O72" s="105" t="s">
        <v>36</v>
      </c>
      <c r="P72" s="113"/>
      <c r="Q72" s="113"/>
      <c r="R72" s="113"/>
      <c r="S72" s="113"/>
      <c r="T72" s="114"/>
      <c r="U72" s="113"/>
      <c r="V72" s="113"/>
      <c r="W72" s="113"/>
      <c r="X72" s="115"/>
      <c r="Y72" s="113"/>
      <c r="Z72" s="115"/>
      <c r="AA72" s="115"/>
      <c r="AB72" s="115"/>
      <c r="AC72" s="115"/>
      <c r="AD72" s="115"/>
      <c r="AE72" s="114"/>
      <c r="AF72" s="114"/>
      <c r="AG72" s="115"/>
      <c r="AH72" s="116"/>
      <c r="AI72" s="117">
        <v>29.88</v>
      </c>
      <c r="AJ72" s="116"/>
      <c r="AK72" s="116"/>
      <c r="AL72" s="116"/>
      <c r="AM72" s="116"/>
      <c r="AN72" s="116"/>
      <c r="AO72" s="116"/>
      <c r="AP72" s="116">
        <v>28.28</v>
      </c>
      <c r="AQ72" s="116"/>
      <c r="AR72" s="116"/>
      <c r="AS72" s="116">
        <v>26.8</v>
      </c>
      <c r="AT72" s="116"/>
      <c r="AU72" s="116"/>
      <c r="AV72" s="116"/>
      <c r="AW72" s="116">
        <v>20.91</v>
      </c>
      <c r="AX72" s="116"/>
      <c r="AY72" s="116">
        <v>19.899999999999999</v>
      </c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>
        <v>16.149999999999999</v>
      </c>
      <c r="BM72" s="116"/>
      <c r="BN72" s="116"/>
      <c r="BO72" s="116"/>
      <c r="BP72" s="116"/>
      <c r="BQ72" s="116">
        <f>(16.53+13.7)/2</f>
        <v>15.115</v>
      </c>
      <c r="BR72" s="116"/>
      <c r="BS72" s="116"/>
      <c r="BT72" s="116"/>
      <c r="BU72" s="116">
        <f>(13.7+13.2)/2</f>
        <v>13.45</v>
      </c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 t="s">
        <v>138</v>
      </c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116"/>
      <c r="CY72" s="116"/>
      <c r="CZ72" s="116"/>
      <c r="DA72" s="116"/>
      <c r="DB72" s="116"/>
      <c r="DC72" s="116"/>
      <c r="DD72" s="116"/>
      <c r="DE72" s="116"/>
      <c r="DF72" s="116"/>
      <c r="DG72" s="116"/>
      <c r="DH72" s="116"/>
      <c r="DI72" s="116"/>
      <c r="DJ72" s="118"/>
      <c r="DK72" s="118"/>
      <c r="DL72" s="118"/>
      <c r="DM72" s="118"/>
      <c r="DN72" s="118"/>
      <c r="DO72" s="118"/>
      <c r="DP72" s="118"/>
      <c r="DQ72" s="118"/>
      <c r="DR72" s="118"/>
      <c r="DS72" s="118"/>
      <c r="DT72" s="118"/>
      <c r="DU72" s="118"/>
      <c r="DV72" s="118"/>
      <c r="DW72" s="118"/>
      <c r="DX72" s="118"/>
      <c r="DY72" s="118"/>
      <c r="DZ72" s="118"/>
      <c r="EA72" s="118"/>
      <c r="EB72" s="118"/>
      <c r="EC72" s="118"/>
      <c r="ED72" s="118"/>
      <c r="EE72" s="118"/>
      <c r="EF72" s="118"/>
      <c r="EG72" s="118"/>
      <c r="EH72" s="118"/>
      <c r="EI72" s="118"/>
      <c r="EJ72" s="118"/>
      <c r="EK72" s="118"/>
    </row>
    <row r="73" spans="1:141" s="119" customFormat="1" x14ac:dyDescent="0.2">
      <c r="A73" s="106" t="s">
        <v>97</v>
      </c>
      <c r="B73" s="108"/>
      <c r="C73" s="108"/>
      <c r="D73" s="105" t="s">
        <v>13</v>
      </c>
      <c r="E73" s="110"/>
      <c r="F73" s="110"/>
      <c r="G73" s="105"/>
      <c r="H73" s="105"/>
      <c r="I73" s="105"/>
      <c r="J73" s="111"/>
      <c r="K73" s="111"/>
      <c r="L73" s="105"/>
      <c r="M73" s="105"/>
      <c r="N73" s="112"/>
      <c r="O73" s="105"/>
      <c r="P73" s="113"/>
      <c r="Q73" s="113"/>
      <c r="R73" s="113"/>
      <c r="S73" s="113"/>
      <c r="T73" s="114"/>
      <c r="U73" s="113"/>
      <c r="V73" s="113"/>
      <c r="W73" s="113"/>
      <c r="X73" s="115"/>
      <c r="Y73" s="113"/>
      <c r="Z73" s="115"/>
      <c r="AA73" s="115"/>
      <c r="AB73" s="115"/>
      <c r="AC73" s="115"/>
      <c r="AD73" s="115"/>
      <c r="AE73" s="114"/>
      <c r="AF73" s="114"/>
      <c r="AG73" s="115"/>
      <c r="AH73" s="116"/>
      <c r="AI73" s="117"/>
      <c r="AJ73" s="116"/>
      <c r="AK73" s="116"/>
      <c r="AL73" s="116"/>
      <c r="AM73" s="116"/>
      <c r="AN73" s="116"/>
      <c r="AO73" s="116"/>
      <c r="AP73" s="116">
        <v>29.56</v>
      </c>
      <c r="AQ73" s="116"/>
      <c r="AR73" s="116"/>
      <c r="AS73" s="116">
        <v>28.6</v>
      </c>
      <c r="AT73" s="116"/>
      <c r="AU73" s="116"/>
      <c r="AV73" s="116"/>
      <c r="AW73" s="116">
        <v>29.08</v>
      </c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>
        <v>18.899999999999999</v>
      </c>
      <c r="BM73" s="116"/>
      <c r="BN73" s="116"/>
      <c r="BO73" s="116"/>
      <c r="BP73" s="116"/>
      <c r="BQ73" s="116"/>
      <c r="BR73" s="116"/>
      <c r="BS73" s="116"/>
      <c r="BT73" s="116"/>
      <c r="BU73" s="116">
        <f>(19.2+17.5)/2</f>
        <v>18.350000000000001</v>
      </c>
      <c r="BV73" s="116"/>
      <c r="BW73" s="116"/>
      <c r="BX73" s="116"/>
      <c r="BY73" s="116"/>
      <c r="BZ73" s="116"/>
      <c r="CA73" s="116"/>
      <c r="CB73" s="116"/>
      <c r="CC73" s="116"/>
      <c r="CD73" s="116" t="s">
        <v>138</v>
      </c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8"/>
      <c r="DK73" s="118"/>
      <c r="DL73" s="118"/>
      <c r="DM73" s="118"/>
      <c r="DN73" s="118"/>
      <c r="DO73" s="118"/>
      <c r="DP73" s="118"/>
      <c r="DQ73" s="118"/>
      <c r="DR73" s="118"/>
      <c r="DS73" s="118"/>
      <c r="DT73" s="118"/>
      <c r="DU73" s="118"/>
      <c r="DV73" s="118"/>
      <c r="DW73" s="118"/>
      <c r="DX73" s="118"/>
      <c r="DY73" s="118"/>
      <c r="DZ73" s="118"/>
      <c r="EA73" s="118"/>
      <c r="EB73" s="118"/>
      <c r="EC73" s="118"/>
      <c r="ED73" s="118"/>
      <c r="EE73" s="118"/>
      <c r="EF73" s="118"/>
      <c r="EG73" s="118"/>
      <c r="EH73" s="118"/>
      <c r="EI73" s="118"/>
      <c r="EJ73" s="118"/>
      <c r="EK73" s="118"/>
    </row>
    <row r="74" spans="1:141" s="52" customFormat="1" x14ac:dyDescent="0.2">
      <c r="A74" s="90"/>
      <c r="B74" s="61"/>
      <c r="C74" s="61"/>
      <c r="D74" s="91"/>
      <c r="E74" s="53"/>
      <c r="F74" s="53"/>
      <c r="G74" s="55"/>
      <c r="H74" s="55"/>
      <c r="I74" s="55"/>
      <c r="J74" s="46"/>
      <c r="K74" s="46"/>
      <c r="L74" s="55"/>
      <c r="M74" s="55"/>
      <c r="N74" s="62"/>
      <c r="O74" s="55"/>
      <c r="P74" s="63"/>
      <c r="Q74" s="63"/>
      <c r="R74" s="63"/>
      <c r="S74" s="63"/>
      <c r="T74" s="64"/>
      <c r="U74" s="63"/>
      <c r="V74" s="63"/>
      <c r="W74" s="63"/>
      <c r="X74" s="97"/>
      <c r="Y74" s="63"/>
      <c r="Z74" s="97"/>
      <c r="AA74" s="97"/>
      <c r="AB74" s="97"/>
      <c r="AC74" s="97"/>
      <c r="AD74" s="97"/>
      <c r="AE74" s="64"/>
      <c r="AF74" s="64"/>
      <c r="AG74" s="97"/>
      <c r="AH74" s="98"/>
      <c r="AI74" s="99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</row>
    <row r="75" spans="1:141" s="119" customFormat="1" x14ac:dyDescent="0.2">
      <c r="A75" s="121" t="s">
        <v>30</v>
      </c>
      <c r="B75" s="108">
        <v>501</v>
      </c>
      <c r="C75" s="108">
        <v>8282</v>
      </c>
      <c r="D75" s="109" t="s">
        <v>12</v>
      </c>
      <c r="E75" s="110">
        <v>40820</v>
      </c>
      <c r="F75" s="110">
        <v>40858</v>
      </c>
      <c r="G75" s="105" t="s">
        <v>36</v>
      </c>
      <c r="H75" s="105" t="s">
        <v>36</v>
      </c>
      <c r="I75" s="105" t="s">
        <v>36</v>
      </c>
      <c r="J75" s="111">
        <v>40813</v>
      </c>
      <c r="K75" s="111">
        <v>40820</v>
      </c>
      <c r="L75" s="105" t="s">
        <v>35</v>
      </c>
      <c r="M75" s="105" t="s">
        <v>35</v>
      </c>
      <c r="N75" s="112"/>
      <c r="O75" s="105" t="s">
        <v>36</v>
      </c>
      <c r="P75" s="113"/>
      <c r="Q75" s="113"/>
      <c r="R75" s="113"/>
      <c r="S75" s="113"/>
      <c r="T75" s="114"/>
      <c r="U75" s="113"/>
      <c r="V75" s="113"/>
      <c r="W75" s="113"/>
      <c r="X75" s="115"/>
      <c r="Y75" s="113"/>
      <c r="Z75" s="115"/>
      <c r="AA75" s="115"/>
      <c r="AB75" s="115"/>
      <c r="AC75" s="115"/>
      <c r="AD75" s="115"/>
      <c r="AE75" s="114">
        <v>37</v>
      </c>
      <c r="AF75" s="114"/>
      <c r="AG75" s="115"/>
      <c r="AH75" s="116"/>
      <c r="AI75" s="117"/>
      <c r="AJ75" s="116"/>
      <c r="AK75" s="116"/>
      <c r="AL75" s="116"/>
      <c r="AM75" s="116"/>
      <c r="AN75" s="116"/>
      <c r="AO75" s="116"/>
      <c r="AP75" s="116"/>
      <c r="AQ75" s="116"/>
      <c r="AR75" s="116">
        <v>33.9</v>
      </c>
      <c r="AS75" s="116"/>
      <c r="AT75" s="116"/>
      <c r="AU75" s="116"/>
      <c r="AV75" s="116"/>
      <c r="AW75" s="116">
        <v>28</v>
      </c>
      <c r="AX75" s="116"/>
      <c r="AY75" s="116">
        <v>28.5</v>
      </c>
      <c r="AZ75" s="116"/>
      <c r="BA75" s="116"/>
      <c r="BB75" s="116"/>
      <c r="BC75" s="116"/>
      <c r="BD75" s="116">
        <v>26</v>
      </c>
      <c r="BE75" s="116"/>
      <c r="BF75" s="116"/>
      <c r="BG75" s="116"/>
      <c r="BH75" s="116"/>
      <c r="BI75" s="116"/>
      <c r="BJ75" s="116"/>
      <c r="BK75" s="116"/>
      <c r="BL75" s="116"/>
      <c r="BM75" s="116">
        <v>16.899999999999999</v>
      </c>
      <c r="BN75" s="116"/>
      <c r="BO75" s="116"/>
      <c r="BP75" s="116"/>
      <c r="BQ75" s="116"/>
      <c r="BR75" s="116">
        <v>14.1</v>
      </c>
      <c r="BS75" s="116"/>
      <c r="BT75" s="116"/>
      <c r="BU75" s="116">
        <v>15.6</v>
      </c>
      <c r="BV75" s="116"/>
      <c r="BW75" s="116"/>
      <c r="BX75" s="116"/>
      <c r="BY75" s="116"/>
      <c r="BZ75" s="116">
        <v>13.2</v>
      </c>
      <c r="CA75" s="116"/>
      <c r="CB75" s="116"/>
      <c r="CC75" s="116"/>
      <c r="CD75" s="116"/>
      <c r="CE75" s="116"/>
      <c r="CF75" s="116"/>
      <c r="CG75" s="116"/>
      <c r="CH75" s="116"/>
      <c r="CI75" s="116"/>
      <c r="CJ75" s="116" t="s">
        <v>142</v>
      </c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8"/>
      <c r="DK75" s="118"/>
      <c r="DL75" s="118"/>
      <c r="DM75" s="118"/>
      <c r="DN75" s="118"/>
      <c r="DO75" s="118"/>
      <c r="DP75" s="118"/>
      <c r="DQ75" s="118"/>
      <c r="DR75" s="118"/>
      <c r="DS75" s="118"/>
      <c r="DT75" s="118"/>
      <c r="DU75" s="118"/>
      <c r="DV75" s="118"/>
      <c r="DW75" s="118"/>
      <c r="DX75" s="118"/>
      <c r="DY75" s="118"/>
      <c r="DZ75" s="118"/>
      <c r="EA75" s="118"/>
      <c r="EB75" s="118"/>
      <c r="EC75" s="118"/>
      <c r="ED75" s="118"/>
      <c r="EE75" s="118"/>
      <c r="EF75" s="118"/>
      <c r="EG75" s="118"/>
      <c r="EH75" s="118"/>
      <c r="EI75" s="118"/>
      <c r="EJ75" s="118"/>
      <c r="EK75" s="118"/>
    </row>
    <row r="76" spans="1:141" s="119" customFormat="1" x14ac:dyDescent="0.2">
      <c r="A76" s="121"/>
      <c r="B76" s="108"/>
      <c r="C76" s="108"/>
      <c r="D76" s="109" t="s">
        <v>13</v>
      </c>
      <c r="E76" s="110"/>
      <c r="F76" s="110"/>
      <c r="G76" s="105"/>
      <c r="H76" s="105"/>
      <c r="I76" s="105"/>
      <c r="J76" s="111"/>
      <c r="K76" s="111"/>
      <c r="L76" s="105"/>
      <c r="M76" s="105"/>
      <c r="N76" s="112"/>
      <c r="O76" s="105"/>
      <c r="P76" s="113"/>
      <c r="Q76" s="113"/>
      <c r="R76" s="113"/>
      <c r="S76" s="113"/>
      <c r="T76" s="114"/>
      <c r="U76" s="113"/>
      <c r="V76" s="113"/>
      <c r="W76" s="113"/>
      <c r="X76" s="115"/>
      <c r="Y76" s="113"/>
      <c r="Z76" s="115"/>
      <c r="AA76" s="115"/>
      <c r="AB76" s="115"/>
      <c r="AC76" s="115"/>
      <c r="AD76" s="115"/>
      <c r="AE76" s="114">
        <v>33.9</v>
      </c>
      <c r="AF76" s="114"/>
      <c r="AG76" s="115"/>
      <c r="AH76" s="116"/>
      <c r="AI76" s="117"/>
      <c r="AJ76" s="116"/>
      <c r="AK76" s="116"/>
      <c r="AL76" s="116"/>
      <c r="AM76" s="116"/>
      <c r="AN76" s="116"/>
      <c r="AO76" s="116"/>
      <c r="AP76" s="116"/>
      <c r="AQ76" s="116"/>
      <c r="AR76" s="116">
        <v>33.200000000000003</v>
      </c>
      <c r="AS76" s="116"/>
      <c r="AT76" s="116"/>
      <c r="AU76" s="116"/>
      <c r="AV76" s="116"/>
      <c r="AW76" s="116">
        <v>30.2</v>
      </c>
      <c r="AX76" s="116"/>
      <c r="AY76" s="116">
        <v>30.5</v>
      </c>
      <c r="AZ76" s="116"/>
      <c r="BA76" s="116"/>
      <c r="BB76" s="116"/>
      <c r="BC76" s="116"/>
      <c r="BD76" s="116">
        <v>25</v>
      </c>
      <c r="BE76" s="116"/>
      <c r="BF76" s="116"/>
      <c r="BG76" s="116"/>
      <c r="BH76" s="116"/>
      <c r="BI76" s="116"/>
      <c r="BJ76" s="116"/>
      <c r="BK76" s="116"/>
      <c r="BL76" s="116"/>
      <c r="BM76" s="116">
        <v>21</v>
      </c>
      <c r="BN76" s="116"/>
      <c r="BO76" s="116"/>
      <c r="BP76" s="116"/>
      <c r="BQ76" s="116"/>
      <c r="BR76" s="116">
        <v>19.5</v>
      </c>
      <c r="BS76" s="116"/>
      <c r="BT76" s="116"/>
      <c r="BU76" s="116">
        <v>18.7</v>
      </c>
      <c r="BV76" s="116"/>
      <c r="BW76" s="116"/>
      <c r="BX76" s="116"/>
      <c r="BY76" s="116"/>
      <c r="BZ76" s="116">
        <v>16.8</v>
      </c>
      <c r="CA76" s="116"/>
      <c r="CB76" s="116"/>
      <c r="CC76" s="116"/>
      <c r="CD76" s="116"/>
      <c r="CE76" s="116"/>
      <c r="CF76" s="116"/>
      <c r="CG76" s="116"/>
      <c r="CH76" s="116"/>
      <c r="CI76" s="116" t="s">
        <v>142</v>
      </c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8"/>
      <c r="DK76" s="118"/>
      <c r="DL76" s="118"/>
      <c r="DM76" s="118"/>
      <c r="DN76" s="118"/>
      <c r="DO76" s="118"/>
      <c r="DP76" s="118"/>
      <c r="DQ76" s="118"/>
      <c r="DR76" s="118"/>
      <c r="DS76" s="118"/>
      <c r="DT76" s="118"/>
      <c r="DU76" s="118"/>
      <c r="DV76" s="118"/>
      <c r="DW76" s="118"/>
      <c r="DX76" s="118"/>
      <c r="DY76" s="118"/>
      <c r="DZ76" s="118"/>
      <c r="EA76" s="118"/>
      <c r="EB76" s="118"/>
      <c r="EC76" s="118"/>
      <c r="ED76" s="118"/>
      <c r="EE76" s="118"/>
      <c r="EF76" s="118"/>
      <c r="EG76" s="118"/>
      <c r="EH76" s="118"/>
      <c r="EI76" s="118"/>
      <c r="EJ76" s="118"/>
      <c r="EK76" s="118"/>
    </row>
    <row r="77" spans="1:141" s="119" customFormat="1" x14ac:dyDescent="0.2">
      <c r="A77" s="121" t="s">
        <v>40</v>
      </c>
      <c r="B77" s="108">
        <v>502</v>
      </c>
      <c r="C77" s="108" t="s">
        <v>47</v>
      </c>
      <c r="D77" s="105" t="s">
        <v>12</v>
      </c>
      <c r="E77" s="110">
        <v>40820</v>
      </c>
      <c r="F77" s="110">
        <v>40858</v>
      </c>
      <c r="G77" s="105" t="s">
        <v>36</v>
      </c>
      <c r="H77" s="105" t="s">
        <v>36</v>
      </c>
      <c r="I77" s="105" t="s">
        <v>36</v>
      </c>
      <c r="J77" s="111">
        <v>40804</v>
      </c>
      <c r="K77" s="111">
        <v>40816</v>
      </c>
      <c r="L77" s="105" t="s">
        <v>35</v>
      </c>
      <c r="M77" s="105" t="s">
        <v>35</v>
      </c>
      <c r="N77" s="112"/>
      <c r="O77" s="105" t="s">
        <v>36</v>
      </c>
      <c r="P77" s="113"/>
      <c r="Q77" s="113"/>
      <c r="R77" s="113"/>
      <c r="S77" s="113"/>
      <c r="T77" s="114"/>
      <c r="U77" s="113"/>
      <c r="V77" s="113"/>
      <c r="W77" s="113"/>
      <c r="X77" s="115"/>
      <c r="Y77" s="113"/>
      <c r="Z77" s="115"/>
      <c r="AA77" s="115"/>
      <c r="AB77" s="115"/>
      <c r="AC77" s="115"/>
      <c r="AD77" s="115"/>
      <c r="AE77" s="114">
        <v>36</v>
      </c>
      <c r="AF77" s="114"/>
      <c r="AG77" s="115"/>
      <c r="AH77" s="116"/>
      <c r="AI77" s="117">
        <v>33.9</v>
      </c>
      <c r="AJ77" s="116"/>
      <c r="AK77" s="116"/>
      <c r="AL77" s="116"/>
      <c r="AM77" s="116"/>
      <c r="AN77" s="116"/>
      <c r="AO77" s="116"/>
      <c r="AP77" s="116"/>
      <c r="AQ77" s="116">
        <v>32.5</v>
      </c>
      <c r="AR77" s="116"/>
      <c r="AS77" s="116"/>
      <c r="AT77" s="116"/>
      <c r="AU77" s="116"/>
      <c r="AV77" s="116"/>
      <c r="AW77" s="116">
        <v>29.9</v>
      </c>
      <c r="AX77" s="116"/>
      <c r="AY77" s="116">
        <v>28.2</v>
      </c>
      <c r="AZ77" s="116"/>
      <c r="BA77" s="116"/>
      <c r="BB77" s="116"/>
      <c r="BC77" s="116"/>
      <c r="BD77" s="116"/>
      <c r="BE77" s="116">
        <v>24.5</v>
      </c>
      <c r="BF77" s="116"/>
      <c r="BG77" s="116"/>
      <c r="BH77" s="116"/>
      <c r="BI77" s="116"/>
      <c r="BJ77" s="116"/>
      <c r="BK77" s="116">
        <v>21.1</v>
      </c>
      <c r="BL77" s="116"/>
      <c r="BM77" s="116">
        <v>17.5</v>
      </c>
      <c r="BN77" s="116"/>
      <c r="BO77" s="116"/>
      <c r="BP77" s="116"/>
      <c r="BQ77" s="116"/>
      <c r="BR77" s="116">
        <v>15.8</v>
      </c>
      <c r="BS77" s="116" t="s">
        <v>142</v>
      </c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8"/>
      <c r="DK77" s="118"/>
      <c r="DL77" s="118"/>
      <c r="DM77" s="118"/>
      <c r="DN77" s="118"/>
      <c r="DO77" s="118"/>
      <c r="DP77" s="118"/>
      <c r="DQ77" s="118"/>
      <c r="DR77" s="118"/>
      <c r="DS77" s="118"/>
      <c r="DT77" s="118"/>
      <c r="DU77" s="118"/>
      <c r="DV77" s="118"/>
      <c r="DW77" s="118"/>
      <c r="DX77" s="118"/>
      <c r="DY77" s="118"/>
      <c r="DZ77" s="118"/>
      <c r="EA77" s="118"/>
      <c r="EB77" s="118"/>
      <c r="EC77" s="118"/>
      <c r="ED77" s="118"/>
      <c r="EE77" s="118"/>
      <c r="EF77" s="118"/>
      <c r="EG77" s="118"/>
      <c r="EH77" s="118"/>
      <c r="EI77" s="118"/>
      <c r="EJ77" s="118"/>
      <c r="EK77" s="118"/>
    </row>
    <row r="78" spans="1:141" s="119" customFormat="1" x14ac:dyDescent="0.2">
      <c r="A78" s="121"/>
      <c r="B78" s="108"/>
      <c r="C78" s="108"/>
      <c r="D78" s="105" t="s">
        <v>13</v>
      </c>
      <c r="E78" s="110"/>
      <c r="F78" s="110"/>
      <c r="G78" s="105"/>
      <c r="H78" s="105"/>
      <c r="I78" s="105"/>
      <c r="J78" s="111"/>
      <c r="K78" s="111"/>
      <c r="L78" s="105"/>
      <c r="M78" s="105"/>
      <c r="N78" s="112"/>
      <c r="O78" s="105"/>
      <c r="P78" s="113"/>
      <c r="Q78" s="113"/>
      <c r="R78" s="113"/>
      <c r="S78" s="113"/>
      <c r="T78" s="114"/>
      <c r="U78" s="113"/>
      <c r="V78" s="113"/>
      <c r="W78" s="113"/>
      <c r="X78" s="115"/>
      <c r="Y78" s="113"/>
      <c r="Z78" s="115"/>
      <c r="AA78" s="115"/>
      <c r="AB78" s="115"/>
      <c r="AC78" s="115"/>
      <c r="AD78" s="115"/>
      <c r="AE78" s="114">
        <v>33</v>
      </c>
      <c r="AF78" s="114"/>
      <c r="AG78" s="115"/>
      <c r="AH78" s="116"/>
      <c r="AI78" s="117">
        <v>31.1</v>
      </c>
      <c r="AJ78" s="116"/>
      <c r="AK78" s="116"/>
      <c r="AL78" s="116"/>
      <c r="AM78" s="116"/>
      <c r="AN78" s="116"/>
      <c r="AO78" s="116"/>
      <c r="AP78" s="116"/>
      <c r="AQ78" s="116">
        <v>31</v>
      </c>
      <c r="AR78" s="116"/>
      <c r="AS78" s="116"/>
      <c r="AT78" s="116"/>
      <c r="AU78" s="116"/>
      <c r="AV78" s="116"/>
      <c r="AW78" s="116">
        <v>29.7</v>
      </c>
      <c r="AX78" s="116"/>
      <c r="AY78" s="116">
        <v>26.5</v>
      </c>
      <c r="AZ78" s="116"/>
      <c r="BA78" s="116"/>
      <c r="BB78" s="116"/>
      <c r="BC78" s="116"/>
      <c r="BD78" s="116"/>
      <c r="BE78" s="116">
        <v>18.899999999999999</v>
      </c>
      <c r="BF78" s="116"/>
      <c r="BG78" s="116"/>
      <c r="BH78" s="116"/>
      <c r="BI78" s="116"/>
      <c r="BJ78" s="116"/>
      <c r="BK78" s="116">
        <v>19.8</v>
      </c>
      <c r="BL78" s="116"/>
      <c r="BM78" s="116">
        <v>16.5</v>
      </c>
      <c r="BN78" s="116"/>
      <c r="BO78" s="116"/>
      <c r="BP78" s="116"/>
      <c r="BQ78" s="116"/>
      <c r="BR78" s="116" t="s">
        <v>142</v>
      </c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  <c r="CY78" s="116"/>
      <c r="CZ78" s="116"/>
      <c r="DA78" s="116"/>
      <c r="DB78" s="116"/>
      <c r="DC78" s="116"/>
      <c r="DD78" s="116"/>
      <c r="DE78" s="116"/>
      <c r="DF78" s="116"/>
      <c r="DG78" s="116"/>
      <c r="DH78" s="116"/>
      <c r="DI78" s="116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DV78" s="118"/>
      <c r="DW78" s="118"/>
      <c r="DX78" s="118"/>
      <c r="DY78" s="118"/>
      <c r="DZ78" s="118"/>
      <c r="EA78" s="118"/>
      <c r="EB78" s="118"/>
      <c r="EC78" s="118"/>
      <c r="ED78" s="118"/>
      <c r="EE78" s="118"/>
      <c r="EF78" s="118"/>
      <c r="EG78" s="118"/>
      <c r="EH78" s="118"/>
      <c r="EI78" s="118"/>
      <c r="EJ78" s="118"/>
      <c r="EK78" s="118"/>
    </row>
    <row r="79" spans="1:141" s="119" customFormat="1" x14ac:dyDescent="0.2">
      <c r="A79" s="121" t="s">
        <v>30</v>
      </c>
      <c r="B79" s="108">
        <v>503</v>
      </c>
      <c r="C79" s="108" t="s">
        <v>47</v>
      </c>
      <c r="D79" s="105" t="s">
        <v>12</v>
      </c>
      <c r="E79" s="110">
        <v>40820</v>
      </c>
      <c r="F79" s="110">
        <v>40858</v>
      </c>
      <c r="G79" s="105" t="s">
        <v>36</v>
      </c>
      <c r="H79" s="105" t="s">
        <v>36</v>
      </c>
      <c r="I79" s="105" t="s">
        <v>36</v>
      </c>
      <c r="J79" s="111">
        <v>40809</v>
      </c>
      <c r="K79" s="111">
        <v>40820</v>
      </c>
      <c r="L79" s="105" t="s">
        <v>35</v>
      </c>
      <c r="M79" s="105" t="s">
        <v>35</v>
      </c>
      <c r="N79" s="112"/>
      <c r="O79" s="105" t="s">
        <v>36</v>
      </c>
      <c r="P79" s="113"/>
      <c r="Q79" s="113"/>
      <c r="R79" s="113"/>
      <c r="S79" s="113"/>
      <c r="T79" s="114"/>
      <c r="U79" s="113"/>
      <c r="V79" s="113"/>
      <c r="W79" s="113"/>
      <c r="X79" s="115"/>
      <c r="Y79" s="113"/>
      <c r="Z79" s="115"/>
      <c r="AA79" s="115"/>
      <c r="AB79" s="115"/>
      <c r="AC79" s="115"/>
      <c r="AD79" s="115"/>
      <c r="AE79" s="114">
        <v>38.5</v>
      </c>
      <c r="AF79" s="114"/>
      <c r="AG79" s="115"/>
      <c r="AH79" s="116"/>
      <c r="AI79" s="117"/>
      <c r="AJ79" s="116"/>
      <c r="AK79" s="116"/>
      <c r="AL79" s="116"/>
      <c r="AM79" s="116"/>
      <c r="AN79" s="116"/>
      <c r="AO79" s="116"/>
      <c r="AP79" s="116">
        <v>33.6</v>
      </c>
      <c r="AQ79" s="116"/>
      <c r="AR79" s="116"/>
      <c r="AS79" s="116"/>
      <c r="AT79" s="116"/>
      <c r="AU79" s="116"/>
      <c r="AV79" s="116"/>
      <c r="AW79" s="116">
        <v>32.200000000000003</v>
      </c>
      <c r="AX79" s="116"/>
      <c r="AY79" s="116">
        <v>31.8</v>
      </c>
      <c r="AZ79" s="116"/>
      <c r="BA79" s="116"/>
      <c r="BB79" s="116"/>
      <c r="BC79" s="116"/>
      <c r="BD79" s="116">
        <v>28.2</v>
      </c>
      <c r="BE79" s="116"/>
      <c r="BF79" s="116"/>
      <c r="BG79" s="116"/>
      <c r="BH79" s="116"/>
      <c r="BI79" s="116"/>
      <c r="BJ79" s="116"/>
      <c r="BK79" s="116"/>
      <c r="BL79" s="116"/>
      <c r="BM79" s="116">
        <v>22.6</v>
      </c>
      <c r="BN79" s="116"/>
      <c r="BO79" s="116"/>
      <c r="BP79" s="116"/>
      <c r="BQ79" s="116"/>
      <c r="BR79" s="116">
        <v>22.5</v>
      </c>
      <c r="BS79" s="116"/>
      <c r="BT79" s="116"/>
      <c r="BU79" s="116">
        <v>21.2</v>
      </c>
      <c r="BV79" s="116"/>
      <c r="BW79" s="116"/>
      <c r="BX79" s="116"/>
      <c r="BY79" s="116"/>
      <c r="BZ79" s="116">
        <v>14.5</v>
      </c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 t="s">
        <v>142</v>
      </c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DV79" s="118"/>
      <c r="DW79" s="118"/>
      <c r="DX79" s="118"/>
      <c r="DY79" s="118"/>
      <c r="DZ79" s="118"/>
      <c r="EA79" s="118"/>
      <c r="EB79" s="118"/>
      <c r="EC79" s="118"/>
      <c r="ED79" s="118"/>
      <c r="EE79" s="118"/>
      <c r="EF79" s="118"/>
      <c r="EG79" s="118"/>
      <c r="EH79" s="118"/>
      <c r="EI79" s="118"/>
      <c r="EJ79" s="118"/>
      <c r="EK79" s="118"/>
    </row>
    <row r="80" spans="1:141" s="119" customFormat="1" x14ac:dyDescent="0.2">
      <c r="A80" s="121"/>
      <c r="B80" s="108"/>
      <c r="C80" s="108"/>
      <c r="D80" s="105" t="s">
        <v>13</v>
      </c>
      <c r="E80" s="110"/>
      <c r="F80" s="110"/>
      <c r="G80" s="105"/>
      <c r="H80" s="105"/>
      <c r="I80" s="105"/>
      <c r="J80" s="111"/>
      <c r="K80" s="111"/>
      <c r="L80" s="105"/>
      <c r="M80" s="105"/>
      <c r="N80" s="112"/>
      <c r="O80" s="105"/>
      <c r="P80" s="113"/>
      <c r="Q80" s="113"/>
      <c r="R80" s="113"/>
      <c r="S80" s="113"/>
      <c r="T80" s="114"/>
      <c r="U80" s="113"/>
      <c r="V80" s="113"/>
      <c r="W80" s="113"/>
      <c r="X80" s="115"/>
      <c r="Y80" s="113"/>
      <c r="Z80" s="115"/>
      <c r="AA80" s="115"/>
      <c r="AB80" s="115"/>
      <c r="AC80" s="115"/>
      <c r="AD80" s="115"/>
      <c r="AE80" s="114">
        <v>33.9</v>
      </c>
      <c r="AF80" s="114"/>
      <c r="AG80" s="115"/>
      <c r="AH80" s="116"/>
      <c r="AI80" s="117"/>
      <c r="AJ80" s="116"/>
      <c r="AK80" s="116"/>
      <c r="AL80" s="116"/>
      <c r="AM80" s="116"/>
      <c r="AN80" s="116"/>
      <c r="AO80" s="116"/>
      <c r="AP80" s="116">
        <v>31.7</v>
      </c>
      <c r="AQ80" s="116"/>
      <c r="AR80" s="116"/>
      <c r="AS80" s="116"/>
      <c r="AT80" s="116"/>
      <c r="AU80" s="116"/>
      <c r="AV80" s="116"/>
      <c r="AW80" s="116">
        <v>31.6</v>
      </c>
      <c r="AX80" s="116"/>
      <c r="AY80" s="116">
        <v>30.2</v>
      </c>
      <c r="AZ80" s="116"/>
      <c r="BA80" s="116"/>
      <c r="BB80" s="116"/>
      <c r="BC80" s="116"/>
      <c r="BD80" s="116">
        <v>21</v>
      </c>
      <c r="BE80" s="116"/>
      <c r="BF80" s="116"/>
      <c r="BG80" s="116"/>
      <c r="BH80" s="116"/>
      <c r="BI80" s="116"/>
      <c r="BJ80" s="116"/>
      <c r="BK80" s="116"/>
      <c r="BL80" s="116"/>
      <c r="BM80" s="116">
        <v>23.9</v>
      </c>
      <c r="BN80" s="116"/>
      <c r="BO80" s="116"/>
      <c r="BP80" s="116"/>
      <c r="BQ80" s="116"/>
      <c r="BR80" s="116">
        <v>16.5</v>
      </c>
      <c r="BS80" s="116"/>
      <c r="BT80" s="116"/>
      <c r="BU80" s="116">
        <v>16.100000000000001</v>
      </c>
      <c r="BV80" s="116"/>
      <c r="BW80" s="116"/>
      <c r="BX80" s="116"/>
      <c r="BY80" s="116"/>
      <c r="BZ80" s="116">
        <v>16.2</v>
      </c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 t="s">
        <v>142</v>
      </c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8"/>
      <c r="DK80" s="118"/>
      <c r="DL80" s="118"/>
      <c r="DM80" s="118"/>
      <c r="DN80" s="118"/>
      <c r="DO80" s="118"/>
      <c r="DP80" s="118"/>
      <c r="DQ80" s="118"/>
      <c r="DR80" s="118"/>
      <c r="DS80" s="118"/>
      <c r="DT80" s="118"/>
      <c r="DU80" s="118"/>
      <c r="DV80" s="118"/>
      <c r="DW80" s="118"/>
      <c r="DX80" s="118"/>
      <c r="DY80" s="118"/>
      <c r="DZ80" s="118"/>
      <c r="EA80" s="118"/>
      <c r="EB80" s="118"/>
      <c r="EC80" s="118"/>
      <c r="ED80" s="118"/>
      <c r="EE80" s="118"/>
      <c r="EF80" s="118"/>
      <c r="EG80" s="118"/>
      <c r="EH80" s="118"/>
      <c r="EI80" s="118"/>
      <c r="EJ80" s="118"/>
      <c r="EK80" s="118"/>
    </row>
    <row r="81" spans="1:141" s="119" customFormat="1" x14ac:dyDescent="0.2">
      <c r="A81" s="121" t="s">
        <v>41</v>
      </c>
      <c r="B81" s="108">
        <v>504</v>
      </c>
      <c r="C81" s="108">
        <v>8313</v>
      </c>
      <c r="D81" s="105" t="s">
        <v>12</v>
      </c>
      <c r="E81" s="110">
        <v>40820</v>
      </c>
      <c r="F81" s="110"/>
      <c r="G81" s="105" t="s">
        <v>36</v>
      </c>
      <c r="H81" s="105" t="s">
        <v>36</v>
      </c>
      <c r="I81" s="105" t="s">
        <v>36</v>
      </c>
      <c r="J81" s="111">
        <v>40807</v>
      </c>
      <c r="K81" s="111">
        <v>40820</v>
      </c>
      <c r="L81" s="105" t="s">
        <v>35</v>
      </c>
      <c r="M81" s="105" t="s">
        <v>35</v>
      </c>
      <c r="N81" s="112"/>
      <c r="O81" s="105" t="s">
        <v>36</v>
      </c>
      <c r="P81" s="113"/>
      <c r="Q81" s="113"/>
      <c r="R81" s="113"/>
      <c r="S81" s="113"/>
      <c r="T81" s="114"/>
      <c r="U81" s="113"/>
      <c r="V81" s="113"/>
      <c r="W81" s="113"/>
      <c r="X81" s="115"/>
      <c r="Y81" s="113"/>
      <c r="Z81" s="115"/>
      <c r="AA81" s="115"/>
      <c r="AB81" s="115"/>
      <c r="AC81" s="115"/>
      <c r="AD81" s="115"/>
      <c r="AE81" s="114">
        <v>30.9</v>
      </c>
      <c r="AF81" s="114"/>
      <c r="AG81" s="115"/>
      <c r="AH81" s="116"/>
      <c r="AI81" s="117">
        <v>29.3</v>
      </c>
      <c r="AJ81" s="116"/>
      <c r="AK81" s="116"/>
      <c r="AL81" s="116"/>
      <c r="AM81" s="116"/>
      <c r="AN81" s="116"/>
      <c r="AO81" s="116"/>
      <c r="AP81" s="116"/>
      <c r="AQ81" s="116">
        <v>30.5</v>
      </c>
      <c r="AR81" s="116"/>
      <c r="AS81" s="116"/>
      <c r="AT81" s="116"/>
      <c r="AU81" s="116"/>
      <c r="AV81" s="116"/>
      <c r="AW81" s="116"/>
      <c r="AX81" s="116"/>
      <c r="AY81" s="116">
        <v>20</v>
      </c>
      <c r="AZ81" s="116"/>
      <c r="BA81" s="116"/>
      <c r="BB81" s="116"/>
      <c r="BC81" s="116"/>
      <c r="BD81" s="116"/>
      <c r="BE81" s="116">
        <v>19</v>
      </c>
      <c r="BF81" s="116"/>
      <c r="BG81" s="116"/>
      <c r="BH81" s="116"/>
      <c r="BI81" s="116"/>
      <c r="BJ81" s="116"/>
      <c r="BK81" s="116">
        <v>15.1</v>
      </c>
      <c r="BL81" s="116"/>
      <c r="BM81" s="116"/>
      <c r="BN81" s="116"/>
      <c r="BO81" s="116"/>
      <c r="BP81" s="116"/>
      <c r="BQ81" s="116"/>
      <c r="BR81" s="116">
        <v>12.8</v>
      </c>
      <c r="BS81" s="116"/>
      <c r="BT81" s="116"/>
      <c r="BU81" s="116" t="s">
        <v>142</v>
      </c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8"/>
      <c r="DK81" s="118"/>
      <c r="DL81" s="118"/>
      <c r="DM81" s="118"/>
      <c r="DN81" s="118"/>
      <c r="DO81" s="118"/>
      <c r="DP81" s="118"/>
      <c r="DQ81" s="118"/>
      <c r="DR81" s="118"/>
      <c r="DS81" s="118"/>
      <c r="DT81" s="118"/>
      <c r="DU81" s="118"/>
      <c r="DV81" s="118"/>
      <c r="DW81" s="118"/>
      <c r="DX81" s="118"/>
      <c r="DY81" s="118"/>
      <c r="DZ81" s="118"/>
      <c r="EA81" s="118"/>
      <c r="EB81" s="118"/>
      <c r="EC81" s="118"/>
      <c r="ED81" s="118"/>
      <c r="EE81" s="118"/>
      <c r="EF81" s="118"/>
      <c r="EG81" s="118"/>
      <c r="EH81" s="118"/>
      <c r="EI81" s="118"/>
      <c r="EJ81" s="118"/>
      <c r="EK81" s="118"/>
    </row>
    <row r="82" spans="1:141" s="119" customFormat="1" x14ac:dyDescent="0.2">
      <c r="A82" s="121"/>
      <c r="B82" s="108"/>
      <c r="C82" s="108"/>
      <c r="D82" s="105" t="s">
        <v>13</v>
      </c>
      <c r="E82" s="110"/>
      <c r="F82" s="110"/>
      <c r="G82" s="105"/>
      <c r="H82" s="105"/>
      <c r="I82" s="105"/>
      <c r="J82" s="111"/>
      <c r="K82" s="111"/>
      <c r="L82" s="105"/>
      <c r="M82" s="105"/>
      <c r="N82" s="112"/>
      <c r="O82" s="105"/>
      <c r="P82" s="113"/>
      <c r="Q82" s="113"/>
      <c r="R82" s="113"/>
      <c r="S82" s="113"/>
      <c r="T82" s="114"/>
      <c r="U82" s="113"/>
      <c r="V82" s="113"/>
      <c r="W82" s="113"/>
      <c r="X82" s="115"/>
      <c r="Y82" s="113"/>
      <c r="Z82" s="115"/>
      <c r="AA82" s="115"/>
      <c r="AB82" s="115"/>
      <c r="AC82" s="115"/>
      <c r="AD82" s="115"/>
      <c r="AE82" s="114">
        <v>38</v>
      </c>
      <c r="AF82" s="114"/>
      <c r="AG82" s="115"/>
      <c r="AH82" s="116"/>
      <c r="AI82" s="117">
        <v>37</v>
      </c>
      <c r="AJ82" s="116"/>
      <c r="AK82" s="116"/>
      <c r="AL82" s="116"/>
      <c r="AM82" s="116"/>
      <c r="AN82" s="116"/>
      <c r="AO82" s="116"/>
      <c r="AP82" s="116"/>
      <c r="AQ82" s="116">
        <v>31.2</v>
      </c>
      <c r="AR82" s="116"/>
      <c r="AS82" s="116"/>
      <c r="AT82" s="116"/>
      <c r="AU82" s="116"/>
      <c r="AV82" s="116"/>
      <c r="AW82" s="116"/>
      <c r="AX82" s="116"/>
      <c r="AY82" s="116">
        <v>29</v>
      </c>
      <c r="AZ82" s="116"/>
      <c r="BA82" s="116"/>
      <c r="BB82" s="116"/>
      <c r="BC82" s="116"/>
      <c r="BD82" s="116"/>
      <c r="BE82" s="116">
        <v>26</v>
      </c>
      <c r="BF82" s="116"/>
      <c r="BG82" s="116"/>
      <c r="BH82" s="116"/>
      <c r="BI82" s="116"/>
      <c r="BJ82" s="116"/>
      <c r="BK82" s="116">
        <v>20</v>
      </c>
      <c r="BL82" s="116"/>
      <c r="BM82" s="116"/>
      <c r="BN82" s="116"/>
      <c r="BO82" s="116"/>
      <c r="BP82" s="116"/>
      <c r="BQ82" s="116"/>
      <c r="BR82" s="116">
        <v>15.7</v>
      </c>
      <c r="BS82" s="116"/>
      <c r="BT82" s="116"/>
      <c r="BU82" s="116" t="s">
        <v>142</v>
      </c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8"/>
      <c r="DK82" s="118"/>
      <c r="DL82" s="118"/>
      <c r="DM82" s="118"/>
      <c r="DN82" s="118"/>
      <c r="DO82" s="118"/>
      <c r="DP82" s="118"/>
      <c r="DQ82" s="118"/>
      <c r="DR82" s="118"/>
      <c r="DS82" s="118"/>
      <c r="DT82" s="118"/>
      <c r="DU82" s="118"/>
      <c r="DV82" s="118"/>
      <c r="DW82" s="118"/>
      <c r="DX82" s="118"/>
      <c r="DY82" s="118"/>
      <c r="DZ82" s="118"/>
      <c r="EA82" s="118"/>
      <c r="EB82" s="118"/>
      <c r="EC82" s="118"/>
      <c r="ED82" s="118"/>
      <c r="EE82" s="118"/>
      <c r="EF82" s="118"/>
      <c r="EG82" s="118"/>
      <c r="EH82" s="118"/>
      <c r="EI82" s="118"/>
      <c r="EJ82" s="118"/>
      <c r="EK82" s="118"/>
    </row>
    <row r="83" spans="1:141" s="119" customFormat="1" x14ac:dyDescent="0.2">
      <c r="A83" s="121" t="s">
        <v>41</v>
      </c>
      <c r="B83" s="108">
        <v>505</v>
      </c>
      <c r="C83" s="108">
        <v>8313</v>
      </c>
      <c r="D83" s="105" t="s">
        <v>12</v>
      </c>
      <c r="E83" s="110">
        <v>40820</v>
      </c>
      <c r="F83" s="110"/>
      <c r="G83" s="105" t="s">
        <v>36</v>
      </c>
      <c r="H83" s="105" t="s">
        <v>36</v>
      </c>
      <c r="I83" s="105" t="s">
        <v>36</v>
      </c>
      <c r="J83" s="111">
        <v>40807</v>
      </c>
      <c r="K83" s="111">
        <v>40820</v>
      </c>
      <c r="L83" s="105" t="s">
        <v>35</v>
      </c>
      <c r="M83" s="105" t="s">
        <v>35</v>
      </c>
      <c r="N83" s="112"/>
      <c r="O83" s="105" t="s">
        <v>36</v>
      </c>
      <c r="P83" s="113"/>
      <c r="Q83" s="113"/>
      <c r="R83" s="113"/>
      <c r="S83" s="113"/>
      <c r="T83" s="114"/>
      <c r="U83" s="113"/>
      <c r="V83" s="113"/>
      <c r="W83" s="113"/>
      <c r="X83" s="115"/>
      <c r="Y83" s="113"/>
      <c r="Z83" s="115"/>
      <c r="AA83" s="115"/>
      <c r="AB83" s="115"/>
      <c r="AC83" s="115"/>
      <c r="AD83" s="115"/>
      <c r="AE83" s="114">
        <v>31</v>
      </c>
      <c r="AF83" s="114"/>
      <c r="AG83" s="115"/>
      <c r="AH83" s="116"/>
      <c r="AI83" s="117">
        <v>31.9</v>
      </c>
      <c r="AJ83" s="116"/>
      <c r="AK83" s="116"/>
      <c r="AL83" s="116"/>
      <c r="AM83" s="116"/>
      <c r="AN83" s="116"/>
      <c r="AO83" s="116"/>
      <c r="AP83" s="116"/>
      <c r="AQ83" s="116">
        <v>27.5</v>
      </c>
      <c r="AR83" s="116"/>
      <c r="AS83" s="116"/>
      <c r="AT83" s="116"/>
      <c r="AU83" s="116"/>
      <c r="AV83" s="116"/>
      <c r="AW83" s="116"/>
      <c r="AX83" s="116"/>
      <c r="AY83" s="116">
        <v>19.5</v>
      </c>
      <c r="AZ83" s="116"/>
      <c r="BA83" s="116"/>
      <c r="BB83" s="116"/>
      <c r="BC83" s="116"/>
      <c r="BD83" s="116"/>
      <c r="BE83" s="116">
        <v>19.2</v>
      </c>
      <c r="BF83" s="116"/>
      <c r="BG83" s="116"/>
      <c r="BH83" s="116"/>
      <c r="BI83" s="116"/>
      <c r="BJ83" s="116"/>
      <c r="BK83" s="116">
        <v>15.3</v>
      </c>
      <c r="BL83" s="116"/>
      <c r="BM83" s="116"/>
      <c r="BN83" s="116"/>
      <c r="BO83" s="116"/>
      <c r="BP83" s="116"/>
      <c r="BQ83" s="116"/>
      <c r="BR83" s="116">
        <v>13.5</v>
      </c>
      <c r="BS83" s="116"/>
      <c r="BT83" s="116"/>
      <c r="BU83" s="116">
        <v>13.5</v>
      </c>
      <c r="BV83" s="116"/>
      <c r="BW83" s="116"/>
      <c r="BX83" s="116"/>
      <c r="BY83" s="116" t="s">
        <v>142</v>
      </c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8"/>
      <c r="DK83" s="118"/>
      <c r="DL83" s="118"/>
      <c r="DM83" s="118"/>
      <c r="DN83" s="118"/>
      <c r="DO83" s="118"/>
      <c r="DP83" s="118"/>
      <c r="DQ83" s="118"/>
      <c r="DR83" s="118"/>
      <c r="DS83" s="118"/>
      <c r="DT83" s="118"/>
      <c r="DU83" s="118"/>
      <c r="DV83" s="118"/>
      <c r="DW83" s="118"/>
      <c r="DX83" s="118"/>
      <c r="DY83" s="118"/>
      <c r="DZ83" s="118"/>
      <c r="EA83" s="118"/>
      <c r="EB83" s="118"/>
      <c r="EC83" s="118"/>
      <c r="ED83" s="118"/>
      <c r="EE83" s="118"/>
      <c r="EF83" s="118"/>
      <c r="EG83" s="118"/>
      <c r="EH83" s="118"/>
      <c r="EI83" s="118"/>
      <c r="EJ83" s="118"/>
      <c r="EK83" s="118"/>
    </row>
    <row r="84" spans="1:141" s="119" customFormat="1" x14ac:dyDescent="0.2">
      <c r="A84" s="121"/>
      <c r="B84" s="108"/>
      <c r="C84" s="108"/>
      <c r="D84" s="105" t="s">
        <v>13</v>
      </c>
      <c r="E84" s="110"/>
      <c r="F84" s="110"/>
      <c r="G84" s="105"/>
      <c r="H84" s="105"/>
      <c r="I84" s="105"/>
      <c r="J84" s="111"/>
      <c r="K84" s="111"/>
      <c r="L84" s="105"/>
      <c r="M84" s="105"/>
      <c r="N84" s="112"/>
      <c r="O84" s="105"/>
      <c r="P84" s="113"/>
      <c r="Q84" s="113"/>
      <c r="R84" s="113"/>
      <c r="S84" s="113"/>
      <c r="T84" s="114"/>
      <c r="U84" s="113"/>
      <c r="V84" s="113"/>
      <c r="W84" s="113"/>
      <c r="X84" s="115"/>
      <c r="Y84" s="113"/>
      <c r="Z84" s="115"/>
      <c r="AA84" s="115"/>
      <c r="AB84" s="115"/>
      <c r="AC84" s="115"/>
      <c r="AD84" s="115"/>
      <c r="AE84" s="114">
        <v>38</v>
      </c>
      <c r="AF84" s="114"/>
      <c r="AG84" s="115"/>
      <c r="AH84" s="116"/>
      <c r="AI84" s="117">
        <v>38</v>
      </c>
      <c r="AJ84" s="116"/>
      <c r="AK84" s="116"/>
      <c r="AL84" s="116"/>
      <c r="AM84" s="116"/>
      <c r="AN84" s="116"/>
      <c r="AO84" s="116"/>
      <c r="AP84" s="116"/>
      <c r="AQ84" s="116">
        <v>32</v>
      </c>
      <c r="AR84" s="116"/>
      <c r="AS84" s="116"/>
      <c r="AT84" s="116"/>
      <c r="AU84" s="116"/>
      <c r="AV84" s="116"/>
      <c r="AW84" s="116"/>
      <c r="AX84" s="116"/>
      <c r="AY84" s="116">
        <v>29</v>
      </c>
      <c r="AZ84" s="116"/>
      <c r="BA84" s="116"/>
      <c r="BB84" s="116"/>
      <c r="BC84" s="116"/>
      <c r="BD84" s="116"/>
      <c r="BE84" s="116">
        <v>24</v>
      </c>
      <c r="BF84" s="116"/>
      <c r="BG84" s="116"/>
      <c r="BH84" s="116"/>
      <c r="BI84" s="116"/>
      <c r="BJ84" s="116"/>
      <c r="BK84" s="116">
        <v>21.6</v>
      </c>
      <c r="BL84" s="116"/>
      <c r="BM84" s="116"/>
      <c r="BN84" s="116"/>
      <c r="BO84" s="116"/>
      <c r="BP84" s="116"/>
      <c r="BQ84" s="116"/>
      <c r="BR84" s="116">
        <v>17.2</v>
      </c>
      <c r="BS84" s="116"/>
      <c r="BT84" s="116"/>
      <c r="BU84" s="116" t="s">
        <v>142</v>
      </c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8"/>
      <c r="DK84" s="118"/>
      <c r="DL84" s="118"/>
      <c r="DM84" s="118"/>
      <c r="DN84" s="118"/>
      <c r="DO84" s="118"/>
      <c r="DP84" s="118"/>
      <c r="DQ84" s="118"/>
      <c r="DR84" s="118"/>
      <c r="DS84" s="118"/>
      <c r="DT84" s="118"/>
      <c r="DU84" s="118"/>
      <c r="DV84" s="118"/>
      <c r="DW84" s="118"/>
      <c r="DX84" s="118"/>
      <c r="DY84" s="118"/>
      <c r="DZ84" s="118"/>
      <c r="EA84" s="118"/>
      <c r="EB84" s="118"/>
      <c r="EC84" s="118"/>
      <c r="ED84" s="118"/>
      <c r="EE84" s="118"/>
      <c r="EF84" s="118"/>
      <c r="EG84" s="118"/>
      <c r="EH84" s="118"/>
      <c r="EI84" s="118"/>
      <c r="EJ84" s="118"/>
      <c r="EK84" s="118"/>
    </row>
    <row r="85" spans="1:141" s="119" customFormat="1" x14ac:dyDescent="0.2">
      <c r="A85" s="121" t="s">
        <v>30</v>
      </c>
      <c r="B85" s="108">
        <v>506</v>
      </c>
      <c r="C85" s="108">
        <v>8313</v>
      </c>
      <c r="D85" s="105" t="s">
        <v>12</v>
      </c>
      <c r="E85" s="110">
        <v>40820</v>
      </c>
      <c r="F85" s="110">
        <v>40858</v>
      </c>
      <c r="G85" s="105" t="s">
        <v>36</v>
      </c>
      <c r="H85" s="105" t="s">
        <v>36</v>
      </c>
      <c r="I85" s="105" t="s">
        <v>36</v>
      </c>
      <c r="J85" s="160">
        <v>40813</v>
      </c>
      <c r="K85" s="111">
        <v>40820</v>
      </c>
      <c r="L85" s="105" t="s">
        <v>35</v>
      </c>
      <c r="M85" s="105" t="s">
        <v>35</v>
      </c>
      <c r="N85" s="112"/>
      <c r="O85" s="105" t="s">
        <v>36</v>
      </c>
      <c r="P85" s="113"/>
      <c r="Q85" s="113"/>
      <c r="R85" s="113"/>
      <c r="S85" s="113"/>
      <c r="T85" s="114"/>
      <c r="U85" s="113"/>
      <c r="V85" s="113"/>
      <c r="W85" s="113"/>
      <c r="X85" s="115"/>
      <c r="Y85" s="113"/>
      <c r="Z85" s="115"/>
      <c r="AA85" s="115"/>
      <c r="AB85" s="115"/>
      <c r="AC85" s="115"/>
      <c r="AD85" s="115"/>
      <c r="AE85" s="114"/>
      <c r="AF85" s="114"/>
      <c r="AG85" s="115"/>
      <c r="AH85" s="116"/>
      <c r="AI85" s="117"/>
      <c r="AJ85" s="116"/>
      <c r="AK85" s="116"/>
      <c r="AL85" s="116"/>
      <c r="AM85" s="116"/>
      <c r="AN85" s="116"/>
      <c r="AO85" s="116"/>
      <c r="AP85" s="116"/>
      <c r="AQ85" s="116"/>
      <c r="AR85" s="116">
        <v>34.200000000000003</v>
      </c>
      <c r="AS85" s="116"/>
      <c r="AT85" s="116"/>
      <c r="AU85" s="116"/>
      <c r="AV85" s="116"/>
      <c r="AW85" s="116">
        <v>31.8</v>
      </c>
      <c r="AX85" s="116"/>
      <c r="AY85" s="116">
        <v>31.9</v>
      </c>
      <c r="AZ85" s="116"/>
      <c r="BA85" s="116"/>
      <c r="BB85" s="116"/>
      <c r="BC85" s="116"/>
      <c r="BD85" s="116">
        <v>27.9</v>
      </c>
      <c r="BE85" s="116"/>
      <c r="BF85" s="116"/>
      <c r="BG85" s="116"/>
      <c r="BH85" s="116"/>
      <c r="BI85" s="116"/>
      <c r="BJ85" s="116"/>
      <c r="BK85" s="116"/>
      <c r="BL85" s="116"/>
      <c r="BM85" s="116">
        <v>22.5</v>
      </c>
      <c r="BN85" s="116"/>
      <c r="BO85" s="116"/>
      <c r="BP85" s="116"/>
      <c r="BQ85" s="116"/>
      <c r="BR85" s="116">
        <v>15.9</v>
      </c>
      <c r="BS85" s="116"/>
      <c r="BT85" s="116"/>
      <c r="BU85" s="116">
        <v>17.899999999999999</v>
      </c>
      <c r="BV85" s="116"/>
      <c r="BW85" s="116"/>
      <c r="BX85" s="116"/>
      <c r="BY85" s="116"/>
      <c r="BZ85" s="116">
        <v>12.9</v>
      </c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 t="s">
        <v>142</v>
      </c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8"/>
      <c r="DK85" s="118"/>
      <c r="DL85" s="118"/>
      <c r="DM85" s="118"/>
      <c r="DN85" s="118"/>
      <c r="DO85" s="118"/>
      <c r="DP85" s="118"/>
      <c r="DQ85" s="118"/>
      <c r="DR85" s="118"/>
      <c r="DS85" s="118"/>
      <c r="DT85" s="118"/>
      <c r="DU85" s="118"/>
      <c r="DV85" s="118"/>
      <c r="DW85" s="118"/>
      <c r="DX85" s="118"/>
      <c r="DY85" s="118"/>
      <c r="DZ85" s="118"/>
      <c r="EA85" s="118"/>
      <c r="EB85" s="118"/>
      <c r="EC85" s="118"/>
      <c r="ED85" s="118"/>
      <c r="EE85" s="118"/>
      <c r="EF85" s="118"/>
      <c r="EG85" s="118"/>
      <c r="EH85" s="118"/>
      <c r="EI85" s="118"/>
      <c r="EJ85" s="118"/>
      <c r="EK85" s="118"/>
    </row>
    <row r="86" spans="1:141" s="119" customFormat="1" x14ac:dyDescent="0.2">
      <c r="A86" s="121"/>
      <c r="B86" s="108"/>
      <c r="C86" s="108"/>
      <c r="D86" s="105" t="s">
        <v>13</v>
      </c>
      <c r="E86" s="110"/>
      <c r="F86" s="110"/>
      <c r="G86" s="105"/>
      <c r="H86" s="105"/>
      <c r="I86" s="105"/>
      <c r="J86" s="111"/>
      <c r="K86" s="111"/>
      <c r="L86" s="105"/>
      <c r="M86" s="105"/>
      <c r="N86" s="112"/>
      <c r="O86" s="105"/>
      <c r="P86" s="113"/>
      <c r="Q86" s="113"/>
      <c r="R86" s="113"/>
      <c r="S86" s="113"/>
      <c r="T86" s="114"/>
      <c r="U86" s="113"/>
      <c r="V86" s="113"/>
      <c r="W86" s="113"/>
      <c r="X86" s="115"/>
      <c r="Y86" s="113"/>
      <c r="Z86" s="115"/>
      <c r="AA86" s="115"/>
      <c r="AB86" s="115"/>
      <c r="AC86" s="115"/>
      <c r="AD86" s="115"/>
      <c r="AE86" s="114"/>
      <c r="AF86" s="114"/>
      <c r="AG86" s="115"/>
      <c r="AH86" s="116"/>
      <c r="AI86" s="117"/>
      <c r="AJ86" s="116"/>
      <c r="AK86" s="116"/>
      <c r="AL86" s="116"/>
      <c r="AM86" s="116"/>
      <c r="AN86" s="116"/>
      <c r="AO86" s="116"/>
      <c r="AP86" s="116"/>
      <c r="AQ86" s="116"/>
      <c r="AR86" s="116">
        <v>36.5</v>
      </c>
      <c r="AS86" s="116"/>
      <c r="AT86" s="116"/>
      <c r="AU86" s="116"/>
      <c r="AV86" s="116"/>
      <c r="AW86" s="116">
        <v>31</v>
      </c>
      <c r="AX86" s="116"/>
      <c r="AY86" s="116">
        <v>31.7</v>
      </c>
      <c r="AZ86" s="116"/>
      <c r="BA86" s="116"/>
      <c r="BB86" s="116"/>
      <c r="BC86" s="116"/>
      <c r="BD86" s="116">
        <v>29.4</v>
      </c>
      <c r="BE86" s="116"/>
      <c r="BF86" s="116"/>
      <c r="BG86" s="116"/>
      <c r="BH86" s="116"/>
      <c r="BI86" s="116"/>
      <c r="BJ86" s="116"/>
      <c r="BK86" s="116"/>
      <c r="BL86" s="116"/>
      <c r="BM86" s="116">
        <v>24.5</v>
      </c>
      <c r="BN86" s="116"/>
      <c r="BO86" s="116"/>
      <c r="BP86" s="116"/>
      <c r="BQ86" s="116"/>
      <c r="BR86" s="116">
        <v>24.8</v>
      </c>
      <c r="BS86" s="116"/>
      <c r="BT86" s="116"/>
      <c r="BU86" s="116">
        <v>24.4</v>
      </c>
      <c r="BV86" s="116"/>
      <c r="BW86" s="116"/>
      <c r="BX86" s="116"/>
      <c r="BY86" s="116"/>
      <c r="BZ86" s="116">
        <v>16.899999999999999</v>
      </c>
      <c r="CA86" s="116"/>
      <c r="CB86" s="116"/>
      <c r="CC86" s="116"/>
      <c r="CD86" s="116"/>
      <c r="CE86" s="116"/>
      <c r="CF86" s="116"/>
      <c r="CG86" s="116"/>
      <c r="CH86" s="116"/>
      <c r="CI86" s="116" t="s">
        <v>142</v>
      </c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8"/>
      <c r="DK86" s="118"/>
      <c r="DL86" s="118"/>
      <c r="DM86" s="118"/>
      <c r="DN86" s="118"/>
      <c r="DO86" s="118"/>
      <c r="DP86" s="118"/>
      <c r="DQ86" s="118"/>
      <c r="DR86" s="118"/>
      <c r="DS86" s="118"/>
      <c r="DT86" s="118"/>
      <c r="DU86" s="118"/>
      <c r="DV86" s="118"/>
      <c r="DW86" s="118"/>
      <c r="DX86" s="118"/>
      <c r="DY86" s="118"/>
      <c r="DZ86" s="118"/>
      <c r="EA86" s="118"/>
      <c r="EB86" s="118"/>
      <c r="EC86" s="118"/>
      <c r="ED86" s="118"/>
      <c r="EE86" s="118"/>
      <c r="EF86" s="118"/>
      <c r="EG86" s="118"/>
      <c r="EH86" s="118"/>
      <c r="EI86" s="118"/>
      <c r="EJ86" s="118"/>
      <c r="EK86" s="118"/>
    </row>
    <row r="87" spans="1:141" s="119" customFormat="1" x14ac:dyDescent="0.2">
      <c r="A87" s="121" t="s">
        <v>42</v>
      </c>
      <c r="B87" s="108">
        <v>507</v>
      </c>
      <c r="C87" s="108" t="s">
        <v>29</v>
      </c>
      <c r="D87" s="105" t="s">
        <v>12</v>
      </c>
      <c r="E87" s="110">
        <v>40813</v>
      </c>
      <c r="F87" s="110">
        <v>40826</v>
      </c>
      <c r="G87" s="105" t="s">
        <v>36</v>
      </c>
      <c r="H87" s="105" t="s">
        <v>36</v>
      </c>
      <c r="I87" s="105" t="s">
        <v>36</v>
      </c>
      <c r="J87" s="111">
        <v>40807</v>
      </c>
      <c r="K87" s="111">
        <v>40815</v>
      </c>
      <c r="L87" s="105" t="s">
        <v>35</v>
      </c>
      <c r="M87" s="105" t="s">
        <v>35</v>
      </c>
      <c r="N87" s="112"/>
      <c r="O87" s="105" t="s">
        <v>36</v>
      </c>
      <c r="P87" s="113"/>
      <c r="Q87" s="113"/>
      <c r="R87" s="113"/>
      <c r="S87" s="113"/>
      <c r="T87" s="114"/>
      <c r="U87" s="113"/>
      <c r="V87" s="113"/>
      <c r="W87" s="113"/>
      <c r="X87" s="115">
        <v>32.1</v>
      </c>
      <c r="Y87" s="113"/>
      <c r="Z87" s="115"/>
      <c r="AA87" s="115"/>
      <c r="AB87" s="115"/>
      <c r="AC87" s="115"/>
      <c r="AD87" s="115"/>
      <c r="AE87" s="114">
        <v>31.2</v>
      </c>
      <c r="AF87" s="114"/>
      <c r="AG87" s="115"/>
      <c r="AH87" s="116"/>
      <c r="AI87" s="117">
        <v>29.9</v>
      </c>
      <c r="AJ87" s="116"/>
      <c r="AK87" s="116"/>
      <c r="AL87" s="116"/>
      <c r="AM87" s="116"/>
      <c r="AN87" s="116"/>
      <c r="AO87" s="116"/>
      <c r="AP87" s="116"/>
      <c r="AQ87" s="116">
        <v>29</v>
      </c>
      <c r="AR87" s="116"/>
      <c r="AS87" s="116"/>
      <c r="AT87" s="116"/>
      <c r="AU87" s="116"/>
      <c r="AV87" s="116"/>
      <c r="AW87" s="116">
        <v>22</v>
      </c>
      <c r="AX87" s="116"/>
      <c r="AY87" s="116"/>
      <c r="AZ87" s="116"/>
      <c r="BA87" s="116"/>
      <c r="BB87" s="116"/>
      <c r="BC87" s="116"/>
      <c r="BD87" s="116"/>
      <c r="BE87" s="116">
        <v>16.100000000000001</v>
      </c>
      <c r="BF87" s="116"/>
      <c r="BG87" s="116"/>
      <c r="BH87" s="116"/>
      <c r="BI87" s="116"/>
      <c r="BJ87" s="116"/>
      <c r="BK87" s="116">
        <v>15.9</v>
      </c>
      <c r="BL87" s="116"/>
      <c r="BM87" s="116"/>
      <c r="BN87" s="116"/>
      <c r="BO87" s="116"/>
      <c r="BP87" s="116"/>
      <c r="BQ87" s="116"/>
      <c r="BR87" s="116">
        <v>12.9</v>
      </c>
      <c r="BS87" s="116"/>
      <c r="BT87" s="116"/>
      <c r="BU87" s="116">
        <v>14.8</v>
      </c>
      <c r="BV87" s="116"/>
      <c r="BW87" s="116"/>
      <c r="BX87" s="116"/>
      <c r="BY87" s="116"/>
      <c r="BZ87" s="116" t="s">
        <v>142</v>
      </c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8"/>
      <c r="DK87" s="118"/>
      <c r="DL87" s="118"/>
      <c r="DM87" s="118"/>
      <c r="DN87" s="118"/>
      <c r="DO87" s="118"/>
      <c r="DP87" s="118"/>
      <c r="DQ87" s="118"/>
      <c r="DR87" s="118"/>
      <c r="DS87" s="118"/>
      <c r="DT87" s="118"/>
      <c r="DU87" s="118"/>
      <c r="DV87" s="118"/>
      <c r="DW87" s="118"/>
      <c r="DX87" s="118"/>
      <c r="DY87" s="118"/>
      <c r="DZ87" s="118"/>
      <c r="EA87" s="118"/>
      <c r="EB87" s="118"/>
      <c r="EC87" s="118"/>
      <c r="ED87" s="118"/>
      <c r="EE87" s="118"/>
      <c r="EF87" s="118"/>
      <c r="EG87" s="118"/>
      <c r="EH87" s="118"/>
      <c r="EI87" s="118"/>
      <c r="EJ87" s="118"/>
      <c r="EK87" s="118"/>
    </row>
    <row r="88" spans="1:141" s="119" customFormat="1" x14ac:dyDescent="0.2">
      <c r="A88" s="121"/>
      <c r="B88" s="108"/>
      <c r="C88" s="108"/>
      <c r="D88" s="105" t="s">
        <v>13</v>
      </c>
      <c r="E88" s="110"/>
      <c r="F88" s="110"/>
      <c r="G88" s="105"/>
      <c r="H88" s="105"/>
      <c r="I88" s="105"/>
      <c r="J88" s="111"/>
      <c r="K88" s="111"/>
      <c r="L88" s="105"/>
      <c r="M88" s="105"/>
      <c r="N88" s="112"/>
      <c r="O88" s="105"/>
      <c r="P88" s="113"/>
      <c r="Q88" s="113"/>
      <c r="R88" s="113"/>
      <c r="S88" s="113"/>
      <c r="T88" s="114"/>
      <c r="U88" s="113"/>
      <c r="V88" s="113"/>
      <c r="W88" s="113"/>
      <c r="X88" s="115">
        <v>29.2</v>
      </c>
      <c r="Y88" s="113"/>
      <c r="Z88" s="115"/>
      <c r="AA88" s="115"/>
      <c r="AB88" s="115"/>
      <c r="AC88" s="115"/>
      <c r="AD88" s="115"/>
      <c r="AE88" s="114">
        <v>27.6</v>
      </c>
      <c r="AF88" s="114"/>
      <c r="AG88" s="115"/>
      <c r="AH88" s="116"/>
      <c r="AI88" s="117">
        <v>28</v>
      </c>
      <c r="AJ88" s="116"/>
      <c r="AK88" s="116"/>
      <c r="AL88" s="116"/>
      <c r="AM88" s="116"/>
      <c r="AN88" s="116"/>
      <c r="AO88" s="116"/>
      <c r="AP88" s="116"/>
      <c r="AQ88" s="116">
        <v>24</v>
      </c>
      <c r="AR88" s="116"/>
      <c r="AS88" s="116"/>
      <c r="AT88" s="116"/>
      <c r="AU88" s="116"/>
      <c r="AV88" s="116"/>
      <c r="AW88" s="116">
        <v>20.2</v>
      </c>
      <c r="AX88" s="116"/>
      <c r="AY88" s="116"/>
      <c r="AZ88" s="116"/>
      <c r="BA88" s="116"/>
      <c r="BB88" s="116"/>
      <c r="BC88" s="116"/>
      <c r="BD88" s="116"/>
      <c r="BE88" s="116">
        <v>16.5</v>
      </c>
      <c r="BF88" s="116"/>
      <c r="BG88" s="116"/>
      <c r="BH88" s="116"/>
      <c r="BI88" s="116"/>
      <c r="BJ88" s="116"/>
      <c r="BK88" s="116">
        <v>17</v>
      </c>
      <c r="BL88" s="116"/>
      <c r="BM88" s="116"/>
      <c r="BN88" s="116"/>
      <c r="BO88" s="116"/>
      <c r="BP88" s="116"/>
      <c r="BQ88" s="116"/>
      <c r="BR88" s="116">
        <v>13.9</v>
      </c>
      <c r="BS88" s="116"/>
      <c r="BT88" s="116"/>
      <c r="BU88" s="116">
        <v>15.1</v>
      </c>
      <c r="BV88" s="116"/>
      <c r="BW88" s="116"/>
      <c r="BX88" s="116"/>
      <c r="BY88" s="116" t="s">
        <v>142</v>
      </c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8"/>
      <c r="DK88" s="118"/>
      <c r="DL88" s="118"/>
      <c r="DM88" s="118"/>
      <c r="DN88" s="118"/>
      <c r="DO88" s="118"/>
      <c r="DP88" s="118"/>
      <c r="DQ88" s="118"/>
      <c r="DR88" s="118"/>
      <c r="DS88" s="118"/>
      <c r="DT88" s="118"/>
      <c r="DU88" s="118"/>
      <c r="DV88" s="118"/>
      <c r="DW88" s="118"/>
      <c r="DX88" s="118"/>
      <c r="DY88" s="118"/>
      <c r="DZ88" s="118"/>
      <c r="EA88" s="118"/>
      <c r="EB88" s="118"/>
      <c r="EC88" s="118"/>
      <c r="ED88" s="118"/>
      <c r="EE88" s="118"/>
      <c r="EF88" s="118"/>
      <c r="EG88" s="118"/>
      <c r="EH88" s="118"/>
      <c r="EI88" s="118"/>
      <c r="EJ88" s="118"/>
      <c r="EK88" s="118"/>
    </row>
    <row r="89" spans="1:141" s="119" customFormat="1" x14ac:dyDescent="0.2">
      <c r="A89" s="121" t="s">
        <v>42</v>
      </c>
      <c r="B89" s="108">
        <v>508</v>
      </c>
      <c r="C89" s="108" t="s">
        <v>29</v>
      </c>
      <c r="D89" s="105" t="s">
        <v>12</v>
      </c>
      <c r="E89" s="110">
        <v>40813</v>
      </c>
      <c r="F89" s="110">
        <v>40826</v>
      </c>
      <c r="G89" s="105" t="s">
        <v>36</v>
      </c>
      <c r="H89" s="105" t="s">
        <v>36</v>
      </c>
      <c r="I89" s="105" t="s">
        <v>36</v>
      </c>
      <c r="J89" s="111">
        <v>40806</v>
      </c>
      <c r="K89" s="111">
        <v>40815</v>
      </c>
      <c r="L89" s="105" t="s">
        <v>36</v>
      </c>
      <c r="M89" s="105" t="s">
        <v>36</v>
      </c>
      <c r="N89" s="112"/>
      <c r="O89" s="105" t="s">
        <v>36</v>
      </c>
      <c r="P89" s="113"/>
      <c r="Q89" s="113"/>
      <c r="R89" s="113"/>
      <c r="S89" s="113"/>
      <c r="T89" s="114"/>
      <c r="U89" s="113"/>
      <c r="V89" s="113"/>
      <c r="W89" s="113"/>
      <c r="X89" s="115"/>
      <c r="Y89" s="113"/>
      <c r="Z89" s="115"/>
      <c r="AA89" s="115"/>
      <c r="AB89" s="115"/>
      <c r="AC89" s="115"/>
      <c r="AD89" s="115"/>
      <c r="AE89" s="114"/>
      <c r="AF89" s="114"/>
      <c r="AG89" s="115"/>
      <c r="AH89" s="116"/>
      <c r="AI89" s="117">
        <v>31.3</v>
      </c>
      <c r="AJ89" s="116"/>
      <c r="AK89" s="116"/>
      <c r="AL89" s="116"/>
      <c r="AM89" s="116"/>
      <c r="AN89" s="116"/>
      <c r="AO89" s="116"/>
      <c r="AP89" s="116"/>
      <c r="AQ89" s="116">
        <v>31.2</v>
      </c>
      <c r="AR89" s="116"/>
      <c r="AS89" s="116"/>
      <c r="AT89" s="116"/>
      <c r="AU89" s="116"/>
      <c r="AV89" s="116"/>
      <c r="AW89" s="116">
        <v>22.2</v>
      </c>
      <c r="AX89" s="116"/>
      <c r="AY89" s="116"/>
      <c r="AZ89" s="116"/>
      <c r="BA89" s="116"/>
      <c r="BB89" s="116"/>
      <c r="BC89" s="116"/>
      <c r="BD89" s="116"/>
      <c r="BE89" s="116">
        <v>17.899999999999999</v>
      </c>
      <c r="BF89" s="116"/>
      <c r="BG89" s="116"/>
      <c r="BH89" s="116"/>
      <c r="BI89" s="116"/>
      <c r="BJ89" s="116"/>
      <c r="BK89" s="116">
        <v>16.899999999999999</v>
      </c>
      <c r="BL89" s="116"/>
      <c r="BM89" s="116"/>
      <c r="BN89" s="116"/>
      <c r="BO89" s="116"/>
      <c r="BP89" s="116"/>
      <c r="BQ89" s="116"/>
      <c r="BR89" s="116">
        <v>13.1</v>
      </c>
      <c r="BS89" s="116"/>
      <c r="BT89" s="116"/>
      <c r="BU89" s="116">
        <v>16.2</v>
      </c>
      <c r="BV89" s="116"/>
      <c r="BW89" s="116"/>
      <c r="BX89" s="116"/>
      <c r="BY89" s="116"/>
      <c r="BZ89" s="116">
        <v>12.6</v>
      </c>
      <c r="CA89" s="116"/>
      <c r="CB89" s="116"/>
      <c r="CC89" s="116"/>
      <c r="CD89" s="116" t="s">
        <v>142</v>
      </c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8"/>
      <c r="DK89" s="118"/>
      <c r="DL89" s="118"/>
      <c r="DM89" s="118"/>
      <c r="DN89" s="118"/>
      <c r="DO89" s="118"/>
      <c r="DP89" s="118"/>
      <c r="DQ89" s="118"/>
      <c r="DR89" s="118"/>
      <c r="DS89" s="118"/>
      <c r="DT89" s="118"/>
      <c r="DU89" s="118"/>
      <c r="DV89" s="118"/>
      <c r="DW89" s="118"/>
      <c r="DX89" s="118"/>
      <c r="DY89" s="118"/>
      <c r="DZ89" s="118"/>
      <c r="EA89" s="118"/>
      <c r="EB89" s="118"/>
      <c r="EC89" s="118"/>
      <c r="ED89" s="118"/>
      <c r="EE89" s="118"/>
      <c r="EF89" s="118"/>
      <c r="EG89" s="118"/>
      <c r="EH89" s="118"/>
      <c r="EI89" s="118"/>
      <c r="EJ89" s="118"/>
      <c r="EK89" s="118"/>
    </row>
    <row r="90" spans="1:141" s="119" customFormat="1" x14ac:dyDescent="0.2">
      <c r="A90" s="121"/>
      <c r="B90" s="108"/>
      <c r="C90" s="108"/>
      <c r="D90" s="105" t="s">
        <v>13</v>
      </c>
      <c r="E90" s="110"/>
      <c r="F90" s="110"/>
      <c r="G90" s="105"/>
      <c r="H90" s="105"/>
      <c r="I90" s="105"/>
      <c r="J90" s="111"/>
      <c r="K90" s="111"/>
      <c r="L90" s="105"/>
      <c r="M90" s="105"/>
      <c r="N90" s="112"/>
      <c r="O90" s="105"/>
      <c r="P90" s="113"/>
      <c r="Q90" s="113"/>
      <c r="R90" s="113"/>
      <c r="S90" s="113"/>
      <c r="T90" s="114"/>
      <c r="U90" s="113"/>
      <c r="V90" s="113"/>
      <c r="W90" s="113"/>
      <c r="X90" s="115"/>
      <c r="Y90" s="113"/>
      <c r="Z90" s="115"/>
      <c r="AA90" s="115"/>
      <c r="AB90" s="115"/>
      <c r="AC90" s="115"/>
      <c r="AD90" s="115"/>
      <c r="AE90" s="114"/>
      <c r="AF90" s="114"/>
      <c r="AG90" s="115"/>
      <c r="AH90" s="116"/>
      <c r="AI90" s="117">
        <v>31</v>
      </c>
      <c r="AJ90" s="116"/>
      <c r="AK90" s="116"/>
      <c r="AL90" s="116"/>
      <c r="AM90" s="116"/>
      <c r="AN90" s="116"/>
      <c r="AO90" s="116"/>
      <c r="AP90" s="116"/>
      <c r="AQ90" s="116">
        <v>30</v>
      </c>
      <c r="AR90" s="116"/>
      <c r="AS90" s="116"/>
      <c r="AT90" s="116"/>
      <c r="AU90" s="116"/>
      <c r="AV90" s="116"/>
      <c r="AW90" s="116">
        <v>21</v>
      </c>
      <c r="AX90" s="116"/>
      <c r="AY90" s="116"/>
      <c r="AZ90" s="116"/>
      <c r="BA90" s="116"/>
      <c r="BB90" s="116"/>
      <c r="BC90" s="116"/>
      <c r="BD90" s="116"/>
      <c r="BE90" s="116">
        <v>18.5</v>
      </c>
      <c r="BF90" s="116"/>
      <c r="BG90" s="116"/>
      <c r="BH90" s="116"/>
      <c r="BI90" s="116"/>
      <c r="BJ90" s="116"/>
      <c r="BK90" s="116">
        <v>18</v>
      </c>
      <c r="BL90" s="116"/>
      <c r="BM90" s="116"/>
      <c r="BN90" s="116"/>
      <c r="BO90" s="116"/>
      <c r="BP90" s="116"/>
      <c r="BQ90" s="116"/>
      <c r="BR90" s="116">
        <v>15.5</v>
      </c>
      <c r="BS90" s="116"/>
      <c r="BT90" s="116"/>
      <c r="BU90" s="116">
        <v>17.100000000000001</v>
      </c>
      <c r="BV90" s="116"/>
      <c r="BW90" s="116"/>
      <c r="BX90" s="116"/>
      <c r="BY90" s="116"/>
      <c r="BZ90" s="116">
        <v>17.8</v>
      </c>
      <c r="CA90" s="116"/>
      <c r="CB90" s="116"/>
      <c r="CC90" s="116"/>
      <c r="CD90" s="116"/>
      <c r="CE90" s="116"/>
      <c r="CF90" s="116"/>
      <c r="CG90" s="116"/>
      <c r="CH90" s="116"/>
      <c r="CI90" s="116" t="s">
        <v>142</v>
      </c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8"/>
      <c r="DK90" s="118"/>
      <c r="DL90" s="118"/>
      <c r="DM90" s="118"/>
      <c r="DN90" s="118"/>
      <c r="DO90" s="118"/>
      <c r="DP90" s="118"/>
      <c r="DQ90" s="118"/>
      <c r="DR90" s="118"/>
      <c r="DS90" s="118"/>
      <c r="DT90" s="118"/>
      <c r="DU90" s="118"/>
      <c r="DV90" s="118"/>
      <c r="DW90" s="118"/>
      <c r="DX90" s="118"/>
      <c r="DY90" s="118"/>
      <c r="DZ90" s="118"/>
      <c r="EA90" s="118"/>
      <c r="EB90" s="118"/>
      <c r="EC90" s="118"/>
      <c r="ED90" s="118"/>
      <c r="EE90" s="118"/>
      <c r="EF90" s="118"/>
      <c r="EG90" s="118"/>
      <c r="EH90" s="118"/>
      <c r="EI90" s="118"/>
      <c r="EJ90" s="118"/>
      <c r="EK90" s="118"/>
    </row>
    <row r="91" spans="1:141" s="119" customFormat="1" x14ac:dyDescent="0.2">
      <c r="A91" s="121" t="s">
        <v>43</v>
      </c>
      <c r="B91" s="108">
        <v>510</v>
      </c>
      <c r="C91" s="108" t="s">
        <v>38</v>
      </c>
      <c r="D91" s="105" t="s">
        <v>12</v>
      </c>
      <c r="E91" s="110">
        <v>40820</v>
      </c>
      <c r="F91" s="110">
        <v>40861</v>
      </c>
      <c r="G91" s="105" t="s">
        <v>36</v>
      </c>
      <c r="H91" s="105" t="s">
        <v>36</v>
      </c>
      <c r="I91" s="105" t="s">
        <v>36</v>
      </c>
      <c r="J91" s="111">
        <v>40814</v>
      </c>
      <c r="K91" s="111">
        <v>40814</v>
      </c>
      <c r="L91" s="105" t="s">
        <v>35</v>
      </c>
      <c r="M91" s="105" t="s">
        <v>35</v>
      </c>
      <c r="N91" s="112"/>
      <c r="O91" s="105" t="s">
        <v>36</v>
      </c>
      <c r="P91" s="113"/>
      <c r="Q91" s="113"/>
      <c r="R91" s="113"/>
      <c r="S91" s="113"/>
      <c r="T91" s="114"/>
      <c r="U91" s="113"/>
      <c r="V91" s="113"/>
      <c r="W91" s="113"/>
      <c r="X91" s="115"/>
      <c r="Y91" s="113"/>
      <c r="Z91" s="115"/>
      <c r="AA91" s="115"/>
      <c r="AB91" s="115"/>
      <c r="AC91" s="115"/>
      <c r="AD91" s="115"/>
      <c r="AE91" s="114">
        <v>31.5</v>
      </c>
      <c r="AF91" s="114"/>
      <c r="AG91" s="115"/>
      <c r="AH91" s="116"/>
      <c r="AI91" s="117"/>
      <c r="AJ91" s="116">
        <v>36</v>
      </c>
      <c r="AK91" s="116"/>
      <c r="AL91" s="116"/>
      <c r="AM91" s="116"/>
      <c r="AN91" s="116"/>
      <c r="AO91" s="116"/>
      <c r="AP91" s="116"/>
      <c r="AQ91" s="116"/>
      <c r="AR91" s="116">
        <v>30.2</v>
      </c>
      <c r="AS91" s="116"/>
      <c r="AT91" s="116"/>
      <c r="AU91" s="116"/>
      <c r="AV91" s="116"/>
      <c r="AW91" s="116"/>
      <c r="AX91" s="116">
        <v>25.5</v>
      </c>
      <c r="AY91" s="116"/>
      <c r="AZ91" s="116"/>
      <c r="BA91" s="116"/>
      <c r="BB91" s="116"/>
      <c r="BC91" s="116"/>
      <c r="BD91" s="116">
        <v>24</v>
      </c>
      <c r="BE91" s="116"/>
      <c r="BF91" s="116"/>
      <c r="BG91" s="116"/>
      <c r="BH91" s="116"/>
      <c r="BI91" s="116"/>
      <c r="BJ91" s="116"/>
      <c r="BK91" s="116">
        <v>16.600000000000001</v>
      </c>
      <c r="BL91" s="116"/>
      <c r="BM91" s="116"/>
      <c r="BN91" s="116"/>
      <c r="BO91" s="116"/>
      <c r="BP91" s="116"/>
      <c r="BQ91" s="116"/>
      <c r="BR91" s="116">
        <v>15.5</v>
      </c>
      <c r="BS91" s="116"/>
      <c r="BT91" s="116"/>
      <c r="BU91" s="116" t="s">
        <v>142</v>
      </c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8"/>
      <c r="DK91" s="118"/>
      <c r="DL91" s="118"/>
      <c r="DM91" s="118"/>
      <c r="DN91" s="118"/>
      <c r="DO91" s="118"/>
      <c r="DP91" s="118"/>
      <c r="DQ91" s="118"/>
      <c r="DR91" s="118"/>
      <c r="DS91" s="118"/>
      <c r="DT91" s="118"/>
      <c r="DU91" s="118"/>
      <c r="DV91" s="118"/>
      <c r="DW91" s="118"/>
      <c r="DX91" s="118"/>
      <c r="DY91" s="118"/>
      <c r="DZ91" s="118"/>
      <c r="EA91" s="118"/>
      <c r="EB91" s="118"/>
      <c r="EC91" s="118"/>
      <c r="ED91" s="118"/>
      <c r="EE91" s="118"/>
      <c r="EF91" s="118"/>
      <c r="EG91" s="118"/>
      <c r="EH91" s="118"/>
      <c r="EI91" s="118"/>
      <c r="EJ91" s="118"/>
      <c r="EK91" s="118"/>
    </row>
    <row r="92" spans="1:141" s="119" customFormat="1" x14ac:dyDescent="0.2">
      <c r="A92" s="121"/>
      <c r="B92" s="108"/>
      <c r="C92" s="108"/>
      <c r="D92" s="105" t="s">
        <v>13</v>
      </c>
      <c r="E92" s="110"/>
      <c r="F92" s="110"/>
      <c r="G92" s="105"/>
      <c r="H92" s="105"/>
      <c r="I92" s="105"/>
      <c r="J92" s="111"/>
      <c r="K92" s="111"/>
      <c r="L92" s="105"/>
      <c r="M92" s="105"/>
      <c r="N92" s="112"/>
      <c r="O92" s="105"/>
      <c r="P92" s="113"/>
      <c r="Q92" s="113"/>
      <c r="R92" s="113"/>
      <c r="S92" s="113"/>
      <c r="T92" s="114"/>
      <c r="U92" s="113"/>
      <c r="V92" s="113"/>
      <c r="W92" s="113"/>
      <c r="X92" s="115"/>
      <c r="Y92" s="113"/>
      <c r="Z92" s="115"/>
      <c r="AA92" s="115"/>
      <c r="AB92" s="115"/>
      <c r="AC92" s="115"/>
      <c r="AD92" s="115"/>
      <c r="AE92" s="114">
        <v>31.6</v>
      </c>
      <c r="AF92" s="114"/>
      <c r="AG92" s="115"/>
      <c r="AH92" s="116"/>
      <c r="AI92" s="117"/>
      <c r="AJ92" s="116">
        <v>33.9</v>
      </c>
      <c r="AK92" s="116"/>
      <c r="AL92" s="116"/>
      <c r="AM92" s="116"/>
      <c r="AN92" s="116"/>
      <c r="AO92" s="116"/>
      <c r="AP92" s="116"/>
      <c r="AQ92" s="116"/>
      <c r="AR92" s="116">
        <v>28.2</v>
      </c>
      <c r="AS92" s="116"/>
      <c r="AT92" s="116"/>
      <c r="AU92" s="116"/>
      <c r="AV92" s="116"/>
      <c r="AW92" s="116"/>
      <c r="AX92" s="116">
        <v>24</v>
      </c>
      <c r="AY92" s="116"/>
      <c r="AZ92" s="116"/>
      <c r="BA92" s="116"/>
      <c r="BB92" s="116"/>
      <c r="BC92" s="116"/>
      <c r="BD92" s="116">
        <v>22</v>
      </c>
      <c r="BE92" s="116"/>
      <c r="BF92" s="116"/>
      <c r="BG92" s="116"/>
      <c r="BH92" s="116"/>
      <c r="BI92" s="116"/>
      <c r="BJ92" s="116"/>
      <c r="BK92" s="116">
        <v>18</v>
      </c>
      <c r="BL92" s="116"/>
      <c r="BM92" s="116"/>
      <c r="BN92" s="116"/>
      <c r="BO92" s="116"/>
      <c r="BP92" s="116"/>
      <c r="BQ92" s="116"/>
      <c r="BR92" s="116">
        <v>16.399999999999999</v>
      </c>
      <c r="BS92" s="116"/>
      <c r="BT92" s="116" t="s">
        <v>142</v>
      </c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8"/>
      <c r="DK92" s="118"/>
      <c r="DL92" s="118"/>
      <c r="DM92" s="118"/>
      <c r="DN92" s="118"/>
      <c r="DO92" s="118"/>
      <c r="DP92" s="118"/>
      <c r="DQ92" s="118"/>
      <c r="DR92" s="118"/>
      <c r="DS92" s="118"/>
      <c r="DT92" s="118"/>
      <c r="DU92" s="118"/>
      <c r="DV92" s="118"/>
      <c r="DW92" s="118"/>
      <c r="DX92" s="118"/>
      <c r="DY92" s="118"/>
      <c r="DZ92" s="118"/>
      <c r="EA92" s="118"/>
      <c r="EB92" s="118"/>
      <c r="EC92" s="118"/>
      <c r="ED92" s="118"/>
      <c r="EE92" s="118"/>
      <c r="EF92" s="118"/>
      <c r="EG92" s="118"/>
      <c r="EH92" s="118"/>
      <c r="EI92" s="118"/>
      <c r="EJ92" s="118"/>
      <c r="EK92" s="118"/>
    </row>
    <row r="93" spans="1:141" s="119" customFormat="1" x14ac:dyDescent="0.2">
      <c r="A93" s="121" t="s">
        <v>43</v>
      </c>
      <c r="B93" s="108">
        <v>511</v>
      </c>
      <c r="C93" s="108" t="s">
        <v>48</v>
      </c>
      <c r="D93" s="105" t="s">
        <v>12</v>
      </c>
      <c r="E93" s="110">
        <v>40820</v>
      </c>
      <c r="F93" s="110">
        <v>40861</v>
      </c>
      <c r="G93" s="105" t="s">
        <v>36</v>
      </c>
      <c r="H93" s="105" t="s">
        <v>36</v>
      </c>
      <c r="I93" s="105" t="s">
        <v>36</v>
      </c>
      <c r="J93" s="111">
        <v>40814</v>
      </c>
      <c r="K93" s="111">
        <v>40814</v>
      </c>
      <c r="L93" s="105" t="s">
        <v>35</v>
      </c>
      <c r="M93" s="105" t="s">
        <v>35</v>
      </c>
      <c r="N93" s="112"/>
      <c r="O93" s="105" t="s">
        <v>36</v>
      </c>
      <c r="P93" s="113"/>
      <c r="Q93" s="113"/>
      <c r="R93" s="113"/>
      <c r="S93" s="113"/>
      <c r="T93" s="114"/>
      <c r="U93" s="113"/>
      <c r="V93" s="113"/>
      <c r="W93" s="113"/>
      <c r="X93" s="115"/>
      <c r="Y93" s="113"/>
      <c r="Z93" s="115"/>
      <c r="AA93" s="115"/>
      <c r="AB93" s="115"/>
      <c r="AC93" s="115"/>
      <c r="AD93" s="115"/>
      <c r="AE93" s="114">
        <v>34</v>
      </c>
      <c r="AF93" s="114"/>
      <c r="AG93" s="115"/>
      <c r="AH93" s="116"/>
      <c r="AI93" s="117"/>
      <c r="AJ93" s="116">
        <v>35.200000000000003</v>
      </c>
      <c r="AK93" s="116"/>
      <c r="AL93" s="116"/>
      <c r="AM93" s="116"/>
      <c r="AN93" s="116"/>
      <c r="AO93" s="116"/>
      <c r="AP93" s="116"/>
      <c r="AQ93" s="116"/>
      <c r="AR93" s="116">
        <v>29.2</v>
      </c>
      <c r="AS93" s="116"/>
      <c r="AT93" s="116"/>
      <c r="AU93" s="116"/>
      <c r="AV93" s="116"/>
      <c r="AW93" s="116"/>
      <c r="AX93" s="116">
        <v>26.5</v>
      </c>
      <c r="AY93" s="116"/>
      <c r="AZ93" s="116"/>
      <c r="BA93" s="116"/>
      <c r="BB93" s="116"/>
      <c r="BC93" s="116"/>
      <c r="BD93" s="116">
        <v>25.1</v>
      </c>
      <c r="BE93" s="116"/>
      <c r="BF93" s="116"/>
      <c r="BG93" s="116"/>
      <c r="BH93" s="116"/>
      <c r="BI93" s="116"/>
      <c r="BJ93" s="116"/>
      <c r="BK93" s="116">
        <v>17.600000000000001</v>
      </c>
      <c r="BL93" s="116"/>
      <c r="BM93" s="116"/>
      <c r="BN93" s="116"/>
      <c r="BO93" s="116"/>
      <c r="BP93" s="116"/>
      <c r="BQ93" s="116"/>
      <c r="BR93" s="116">
        <v>16.399999999999999</v>
      </c>
      <c r="BS93" s="116"/>
      <c r="BT93" s="116"/>
      <c r="BU93" s="116"/>
      <c r="BV93" s="116">
        <v>14.5</v>
      </c>
      <c r="BW93" s="116"/>
      <c r="BX93" s="116"/>
      <c r="BY93" s="116"/>
      <c r="BZ93" s="116" t="s">
        <v>142</v>
      </c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8"/>
      <c r="DK93" s="118"/>
      <c r="DL93" s="118"/>
      <c r="DM93" s="118"/>
      <c r="DN93" s="118"/>
      <c r="DO93" s="118"/>
      <c r="DP93" s="118"/>
      <c r="DQ93" s="118"/>
      <c r="DR93" s="118"/>
      <c r="DS93" s="118"/>
      <c r="DT93" s="118"/>
      <c r="DU93" s="118"/>
      <c r="DV93" s="118"/>
      <c r="DW93" s="118"/>
      <c r="DX93" s="118"/>
      <c r="DY93" s="118"/>
      <c r="DZ93" s="118"/>
      <c r="EA93" s="118"/>
      <c r="EB93" s="118"/>
      <c r="EC93" s="118"/>
      <c r="ED93" s="118"/>
      <c r="EE93" s="118"/>
      <c r="EF93" s="118"/>
      <c r="EG93" s="118"/>
      <c r="EH93" s="118"/>
      <c r="EI93" s="118"/>
      <c r="EJ93" s="118"/>
      <c r="EK93" s="118"/>
    </row>
    <row r="94" spans="1:141" s="119" customFormat="1" x14ac:dyDescent="0.2">
      <c r="A94" s="121"/>
      <c r="B94" s="108"/>
      <c r="C94" s="108"/>
      <c r="D94" s="105" t="s">
        <v>13</v>
      </c>
      <c r="E94" s="110"/>
      <c r="F94" s="110"/>
      <c r="G94" s="105"/>
      <c r="H94" s="105"/>
      <c r="I94" s="105"/>
      <c r="J94" s="111"/>
      <c r="K94" s="111"/>
      <c r="L94" s="105"/>
      <c r="M94" s="105"/>
      <c r="N94" s="112"/>
      <c r="O94" s="105"/>
      <c r="P94" s="113"/>
      <c r="Q94" s="113"/>
      <c r="R94" s="113"/>
      <c r="S94" s="113"/>
      <c r="T94" s="114"/>
      <c r="U94" s="113"/>
      <c r="V94" s="113"/>
      <c r="W94" s="113"/>
      <c r="X94" s="115"/>
      <c r="Y94" s="113"/>
      <c r="Z94" s="115"/>
      <c r="AA94" s="115"/>
      <c r="AB94" s="115"/>
      <c r="AC94" s="115"/>
      <c r="AD94" s="115"/>
      <c r="AE94" s="114">
        <v>33.9</v>
      </c>
      <c r="AF94" s="114"/>
      <c r="AG94" s="115"/>
      <c r="AH94" s="116"/>
      <c r="AI94" s="117"/>
      <c r="AJ94" s="116">
        <v>37</v>
      </c>
      <c r="AK94" s="116"/>
      <c r="AL94" s="116"/>
      <c r="AM94" s="116"/>
      <c r="AN94" s="116"/>
      <c r="AO94" s="116"/>
      <c r="AP94" s="116"/>
      <c r="AQ94" s="116"/>
      <c r="AR94" s="116">
        <v>28.2</v>
      </c>
      <c r="AS94" s="116"/>
      <c r="AT94" s="116"/>
      <c r="AU94" s="116"/>
      <c r="AV94" s="116"/>
      <c r="AW94" s="116"/>
      <c r="AX94" s="116">
        <v>25.5</v>
      </c>
      <c r="AY94" s="116"/>
      <c r="AZ94" s="116"/>
      <c r="BA94" s="116"/>
      <c r="BB94" s="116"/>
      <c r="BC94" s="116"/>
      <c r="BD94" s="116">
        <v>22</v>
      </c>
      <c r="BE94" s="116"/>
      <c r="BF94" s="116"/>
      <c r="BG94" s="116"/>
      <c r="BH94" s="116"/>
      <c r="BI94" s="116"/>
      <c r="BJ94" s="116"/>
      <c r="BK94" s="116">
        <v>18.3</v>
      </c>
      <c r="BL94" s="116"/>
      <c r="BM94" s="116"/>
      <c r="BN94" s="116"/>
      <c r="BO94" s="116"/>
      <c r="BP94" s="116"/>
      <c r="BQ94" s="116"/>
      <c r="BR94" s="116">
        <v>16.399999999999999</v>
      </c>
      <c r="BS94" s="116"/>
      <c r="BT94" s="116"/>
      <c r="BU94" s="116"/>
      <c r="BV94" s="116">
        <v>14.9</v>
      </c>
      <c r="BW94" s="116" t="s">
        <v>142</v>
      </c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  <c r="CY94" s="116"/>
      <c r="CZ94" s="116"/>
      <c r="DA94" s="116"/>
      <c r="DB94" s="116"/>
      <c r="DC94" s="116"/>
      <c r="DD94" s="116"/>
      <c r="DE94" s="116"/>
      <c r="DF94" s="116"/>
      <c r="DG94" s="116"/>
      <c r="DH94" s="116"/>
      <c r="DI94" s="116"/>
      <c r="DJ94" s="118"/>
      <c r="DK94" s="118"/>
      <c r="DL94" s="118"/>
      <c r="DM94" s="118"/>
      <c r="DN94" s="118"/>
      <c r="DO94" s="118"/>
      <c r="DP94" s="118"/>
      <c r="DQ94" s="118"/>
      <c r="DR94" s="118"/>
      <c r="DS94" s="118"/>
      <c r="DT94" s="118"/>
      <c r="DU94" s="118"/>
      <c r="DV94" s="118"/>
      <c r="DW94" s="118"/>
      <c r="DX94" s="118"/>
      <c r="DY94" s="118"/>
      <c r="DZ94" s="118"/>
      <c r="EA94" s="118"/>
      <c r="EB94" s="118"/>
      <c r="EC94" s="118"/>
      <c r="ED94" s="118"/>
      <c r="EE94" s="118"/>
      <c r="EF94" s="118"/>
      <c r="EG94" s="118"/>
      <c r="EH94" s="118"/>
      <c r="EI94" s="118"/>
      <c r="EJ94" s="118"/>
      <c r="EK94" s="118"/>
    </row>
    <row r="95" spans="1:141" s="119" customFormat="1" x14ac:dyDescent="0.2">
      <c r="A95" s="121" t="s">
        <v>44</v>
      </c>
      <c r="B95" s="108">
        <v>512</v>
      </c>
      <c r="C95" s="108" t="s">
        <v>49</v>
      </c>
      <c r="D95" s="105" t="s">
        <v>12</v>
      </c>
      <c r="E95" s="110">
        <v>40813</v>
      </c>
      <c r="F95" s="110">
        <v>40826</v>
      </c>
      <c r="G95" s="105" t="s">
        <v>35</v>
      </c>
      <c r="H95" s="105" t="s">
        <v>36</v>
      </c>
      <c r="I95" s="105" t="s">
        <v>126</v>
      </c>
      <c r="J95" s="111">
        <v>40788</v>
      </c>
      <c r="K95" s="111">
        <v>40816</v>
      </c>
      <c r="L95" s="105" t="s">
        <v>35</v>
      </c>
      <c r="M95" s="105" t="s">
        <v>35</v>
      </c>
      <c r="N95" s="112"/>
      <c r="O95" s="105" t="s">
        <v>36</v>
      </c>
      <c r="P95" s="113"/>
      <c r="Q95" s="113"/>
      <c r="R95" s="113"/>
      <c r="S95" s="113"/>
      <c r="T95" s="114"/>
      <c r="U95" s="113"/>
      <c r="V95" s="113"/>
      <c r="W95" s="113"/>
      <c r="X95" s="115">
        <v>38</v>
      </c>
      <c r="Y95" s="113"/>
      <c r="Z95" s="115"/>
      <c r="AA95" s="115"/>
      <c r="AB95" s="115"/>
      <c r="AC95" s="115">
        <v>32</v>
      </c>
      <c r="AD95" s="115"/>
      <c r="AE95" s="114">
        <v>28</v>
      </c>
      <c r="AF95" s="114"/>
      <c r="AG95" s="115"/>
      <c r="AH95" s="116"/>
      <c r="AI95" s="117">
        <v>27.7</v>
      </c>
      <c r="AJ95" s="116"/>
      <c r="AK95" s="116"/>
      <c r="AL95" s="116"/>
      <c r="AM95" s="116"/>
      <c r="AN95" s="116"/>
      <c r="AO95" s="116"/>
      <c r="AP95" s="116">
        <v>22.5</v>
      </c>
      <c r="AQ95" s="116"/>
      <c r="AR95" s="116"/>
      <c r="AS95" s="116"/>
      <c r="AT95" s="116"/>
      <c r="AU95" s="116"/>
      <c r="AV95" s="116"/>
      <c r="AW95" s="116">
        <v>18.2</v>
      </c>
      <c r="AX95" s="116"/>
      <c r="AY95" s="116"/>
      <c r="AZ95" s="116"/>
      <c r="BA95" s="116" t="s">
        <v>142</v>
      </c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  <c r="CX95" s="116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8"/>
      <c r="DK95" s="118"/>
      <c r="DL95" s="118"/>
      <c r="DM95" s="118"/>
      <c r="DN95" s="118"/>
      <c r="DO95" s="118"/>
      <c r="DP95" s="118"/>
      <c r="DQ95" s="118"/>
      <c r="DR95" s="118"/>
      <c r="DS95" s="118"/>
      <c r="DT95" s="118"/>
      <c r="DU95" s="118"/>
      <c r="DV95" s="118"/>
      <c r="DW95" s="118"/>
      <c r="DX95" s="118"/>
      <c r="DY95" s="118"/>
      <c r="DZ95" s="118"/>
      <c r="EA95" s="118"/>
      <c r="EB95" s="118"/>
      <c r="EC95" s="118"/>
      <c r="ED95" s="118"/>
      <c r="EE95" s="118"/>
      <c r="EF95" s="118"/>
      <c r="EG95" s="118"/>
      <c r="EH95" s="118"/>
      <c r="EI95" s="118"/>
      <c r="EJ95" s="118"/>
      <c r="EK95" s="118"/>
    </row>
    <row r="96" spans="1:141" s="119" customFormat="1" x14ac:dyDescent="0.2">
      <c r="A96" s="121"/>
      <c r="B96" s="108"/>
      <c r="C96" s="108"/>
      <c r="D96" s="105" t="s">
        <v>13</v>
      </c>
      <c r="E96" s="110"/>
      <c r="F96" s="110"/>
      <c r="G96" s="105"/>
      <c r="H96" s="105"/>
      <c r="I96" s="105"/>
      <c r="J96" s="111"/>
      <c r="K96" s="111"/>
      <c r="L96" s="105"/>
      <c r="M96" s="105"/>
      <c r="N96" s="112"/>
      <c r="O96" s="105"/>
      <c r="P96" s="113"/>
      <c r="Q96" s="113"/>
      <c r="R96" s="113"/>
      <c r="S96" s="113"/>
      <c r="T96" s="114"/>
      <c r="U96" s="113"/>
      <c r="V96" s="113"/>
      <c r="W96" s="113"/>
      <c r="X96" s="115">
        <v>30.2</v>
      </c>
      <c r="Y96" s="113"/>
      <c r="Z96" s="115"/>
      <c r="AA96" s="115"/>
      <c r="AB96" s="115"/>
      <c r="AC96" s="115">
        <v>28.6</v>
      </c>
      <c r="AD96" s="115"/>
      <c r="AE96" s="114">
        <v>27.9</v>
      </c>
      <c r="AF96" s="114"/>
      <c r="AG96" s="115"/>
      <c r="AH96" s="116"/>
      <c r="AI96" s="117">
        <v>28.1</v>
      </c>
      <c r="AJ96" s="116"/>
      <c r="AK96" s="116"/>
      <c r="AL96" s="116"/>
      <c r="AM96" s="116"/>
      <c r="AN96" s="116"/>
      <c r="AO96" s="116"/>
      <c r="AP96" s="116">
        <v>21.9</v>
      </c>
      <c r="AQ96" s="116"/>
      <c r="AR96" s="116"/>
      <c r="AS96" s="116"/>
      <c r="AT96" s="116"/>
      <c r="AU96" s="116"/>
      <c r="AV96" s="116"/>
      <c r="AW96" s="116">
        <v>19.5</v>
      </c>
      <c r="AX96" s="116"/>
      <c r="AY96" s="116"/>
      <c r="AZ96" s="116" t="s">
        <v>142</v>
      </c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16"/>
      <c r="CX96" s="116"/>
      <c r="CY96" s="116"/>
      <c r="CZ96" s="116"/>
      <c r="DA96" s="116"/>
      <c r="DB96" s="116"/>
      <c r="DC96" s="116"/>
      <c r="DD96" s="116"/>
      <c r="DE96" s="116"/>
      <c r="DF96" s="116"/>
      <c r="DG96" s="116"/>
      <c r="DH96" s="116"/>
      <c r="DI96" s="116"/>
      <c r="DJ96" s="118"/>
      <c r="DK96" s="118"/>
      <c r="DL96" s="118"/>
      <c r="DM96" s="118"/>
      <c r="DN96" s="118"/>
      <c r="DO96" s="118"/>
      <c r="DP96" s="118"/>
      <c r="DQ96" s="118"/>
      <c r="DR96" s="118"/>
      <c r="DS96" s="118"/>
      <c r="DT96" s="118"/>
      <c r="DU96" s="118"/>
      <c r="DV96" s="118"/>
      <c r="DW96" s="118"/>
      <c r="DX96" s="118"/>
      <c r="DY96" s="118"/>
      <c r="DZ96" s="118"/>
      <c r="EA96" s="118"/>
      <c r="EB96" s="118"/>
      <c r="EC96" s="118"/>
      <c r="ED96" s="118"/>
      <c r="EE96" s="118"/>
      <c r="EF96" s="118"/>
      <c r="EG96" s="118"/>
      <c r="EH96" s="118"/>
      <c r="EI96" s="118"/>
      <c r="EJ96" s="118"/>
      <c r="EK96" s="118"/>
    </row>
    <row r="97" spans="1:141" s="119" customFormat="1" x14ac:dyDescent="0.2">
      <c r="A97" s="121" t="s">
        <v>32</v>
      </c>
      <c r="B97" s="108">
        <v>513</v>
      </c>
      <c r="C97" s="108" t="s">
        <v>50</v>
      </c>
      <c r="D97" s="105" t="s">
        <v>12</v>
      </c>
      <c r="E97" s="110">
        <v>40813</v>
      </c>
      <c r="F97" s="110">
        <v>40826</v>
      </c>
      <c r="G97" s="105" t="s">
        <v>35</v>
      </c>
      <c r="H97" s="105" t="s">
        <v>36</v>
      </c>
      <c r="I97" s="105" t="s">
        <v>126</v>
      </c>
      <c r="J97" s="111">
        <v>40803</v>
      </c>
      <c r="K97" s="111">
        <v>40820</v>
      </c>
      <c r="L97" s="105" t="s">
        <v>35</v>
      </c>
      <c r="M97" s="105" t="s">
        <v>35</v>
      </c>
      <c r="N97" s="112"/>
      <c r="O97" s="105" t="s">
        <v>36</v>
      </c>
      <c r="P97" s="113"/>
      <c r="Q97" s="113"/>
      <c r="R97" s="113"/>
      <c r="S97" s="113"/>
      <c r="T97" s="114"/>
      <c r="U97" s="113"/>
      <c r="V97" s="113"/>
      <c r="W97" s="113"/>
      <c r="X97" s="115">
        <v>35.4</v>
      </c>
      <c r="Y97" s="113"/>
      <c r="Z97" s="115"/>
      <c r="AA97" s="115"/>
      <c r="AB97" s="115"/>
      <c r="AC97" s="115"/>
      <c r="AD97" s="115"/>
      <c r="AE97" s="114">
        <v>33.9</v>
      </c>
      <c r="AF97" s="114"/>
      <c r="AG97" s="115"/>
      <c r="AH97" s="116"/>
      <c r="AI97" s="117"/>
      <c r="AJ97" s="116"/>
      <c r="AK97" s="116"/>
      <c r="AL97" s="116"/>
      <c r="AM97" s="116"/>
      <c r="AN97" s="116"/>
      <c r="AO97" s="116"/>
      <c r="AP97" s="116">
        <v>29.2</v>
      </c>
      <c r="AQ97" s="116"/>
      <c r="AR97" s="116"/>
      <c r="AS97" s="116"/>
      <c r="AT97" s="116"/>
      <c r="AU97" s="116"/>
      <c r="AV97" s="116"/>
      <c r="AW97" s="116">
        <v>22.2</v>
      </c>
      <c r="AX97" s="116"/>
      <c r="AY97" s="116"/>
      <c r="AZ97" s="116"/>
      <c r="BA97" s="116"/>
      <c r="BB97" s="116"/>
      <c r="BC97" s="116"/>
      <c r="BD97" s="116"/>
      <c r="BE97" s="116">
        <v>15.5</v>
      </c>
      <c r="BF97" s="116"/>
      <c r="BG97" s="116">
        <v>16.5</v>
      </c>
      <c r="BH97" s="116"/>
      <c r="BI97" s="116"/>
      <c r="BJ97" s="116"/>
      <c r="BK97" s="116"/>
      <c r="BL97" s="116"/>
      <c r="BM97" s="116" t="s">
        <v>142</v>
      </c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16"/>
      <c r="CX97" s="116"/>
      <c r="CY97" s="116"/>
      <c r="CZ97" s="116"/>
      <c r="DA97" s="116"/>
      <c r="DB97" s="116"/>
      <c r="DC97" s="116"/>
      <c r="DD97" s="116"/>
      <c r="DE97" s="116"/>
      <c r="DF97" s="116"/>
      <c r="DG97" s="116"/>
      <c r="DH97" s="116"/>
      <c r="DI97" s="116"/>
      <c r="DJ97" s="118"/>
      <c r="DK97" s="118"/>
      <c r="DL97" s="118"/>
      <c r="DM97" s="118"/>
      <c r="DN97" s="118"/>
      <c r="DO97" s="118"/>
      <c r="DP97" s="118"/>
      <c r="DQ97" s="118"/>
      <c r="DR97" s="118"/>
      <c r="DS97" s="118"/>
      <c r="DT97" s="118"/>
      <c r="DU97" s="118"/>
      <c r="DV97" s="118"/>
      <c r="DW97" s="118"/>
      <c r="DX97" s="118"/>
      <c r="DY97" s="118"/>
      <c r="DZ97" s="118"/>
      <c r="EA97" s="118"/>
      <c r="EB97" s="118"/>
      <c r="EC97" s="118"/>
      <c r="ED97" s="118"/>
      <c r="EE97" s="118"/>
      <c r="EF97" s="118"/>
      <c r="EG97" s="118"/>
      <c r="EH97" s="118"/>
      <c r="EI97" s="118"/>
      <c r="EJ97" s="118"/>
      <c r="EK97" s="118"/>
    </row>
    <row r="98" spans="1:141" s="119" customFormat="1" x14ac:dyDescent="0.2">
      <c r="A98" s="121"/>
      <c r="B98" s="108"/>
      <c r="C98" s="108"/>
      <c r="D98" s="105" t="s">
        <v>13</v>
      </c>
      <c r="E98" s="110"/>
      <c r="F98" s="110"/>
      <c r="G98" s="105"/>
      <c r="H98" s="105"/>
      <c r="I98" s="105"/>
      <c r="J98" s="111"/>
      <c r="K98" s="111"/>
      <c r="L98" s="105"/>
      <c r="M98" s="105"/>
      <c r="N98" s="112"/>
      <c r="O98" s="105"/>
      <c r="P98" s="113"/>
      <c r="Q98" s="113"/>
      <c r="R98" s="113"/>
      <c r="S98" s="113"/>
      <c r="T98" s="114"/>
      <c r="U98" s="113"/>
      <c r="V98" s="113"/>
      <c r="W98" s="113"/>
      <c r="X98" s="115">
        <v>32.700000000000003</v>
      </c>
      <c r="Y98" s="113"/>
      <c r="Z98" s="115"/>
      <c r="AA98" s="115"/>
      <c r="AB98" s="115"/>
      <c r="AC98" s="115"/>
      <c r="AD98" s="115"/>
      <c r="AE98" s="114">
        <v>31.9</v>
      </c>
      <c r="AF98" s="114"/>
      <c r="AG98" s="115"/>
      <c r="AH98" s="116"/>
      <c r="AI98" s="117"/>
      <c r="AJ98" s="116"/>
      <c r="AK98" s="116"/>
      <c r="AL98" s="116"/>
      <c r="AM98" s="116"/>
      <c r="AN98" s="116"/>
      <c r="AO98" s="116"/>
      <c r="AP98" s="116">
        <v>25.3</v>
      </c>
      <c r="AQ98" s="116"/>
      <c r="AR98" s="116"/>
      <c r="AS98" s="116"/>
      <c r="AT98" s="116"/>
      <c r="AU98" s="116"/>
      <c r="AV98" s="116"/>
      <c r="AW98" s="116">
        <v>20</v>
      </c>
      <c r="AX98" s="116"/>
      <c r="AY98" s="116"/>
      <c r="AZ98" s="116"/>
      <c r="BA98" s="116"/>
      <c r="BB98" s="116"/>
      <c r="BC98" s="116"/>
      <c r="BD98" s="116"/>
      <c r="BE98" s="116">
        <v>12.6</v>
      </c>
      <c r="BF98" s="116"/>
      <c r="BG98" s="116">
        <v>17</v>
      </c>
      <c r="BH98" s="116"/>
      <c r="BI98" s="116"/>
      <c r="BJ98" s="116"/>
      <c r="BK98" s="116" t="s">
        <v>142</v>
      </c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  <c r="CX98" s="116"/>
      <c r="CY98" s="116"/>
      <c r="CZ98" s="116"/>
      <c r="DA98" s="116"/>
      <c r="DB98" s="116"/>
      <c r="DC98" s="116"/>
      <c r="DD98" s="116"/>
      <c r="DE98" s="116"/>
      <c r="DF98" s="116"/>
      <c r="DG98" s="116"/>
      <c r="DH98" s="116"/>
      <c r="DI98" s="116"/>
      <c r="DJ98" s="118"/>
      <c r="DK98" s="118"/>
      <c r="DL98" s="118"/>
      <c r="DM98" s="118"/>
      <c r="DN98" s="118"/>
      <c r="DO98" s="118"/>
      <c r="DP98" s="118"/>
      <c r="DQ98" s="118"/>
      <c r="DR98" s="118"/>
      <c r="DS98" s="118"/>
      <c r="DT98" s="118"/>
      <c r="DU98" s="118"/>
      <c r="DV98" s="118"/>
      <c r="DW98" s="118"/>
      <c r="DX98" s="118"/>
      <c r="DY98" s="118"/>
      <c r="DZ98" s="118"/>
      <c r="EA98" s="118"/>
      <c r="EB98" s="118"/>
      <c r="EC98" s="118"/>
      <c r="ED98" s="118"/>
      <c r="EE98" s="118"/>
      <c r="EF98" s="118"/>
      <c r="EG98" s="118"/>
      <c r="EH98" s="118"/>
      <c r="EI98" s="118"/>
      <c r="EJ98" s="118"/>
      <c r="EK98" s="118"/>
    </row>
    <row r="99" spans="1:141" s="119" customFormat="1" x14ac:dyDescent="0.2">
      <c r="A99" s="121" t="s">
        <v>30</v>
      </c>
      <c r="B99" s="108">
        <v>514</v>
      </c>
      <c r="C99" s="108" t="s">
        <v>50</v>
      </c>
      <c r="D99" s="105" t="s">
        <v>12</v>
      </c>
      <c r="E99" s="110">
        <v>40820</v>
      </c>
      <c r="F99" s="110">
        <v>40858</v>
      </c>
      <c r="G99" s="105" t="s">
        <v>35</v>
      </c>
      <c r="H99" s="105" t="s">
        <v>36</v>
      </c>
      <c r="I99" s="105" t="s">
        <v>126</v>
      </c>
      <c r="J99" s="111">
        <v>40802</v>
      </c>
      <c r="K99" s="111">
        <v>40820</v>
      </c>
      <c r="L99" s="105" t="s">
        <v>35</v>
      </c>
      <c r="M99" s="105" t="s">
        <v>35</v>
      </c>
      <c r="N99" s="112"/>
      <c r="O99" s="105" t="s">
        <v>36</v>
      </c>
      <c r="P99" s="113"/>
      <c r="Q99" s="113"/>
      <c r="R99" s="113"/>
      <c r="S99" s="113"/>
      <c r="T99" s="114"/>
      <c r="U99" s="113"/>
      <c r="V99" s="113"/>
      <c r="W99" s="113"/>
      <c r="X99" s="115"/>
      <c r="Y99" s="113"/>
      <c r="Z99" s="115"/>
      <c r="AA99" s="115"/>
      <c r="AB99" s="115"/>
      <c r="AC99" s="115"/>
      <c r="AD99" s="115"/>
      <c r="AE99" s="114">
        <v>39</v>
      </c>
      <c r="AF99" s="114"/>
      <c r="AG99" s="115"/>
      <c r="AH99" s="116"/>
      <c r="AI99" s="117"/>
      <c r="AJ99" s="116"/>
      <c r="AK99" s="116"/>
      <c r="AL99" s="116"/>
      <c r="AM99" s="116"/>
      <c r="AN99" s="116"/>
      <c r="AO99" s="116"/>
      <c r="AP99" s="116"/>
      <c r="AQ99" s="116"/>
      <c r="AR99" s="116">
        <v>34.200000000000003</v>
      </c>
      <c r="AS99" s="116"/>
      <c r="AT99" s="116"/>
      <c r="AU99" s="116"/>
      <c r="AV99" s="116"/>
      <c r="AW99" s="116">
        <v>28</v>
      </c>
      <c r="AX99" s="116"/>
      <c r="AY99" s="116">
        <v>30.9</v>
      </c>
      <c r="AZ99" s="116"/>
      <c r="BA99" s="116"/>
      <c r="BB99" s="116"/>
      <c r="BC99" s="116"/>
      <c r="BD99" s="116">
        <v>26.3</v>
      </c>
      <c r="BE99" s="116"/>
      <c r="BF99" s="116"/>
      <c r="BG99" s="116"/>
      <c r="BH99" s="116"/>
      <c r="BI99" s="116"/>
      <c r="BJ99" s="116"/>
      <c r="BK99" s="116"/>
      <c r="BL99" s="116"/>
      <c r="BM99" s="116">
        <v>19.7</v>
      </c>
      <c r="BN99" s="116"/>
      <c r="BO99" s="116"/>
      <c r="BP99" s="116"/>
      <c r="BQ99" s="116"/>
      <c r="BR99" s="116">
        <v>15.9</v>
      </c>
      <c r="BS99" s="116"/>
      <c r="BT99" s="116"/>
      <c r="BU99" s="116">
        <v>16.2</v>
      </c>
      <c r="BV99" s="116"/>
      <c r="BW99" s="116"/>
      <c r="BX99" s="116"/>
      <c r="BY99" s="116"/>
      <c r="BZ99" s="116">
        <v>13.5</v>
      </c>
      <c r="CA99" s="116"/>
      <c r="CB99" s="116"/>
      <c r="CC99" s="116"/>
      <c r="CD99" s="116"/>
      <c r="CE99" s="116"/>
      <c r="CF99" s="116"/>
      <c r="CG99" s="116"/>
      <c r="CH99" s="116" t="s">
        <v>142</v>
      </c>
      <c r="CI99" s="116"/>
      <c r="CJ99" s="116"/>
      <c r="CK99" s="116"/>
      <c r="CL99" s="116"/>
      <c r="CM99" s="116"/>
      <c r="CN99" s="116"/>
      <c r="CO99" s="116"/>
      <c r="CP99" s="116"/>
      <c r="CQ99" s="116"/>
      <c r="CR99" s="116"/>
      <c r="CS99" s="116"/>
      <c r="CT99" s="116"/>
      <c r="CU99" s="116"/>
      <c r="CV99" s="116"/>
      <c r="CW99" s="116"/>
      <c r="CX99" s="116"/>
      <c r="CY99" s="116"/>
      <c r="CZ99" s="116"/>
      <c r="DA99" s="116"/>
      <c r="DB99" s="116"/>
      <c r="DC99" s="116"/>
      <c r="DD99" s="116"/>
      <c r="DE99" s="116"/>
      <c r="DF99" s="116"/>
      <c r="DG99" s="116"/>
      <c r="DH99" s="116"/>
      <c r="DI99" s="116"/>
      <c r="DJ99" s="118"/>
      <c r="DK99" s="118"/>
      <c r="DL99" s="118"/>
      <c r="DM99" s="118"/>
      <c r="DN99" s="118"/>
      <c r="DO99" s="118"/>
      <c r="DP99" s="118"/>
      <c r="DQ99" s="118"/>
      <c r="DR99" s="118"/>
      <c r="DS99" s="118"/>
      <c r="DT99" s="118"/>
      <c r="DU99" s="118"/>
      <c r="DV99" s="118"/>
      <c r="DW99" s="118"/>
      <c r="DX99" s="118"/>
      <c r="DY99" s="118"/>
      <c r="DZ99" s="118"/>
      <c r="EA99" s="118"/>
      <c r="EB99" s="118"/>
      <c r="EC99" s="118"/>
      <c r="ED99" s="118"/>
      <c r="EE99" s="118"/>
      <c r="EF99" s="118"/>
      <c r="EG99" s="118"/>
      <c r="EH99" s="118"/>
      <c r="EI99" s="118"/>
      <c r="EJ99" s="118"/>
      <c r="EK99" s="118"/>
    </row>
    <row r="100" spans="1:141" s="119" customFormat="1" x14ac:dyDescent="0.2">
      <c r="A100" s="121"/>
      <c r="B100" s="108"/>
      <c r="C100" s="108"/>
      <c r="D100" s="105" t="s">
        <v>13</v>
      </c>
      <c r="E100" s="110"/>
      <c r="F100" s="110"/>
      <c r="G100" s="105"/>
      <c r="H100" s="105"/>
      <c r="I100" s="105"/>
      <c r="J100" s="111"/>
      <c r="K100" s="111"/>
      <c r="L100" s="105"/>
      <c r="M100" s="105"/>
      <c r="N100" s="112"/>
      <c r="O100" s="105"/>
      <c r="P100" s="113"/>
      <c r="Q100" s="113"/>
      <c r="R100" s="113"/>
      <c r="S100" s="113"/>
      <c r="T100" s="114"/>
      <c r="U100" s="113"/>
      <c r="V100" s="113"/>
      <c r="W100" s="113"/>
      <c r="X100" s="115"/>
      <c r="Y100" s="113"/>
      <c r="Z100" s="115"/>
      <c r="AA100" s="115"/>
      <c r="AB100" s="115"/>
      <c r="AC100" s="115"/>
      <c r="AD100" s="115"/>
      <c r="AE100" s="114">
        <v>40</v>
      </c>
      <c r="AF100" s="114"/>
      <c r="AG100" s="115"/>
      <c r="AH100" s="116"/>
      <c r="AI100" s="117"/>
      <c r="AJ100" s="116"/>
      <c r="AK100" s="116"/>
      <c r="AL100" s="116"/>
      <c r="AM100" s="116"/>
      <c r="AN100" s="116"/>
      <c r="AO100" s="116"/>
      <c r="AP100" s="116"/>
      <c r="AQ100" s="116"/>
      <c r="AR100" s="116">
        <v>35.799999999999997</v>
      </c>
      <c r="AS100" s="116"/>
      <c r="AT100" s="116"/>
      <c r="AU100" s="116"/>
      <c r="AV100" s="116"/>
      <c r="AW100" s="116">
        <v>31.5</v>
      </c>
      <c r="AX100" s="116"/>
      <c r="AY100" s="116">
        <v>30.3</v>
      </c>
      <c r="AZ100" s="116"/>
      <c r="BA100" s="116"/>
      <c r="BB100" s="116"/>
      <c r="BC100" s="116"/>
      <c r="BD100" s="116">
        <v>28.5</v>
      </c>
      <c r="BE100" s="116"/>
      <c r="BF100" s="116"/>
      <c r="BG100" s="116"/>
      <c r="BH100" s="116"/>
      <c r="BI100" s="116"/>
      <c r="BJ100" s="116"/>
      <c r="BK100" s="116"/>
      <c r="BL100" s="116"/>
      <c r="BM100" s="116">
        <v>22.9</v>
      </c>
      <c r="BN100" s="116"/>
      <c r="BO100" s="116"/>
      <c r="BP100" s="116"/>
      <c r="BQ100" s="116"/>
      <c r="BR100" s="116">
        <v>13.5</v>
      </c>
      <c r="BS100" s="116"/>
      <c r="BT100" s="116"/>
      <c r="BU100" s="116">
        <v>13.5</v>
      </c>
      <c r="BV100" s="116"/>
      <c r="BW100" s="116"/>
      <c r="BX100" s="116"/>
      <c r="BY100" s="116"/>
      <c r="BZ100" s="116">
        <v>14.1</v>
      </c>
      <c r="CA100" s="116"/>
      <c r="CB100" s="116"/>
      <c r="CC100" s="116"/>
      <c r="CD100" s="116"/>
      <c r="CE100" s="116"/>
      <c r="CF100" s="116" t="s">
        <v>142</v>
      </c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  <c r="CX100" s="116"/>
      <c r="CY100" s="116"/>
      <c r="CZ100" s="116"/>
      <c r="DA100" s="116"/>
      <c r="DB100" s="116"/>
      <c r="DC100" s="116"/>
      <c r="DD100" s="116"/>
      <c r="DE100" s="116"/>
      <c r="DF100" s="116"/>
      <c r="DG100" s="116"/>
      <c r="DH100" s="116"/>
      <c r="DI100" s="116"/>
      <c r="DJ100" s="118"/>
      <c r="DK100" s="118"/>
      <c r="DL100" s="118"/>
      <c r="DM100" s="118"/>
      <c r="DN100" s="118"/>
      <c r="DO100" s="118"/>
      <c r="DP100" s="118"/>
      <c r="DQ100" s="118"/>
      <c r="DR100" s="118"/>
      <c r="DS100" s="118"/>
      <c r="DT100" s="118"/>
      <c r="DU100" s="118"/>
      <c r="DV100" s="118"/>
      <c r="DW100" s="118"/>
      <c r="DX100" s="118"/>
      <c r="DY100" s="118"/>
      <c r="DZ100" s="118"/>
      <c r="EA100" s="118"/>
      <c r="EB100" s="118"/>
      <c r="EC100" s="118"/>
      <c r="ED100" s="118"/>
      <c r="EE100" s="118"/>
      <c r="EF100" s="118"/>
      <c r="EG100" s="118"/>
      <c r="EH100" s="118"/>
      <c r="EI100" s="118"/>
      <c r="EJ100" s="118"/>
      <c r="EK100" s="118"/>
    </row>
    <row r="101" spans="1:141" s="119" customFormat="1" x14ac:dyDescent="0.2">
      <c r="A101" s="121" t="s">
        <v>39</v>
      </c>
      <c r="B101" s="108">
        <v>515</v>
      </c>
      <c r="C101" s="108" t="s">
        <v>54</v>
      </c>
      <c r="D101" s="105" t="s">
        <v>12</v>
      </c>
      <c r="E101" s="110">
        <v>40831</v>
      </c>
      <c r="F101" s="110">
        <v>40837</v>
      </c>
      <c r="G101" s="105" t="s">
        <v>36</v>
      </c>
      <c r="H101" s="105" t="s">
        <v>36</v>
      </c>
      <c r="I101" s="105" t="s">
        <v>36</v>
      </c>
      <c r="J101" s="111">
        <v>40809</v>
      </c>
      <c r="K101" s="111">
        <v>40820</v>
      </c>
      <c r="L101" s="105" t="s">
        <v>35</v>
      </c>
      <c r="M101" s="105" t="s">
        <v>35</v>
      </c>
      <c r="N101" s="112"/>
      <c r="O101" s="105" t="s">
        <v>36</v>
      </c>
      <c r="P101" s="113"/>
      <c r="Q101" s="113"/>
      <c r="R101" s="113"/>
      <c r="S101" s="113"/>
      <c r="T101" s="114"/>
      <c r="U101" s="113"/>
      <c r="V101" s="113"/>
      <c r="W101" s="113"/>
      <c r="X101" s="115"/>
      <c r="Y101" s="113"/>
      <c r="Z101" s="115"/>
      <c r="AA101" s="115"/>
      <c r="AB101" s="115"/>
      <c r="AC101" s="115"/>
      <c r="AD101" s="115"/>
      <c r="AE101" s="114">
        <v>40</v>
      </c>
      <c r="AF101" s="114"/>
      <c r="AG101" s="115"/>
      <c r="AH101" s="116"/>
      <c r="AI101" s="117"/>
      <c r="AJ101" s="116"/>
      <c r="AK101" s="116"/>
      <c r="AL101" s="116"/>
      <c r="AM101" s="116"/>
      <c r="AN101" s="116"/>
      <c r="AO101" s="116"/>
      <c r="AP101" s="116">
        <v>29</v>
      </c>
      <c r="AQ101" s="116"/>
      <c r="AR101" s="116"/>
      <c r="AS101" s="116"/>
      <c r="AT101" s="116"/>
      <c r="AU101" s="116"/>
      <c r="AV101" s="116"/>
      <c r="AW101" s="116">
        <v>25.5</v>
      </c>
      <c r="AX101" s="116"/>
      <c r="AY101" s="116">
        <v>31.8</v>
      </c>
      <c r="AZ101" s="116"/>
      <c r="BA101" s="116"/>
      <c r="BB101" s="116"/>
      <c r="BC101" s="116"/>
      <c r="BD101" s="116">
        <v>30.8</v>
      </c>
      <c r="BE101" s="116"/>
      <c r="BF101" s="116"/>
      <c r="BG101" s="116"/>
      <c r="BH101" s="116"/>
      <c r="BI101" s="116"/>
      <c r="BJ101" s="116"/>
      <c r="BK101" s="116"/>
      <c r="BL101" s="116"/>
      <c r="BM101" s="116">
        <v>27.9</v>
      </c>
      <c r="BN101" s="116"/>
      <c r="BO101" s="116"/>
      <c r="BP101" s="116"/>
      <c r="BQ101" s="116"/>
      <c r="BR101" s="116">
        <v>18</v>
      </c>
      <c r="BS101" s="116"/>
      <c r="BT101" s="116"/>
      <c r="BU101" s="116">
        <v>16.5</v>
      </c>
      <c r="BV101" s="116"/>
      <c r="BW101" s="116"/>
      <c r="BX101" s="116"/>
      <c r="BY101" s="116"/>
      <c r="BZ101" s="116" t="s">
        <v>142</v>
      </c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  <c r="CX101" s="116"/>
      <c r="CY101" s="116"/>
      <c r="CZ101" s="116"/>
      <c r="DA101" s="116"/>
      <c r="DB101" s="116"/>
      <c r="DC101" s="116"/>
      <c r="DD101" s="116"/>
      <c r="DE101" s="116"/>
      <c r="DF101" s="116"/>
      <c r="DG101" s="116"/>
      <c r="DH101" s="116"/>
      <c r="DI101" s="116"/>
      <c r="DJ101" s="118"/>
      <c r="DK101" s="118"/>
      <c r="DL101" s="118"/>
      <c r="DM101" s="118"/>
      <c r="DN101" s="118"/>
      <c r="DO101" s="118"/>
      <c r="DP101" s="118"/>
      <c r="DQ101" s="118"/>
      <c r="DR101" s="118"/>
      <c r="DS101" s="118"/>
      <c r="DT101" s="118"/>
      <c r="DU101" s="118"/>
      <c r="DV101" s="118"/>
      <c r="DW101" s="118"/>
      <c r="DX101" s="118"/>
      <c r="DY101" s="118"/>
      <c r="DZ101" s="118"/>
      <c r="EA101" s="118"/>
      <c r="EB101" s="118"/>
      <c r="EC101" s="118"/>
      <c r="ED101" s="118"/>
      <c r="EE101" s="118"/>
      <c r="EF101" s="118"/>
      <c r="EG101" s="118"/>
      <c r="EH101" s="118"/>
      <c r="EI101" s="118"/>
      <c r="EJ101" s="118"/>
      <c r="EK101" s="118"/>
    </row>
    <row r="102" spans="1:141" s="119" customFormat="1" x14ac:dyDescent="0.2">
      <c r="A102" s="121"/>
      <c r="B102" s="108"/>
      <c r="C102" s="108"/>
      <c r="D102" s="105" t="s">
        <v>13</v>
      </c>
      <c r="E102" s="110"/>
      <c r="F102" s="110"/>
      <c r="G102" s="105"/>
      <c r="H102" s="105"/>
      <c r="I102" s="105"/>
      <c r="J102" s="111"/>
      <c r="K102" s="111"/>
      <c r="L102" s="105"/>
      <c r="M102" s="105"/>
      <c r="N102" s="112"/>
      <c r="O102" s="105"/>
      <c r="P102" s="113"/>
      <c r="Q102" s="113"/>
      <c r="R102" s="113"/>
      <c r="S102" s="113"/>
      <c r="T102" s="114"/>
      <c r="U102" s="113"/>
      <c r="V102" s="113"/>
      <c r="W102" s="113"/>
      <c r="X102" s="115"/>
      <c r="Y102" s="113"/>
      <c r="Z102" s="115"/>
      <c r="AA102" s="115"/>
      <c r="AB102" s="115"/>
      <c r="AC102" s="115"/>
      <c r="AD102" s="115"/>
      <c r="AE102" s="114">
        <v>36</v>
      </c>
      <c r="AF102" s="114"/>
      <c r="AG102" s="115"/>
      <c r="AH102" s="116"/>
      <c r="AI102" s="117"/>
      <c r="AJ102" s="116"/>
      <c r="AK102" s="116"/>
      <c r="AL102" s="116"/>
      <c r="AM102" s="116"/>
      <c r="AN102" s="116"/>
      <c r="AO102" s="116"/>
      <c r="AP102" s="116">
        <v>32.200000000000003</v>
      </c>
      <c r="AQ102" s="116"/>
      <c r="AR102" s="116"/>
      <c r="AS102" s="116"/>
      <c r="AT102" s="116"/>
      <c r="AU102" s="116"/>
      <c r="AV102" s="116"/>
      <c r="AW102" s="116">
        <v>28.4</v>
      </c>
      <c r="AX102" s="116"/>
      <c r="AY102" s="116">
        <v>29.5</v>
      </c>
      <c r="AZ102" s="116"/>
      <c r="BA102" s="116"/>
      <c r="BB102" s="116"/>
      <c r="BC102" s="116"/>
      <c r="BD102" s="116">
        <v>26</v>
      </c>
      <c r="BE102" s="116"/>
      <c r="BF102" s="116"/>
      <c r="BG102" s="116"/>
      <c r="BH102" s="116"/>
      <c r="BI102" s="116"/>
      <c r="BJ102" s="116"/>
      <c r="BK102" s="116"/>
      <c r="BL102" s="116"/>
      <c r="BM102" s="116">
        <v>22.5</v>
      </c>
      <c r="BN102" s="116"/>
      <c r="BO102" s="116"/>
      <c r="BP102" s="116"/>
      <c r="BQ102" s="116"/>
      <c r="BR102" s="116">
        <v>16.5</v>
      </c>
      <c r="BS102" s="116"/>
      <c r="BT102" s="116"/>
      <c r="BU102" s="116">
        <v>17.5</v>
      </c>
      <c r="BV102" s="116"/>
      <c r="BW102" s="116"/>
      <c r="BX102" s="116"/>
      <c r="BY102" s="116" t="s">
        <v>142</v>
      </c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  <c r="CX102" s="116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8"/>
      <c r="DK102" s="118"/>
      <c r="DL102" s="118"/>
      <c r="DM102" s="118"/>
      <c r="DN102" s="118"/>
      <c r="DO102" s="118"/>
      <c r="DP102" s="118"/>
      <c r="DQ102" s="118"/>
      <c r="DR102" s="118"/>
      <c r="DS102" s="118"/>
      <c r="DT102" s="118"/>
      <c r="DU102" s="118"/>
      <c r="DV102" s="118"/>
      <c r="DW102" s="118"/>
      <c r="DX102" s="118"/>
      <c r="DY102" s="118"/>
      <c r="DZ102" s="118"/>
      <c r="EA102" s="118"/>
      <c r="EB102" s="118"/>
      <c r="EC102" s="118"/>
      <c r="ED102" s="118"/>
      <c r="EE102" s="118"/>
      <c r="EF102" s="118"/>
      <c r="EG102" s="118"/>
      <c r="EH102" s="118"/>
      <c r="EI102" s="118"/>
      <c r="EJ102" s="118"/>
      <c r="EK102" s="118"/>
    </row>
    <row r="103" spans="1:141" s="119" customFormat="1" x14ac:dyDescent="0.2">
      <c r="A103" s="121" t="s">
        <v>33</v>
      </c>
      <c r="B103" s="108">
        <v>516</v>
      </c>
      <c r="C103" s="108" t="s">
        <v>54</v>
      </c>
      <c r="D103" s="105" t="s">
        <v>12</v>
      </c>
      <c r="E103" s="138"/>
      <c r="F103" s="110" t="s">
        <v>126</v>
      </c>
      <c r="G103" s="105" t="s">
        <v>36</v>
      </c>
      <c r="H103" s="105" t="s">
        <v>36</v>
      </c>
      <c r="I103" s="105" t="s">
        <v>36</v>
      </c>
      <c r="J103" s="111">
        <v>40810</v>
      </c>
      <c r="K103" s="111">
        <v>40820</v>
      </c>
      <c r="L103" s="105" t="s">
        <v>35</v>
      </c>
      <c r="M103" s="105" t="s">
        <v>35</v>
      </c>
      <c r="N103" s="112"/>
      <c r="O103" s="105" t="s">
        <v>36</v>
      </c>
      <c r="P103" s="113"/>
      <c r="Q103" s="113"/>
      <c r="R103" s="113"/>
      <c r="S103" s="113"/>
      <c r="T103" s="114"/>
      <c r="U103" s="113"/>
      <c r="V103" s="113"/>
      <c r="W103" s="113"/>
      <c r="X103" s="115"/>
      <c r="Y103" s="113"/>
      <c r="Z103" s="115"/>
      <c r="AA103" s="115"/>
      <c r="AB103" s="115"/>
      <c r="AC103" s="115"/>
      <c r="AD103" s="115"/>
      <c r="AE103" s="114"/>
      <c r="AF103" s="114"/>
      <c r="AG103" s="115"/>
      <c r="AH103" s="116"/>
      <c r="AI103" s="117"/>
      <c r="AJ103" s="116"/>
      <c r="AK103" s="116"/>
      <c r="AL103" s="116"/>
      <c r="AM103" s="116"/>
      <c r="AN103" s="116"/>
      <c r="AO103" s="116"/>
      <c r="AP103" s="116">
        <v>36</v>
      </c>
      <c r="AQ103" s="116"/>
      <c r="AR103" s="116"/>
      <c r="AS103" s="116"/>
      <c r="AT103" s="116"/>
      <c r="AU103" s="116"/>
      <c r="AV103" s="116"/>
      <c r="AW103" s="116"/>
      <c r="AX103" s="116"/>
      <c r="AY103" s="116">
        <v>36.5</v>
      </c>
      <c r="AZ103" s="116"/>
      <c r="BA103" s="116"/>
      <c r="BB103" s="116"/>
      <c r="BC103" s="116"/>
      <c r="BD103" s="116"/>
      <c r="BE103" s="116">
        <v>32.1</v>
      </c>
      <c r="BF103" s="116"/>
      <c r="BG103" s="116"/>
      <c r="BH103" s="116"/>
      <c r="BI103" s="116"/>
      <c r="BJ103" s="116"/>
      <c r="BK103" s="116"/>
      <c r="BL103" s="116"/>
      <c r="BM103" s="116">
        <v>32.700000000000003</v>
      </c>
      <c r="BN103" s="116"/>
      <c r="BO103" s="116"/>
      <c r="BP103" s="116"/>
      <c r="BQ103" s="116">
        <v>26.8</v>
      </c>
      <c r="BR103" s="116"/>
      <c r="BS103" s="116"/>
      <c r="BT103" s="116"/>
      <c r="BU103" s="116">
        <v>25.2</v>
      </c>
      <c r="BV103" s="116"/>
      <c r="BW103" s="116"/>
      <c r="BX103" s="116"/>
      <c r="BY103" s="116"/>
      <c r="BZ103" s="116">
        <v>18.7</v>
      </c>
      <c r="CA103" s="116"/>
      <c r="CB103" s="116"/>
      <c r="CC103" s="116"/>
      <c r="CD103" s="116"/>
      <c r="CE103" s="116"/>
      <c r="CF103" s="116" t="s">
        <v>142</v>
      </c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  <c r="CY103" s="116"/>
      <c r="CZ103" s="116"/>
      <c r="DA103" s="116"/>
      <c r="DB103" s="116"/>
      <c r="DC103" s="116"/>
      <c r="DD103" s="116"/>
      <c r="DE103" s="116"/>
      <c r="DF103" s="116"/>
      <c r="DG103" s="116"/>
      <c r="DH103" s="116"/>
      <c r="DI103" s="116"/>
      <c r="DJ103" s="118"/>
      <c r="DK103" s="118"/>
      <c r="DL103" s="118"/>
      <c r="DM103" s="118"/>
      <c r="DN103" s="118"/>
      <c r="DO103" s="118"/>
      <c r="DP103" s="118"/>
      <c r="DQ103" s="118"/>
      <c r="DR103" s="118"/>
      <c r="DS103" s="118"/>
      <c r="DT103" s="118"/>
      <c r="DU103" s="118"/>
      <c r="DV103" s="118"/>
      <c r="DW103" s="118"/>
      <c r="DX103" s="118"/>
      <c r="DY103" s="118"/>
      <c r="DZ103" s="118"/>
      <c r="EA103" s="118"/>
      <c r="EB103" s="118"/>
      <c r="EC103" s="118"/>
      <c r="ED103" s="118"/>
      <c r="EE103" s="118"/>
      <c r="EF103" s="118"/>
      <c r="EG103" s="118"/>
      <c r="EH103" s="118"/>
      <c r="EI103" s="118"/>
      <c r="EJ103" s="118"/>
      <c r="EK103" s="118"/>
    </row>
    <row r="104" spans="1:141" s="119" customFormat="1" x14ac:dyDescent="0.2">
      <c r="A104" s="121"/>
      <c r="B104" s="108"/>
      <c r="C104" s="108"/>
      <c r="D104" s="105" t="s">
        <v>13</v>
      </c>
      <c r="E104" s="110"/>
      <c r="F104" s="110"/>
      <c r="G104" s="105"/>
      <c r="H104" s="105"/>
      <c r="I104" s="105"/>
      <c r="J104" s="111"/>
      <c r="K104" s="111"/>
      <c r="L104" s="105"/>
      <c r="M104" s="105"/>
      <c r="N104" s="112"/>
      <c r="O104" s="105"/>
      <c r="P104" s="113"/>
      <c r="Q104" s="113"/>
      <c r="R104" s="113"/>
      <c r="S104" s="113"/>
      <c r="T104" s="114"/>
      <c r="U104" s="113"/>
      <c r="V104" s="113"/>
      <c r="W104" s="113"/>
      <c r="X104" s="115"/>
      <c r="Y104" s="113"/>
      <c r="Z104" s="115"/>
      <c r="AA104" s="115"/>
      <c r="AB104" s="115"/>
      <c r="AC104" s="115"/>
      <c r="AD104" s="115"/>
      <c r="AE104" s="114"/>
      <c r="AF104" s="114"/>
      <c r="AG104" s="115"/>
      <c r="AH104" s="116"/>
      <c r="AI104" s="117"/>
      <c r="AJ104" s="116"/>
      <c r="AK104" s="116"/>
      <c r="AL104" s="116"/>
      <c r="AM104" s="116"/>
      <c r="AN104" s="116"/>
      <c r="AO104" s="116"/>
      <c r="AP104" s="116">
        <v>37</v>
      </c>
      <c r="AQ104" s="116"/>
      <c r="AR104" s="116"/>
      <c r="AS104" s="116"/>
      <c r="AT104" s="116"/>
      <c r="AU104" s="116"/>
      <c r="AV104" s="116"/>
      <c r="AW104" s="116"/>
      <c r="AX104" s="116"/>
      <c r="AY104" s="116">
        <v>34.5</v>
      </c>
      <c r="AZ104" s="116"/>
      <c r="BA104" s="116"/>
      <c r="BB104" s="116"/>
      <c r="BC104" s="116"/>
      <c r="BD104" s="116"/>
      <c r="BE104" s="116">
        <v>32</v>
      </c>
      <c r="BF104" s="116"/>
      <c r="BG104" s="116"/>
      <c r="BH104" s="116"/>
      <c r="BI104" s="116"/>
      <c r="BJ104" s="116"/>
      <c r="BK104" s="116"/>
      <c r="BL104" s="116"/>
      <c r="BM104" s="116">
        <v>29</v>
      </c>
      <c r="BN104" s="116"/>
      <c r="BO104" s="116"/>
      <c r="BP104" s="116"/>
      <c r="BQ104" s="116">
        <v>29.4</v>
      </c>
      <c r="BR104" s="116"/>
      <c r="BS104" s="116"/>
      <c r="BT104" s="116"/>
      <c r="BU104" s="116">
        <v>26.5</v>
      </c>
      <c r="BV104" s="116"/>
      <c r="BW104" s="116"/>
      <c r="BX104" s="116"/>
      <c r="BY104" s="116"/>
      <c r="BZ104" s="116">
        <v>18.899999999999999</v>
      </c>
      <c r="CA104" s="116"/>
      <c r="CB104" s="116"/>
      <c r="CC104" s="116"/>
      <c r="CD104" s="116" t="s">
        <v>142</v>
      </c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  <c r="CY104" s="116"/>
      <c r="CZ104" s="116"/>
      <c r="DA104" s="116"/>
      <c r="DB104" s="116"/>
      <c r="DC104" s="116"/>
      <c r="DD104" s="116"/>
      <c r="DE104" s="116"/>
      <c r="DF104" s="116"/>
      <c r="DG104" s="116"/>
      <c r="DH104" s="116"/>
      <c r="DI104" s="116"/>
      <c r="DJ104" s="118"/>
      <c r="DK104" s="118"/>
      <c r="DL104" s="118"/>
      <c r="DM104" s="118"/>
      <c r="DN104" s="118"/>
      <c r="DO104" s="118"/>
      <c r="DP104" s="118"/>
      <c r="DQ104" s="118"/>
      <c r="DR104" s="118"/>
      <c r="DS104" s="118"/>
      <c r="DT104" s="118"/>
      <c r="DU104" s="118"/>
      <c r="DV104" s="118"/>
      <c r="DW104" s="118"/>
      <c r="DX104" s="118"/>
      <c r="DY104" s="118"/>
      <c r="DZ104" s="118"/>
      <c r="EA104" s="118"/>
      <c r="EB104" s="118"/>
      <c r="EC104" s="118"/>
      <c r="ED104" s="118"/>
      <c r="EE104" s="118"/>
      <c r="EF104" s="118"/>
      <c r="EG104" s="118"/>
      <c r="EH104" s="118"/>
      <c r="EI104" s="118"/>
      <c r="EJ104" s="118"/>
      <c r="EK104" s="118"/>
    </row>
    <row r="105" spans="1:141" s="119" customFormat="1" x14ac:dyDescent="0.2">
      <c r="A105" s="121" t="s">
        <v>43</v>
      </c>
      <c r="B105" s="108">
        <v>517</v>
      </c>
      <c r="C105" s="108" t="s">
        <v>51</v>
      </c>
      <c r="D105" s="105" t="s">
        <v>12</v>
      </c>
      <c r="E105" s="110">
        <v>40806</v>
      </c>
      <c r="F105" s="110">
        <v>40861</v>
      </c>
      <c r="G105" s="105" t="s">
        <v>35</v>
      </c>
      <c r="H105" s="105" t="s">
        <v>36</v>
      </c>
      <c r="I105" s="105" t="s">
        <v>126</v>
      </c>
      <c r="J105" s="111">
        <v>40797</v>
      </c>
      <c r="K105" s="111">
        <v>40814</v>
      </c>
      <c r="L105" s="105" t="s">
        <v>35</v>
      </c>
      <c r="M105" s="105" t="s">
        <v>35</v>
      </c>
      <c r="N105" s="112"/>
      <c r="O105" s="105" t="s">
        <v>36</v>
      </c>
      <c r="P105" s="113"/>
      <c r="Q105" s="113"/>
      <c r="R105" s="113"/>
      <c r="S105" s="113"/>
      <c r="T105" s="114"/>
      <c r="U105" s="113"/>
      <c r="V105" s="113"/>
      <c r="W105" s="113"/>
      <c r="X105" s="115">
        <v>33.5</v>
      </c>
      <c r="Y105" s="113"/>
      <c r="Z105" s="115"/>
      <c r="AA105" s="115"/>
      <c r="AB105" s="115"/>
      <c r="AC105" s="115"/>
      <c r="AD105" s="115"/>
      <c r="AE105" s="114">
        <v>27</v>
      </c>
      <c r="AF105" s="114"/>
      <c r="AG105" s="115"/>
      <c r="AH105" s="116"/>
      <c r="AI105" s="117"/>
      <c r="AJ105" s="116">
        <v>22</v>
      </c>
      <c r="AK105" s="116"/>
      <c r="AL105" s="116"/>
      <c r="AM105" s="116"/>
      <c r="AN105" s="116"/>
      <c r="AO105" s="116"/>
      <c r="AP105" s="116"/>
      <c r="AQ105" s="116"/>
      <c r="AR105" s="116">
        <v>23.1</v>
      </c>
      <c r="AS105" s="116"/>
      <c r="AT105" s="116"/>
      <c r="AU105" s="116"/>
      <c r="AV105" s="116"/>
      <c r="AW105" s="116"/>
      <c r="AX105" s="116">
        <v>15</v>
      </c>
      <c r="AY105" s="116"/>
      <c r="AZ105" s="116"/>
      <c r="BA105" s="116"/>
      <c r="BB105" s="116"/>
      <c r="BC105" s="116"/>
      <c r="BD105" s="116"/>
      <c r="BE105" s="116">
        <v>12.5</v>
      </c>
      <c r="BF105" s="116"/>
      <c r="BG105" s="116"/>
      <c r="BH105" s="116" t="s">
        <v>142</v>
      </c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116"/>
      <c r="DE105" s="116"/>
      <c r="DF105" s="116"/>
      <c r="DG105" s="116"/>
      <c r="DH105" s="116"/>
      <c r="DI105" s="116"/>
      <c r="DJ105" s="118"/>
      <c r="DK105" s="118"/>
      <c r="DL105" s="118"/>
      <c r="DM105" s="118"/>
      <c r="DN105" s="118"/>
      <c r="DO105" s="118"/>
      <c r="DP105" s="118"/>
      <c r="DQ105" s="118"/>
      <c r="DR105" s="118"/>
      <c r="DS105" s="118"/>
      <c r="DT105" s="118"/>
      <c r="DU105" s="118"/>
      <c r="DV105" s="118"/>
      <c r="DW105" s="118"/>
      <c r="DX105" s="118"/>
      <c r="DY105" s="118"/>
      <c r="DZ105" s="118"/>
      <c r="EA105" s="118"/>
      <c r="EB105" s="118"/>
      <c r="EC105" s="118"/>
      <c r="ED105" s="118"/>
      <c r="EE105" s="118"/>
      <c r="EF105" s="118"/>
      <c r="EG105" s="118"/>
      <c r="EH105" s="118"/>
      <c r="EI105" s="118"/>
      <c r="EJ105" s="118"/>
      <c r="EK105" s="118"/>
    </row>
    <row r="106" spans="1:141" s="119" customFormat="1" x14ac:dyDescent="0.2">
      <c r="A106" s="121"/>
      <c r="B106" s="108"/>
      <c r="C106" s="108"/>
      <c r="D106" s="105" t="s">
        <v>13</v>
      </c>
      <c r="E106" s="110"/>
      <c r="F106" s="110"/>
      <c r="G106" s="105"/>
      <c r="H106" s="105"/>
      <c r="I106" s="105"/>
      <c r="J106" s="111"/>
      <c r="K106" s="111"/>
      <c r="L106" s="105"/>
      <c r="M106" s="105"/>
      <c r="N106" s="112"/>
      <c r="O106" s="105"/>
      <c r="P106" s="113"/>
      <c r="Q106" s="113"/>
      <c r="R106" s="113"/>
      <c r="S106" s="113"/>
      <c r="T106" s="114"/>
      <c r="U106" s="113"/>
      <c r="V106" s="113"/>
      <c r="W106" s="113"/>
      <c r="X106" s="115">
        <v>28.4</v>
      </c>
      <c r="Y106" s="113"/>
      <c r="Z106" s="115"/>
      <c r="AA106" s="115"/>
      <c r="AB106" s="115"/>
      <c r="AC106" s="115"/>
      <c r="AD106" s="115"/>
      <c r="AE106" s="114">
        <v>27</v>
      </c>
      <c r="AF106" s="114"/>
      <c r="AG106" s="115"/>
      <c r="AH106" s="116"/>
      <c r="AI106" s="117"/>
      <c r="AJ106" s="116">
        <v>27</v>
      </c>
      <c r="AK106" s="116"/>
      <c r="AL106" s="116"/>
      <c r="AM106" s="116"/>
      <c r="AN106" s="116"/>
      <c r="AO106" s="116"/>
      <c r="AP106" s="116"/>
      <c r="AQ106" s="116"/>
      <c r="AR106" s="116">
        <v>25.9</v>
      </c>
      <c r="AS106" s="116"/>
      <c r="AT106" s="116"/>
      <c r="AU106" s="116"/>
      <c r="AV106" s="116"/>
      <c r="AW106" s="116"/>
      <c r="AX106" s="116">
        <v>18</v>
      </c>
      <c r="AY106" s="116"/>
      <c r="AZ106" s="116"/>
      <c r="BA106" s="116"/>
      <c r="BB106" s="116"/>
      <c r="BC106" s="116"/>
      <c r="BD106" s="116"/>
      <c r="BE106" s="116" t="s">
        <v>142</v>
      </c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  <c r="CX106" s="116"/>
      <c r="CY106" s="116"/>
      <c r="CZ106" s="116"/>
      <c r="DA106" s="116"/>
      <c r="DB106" s="116"/>
      <c r="DC106" s="116"/>
      <c r="DD106" s="116"/>
      <c r="DE106" s="116"/>
      <c r="DF106" s="116"/>
      <c r="DG106" s="116"/>
      <c r="DH106" s="116"/>
      <c r="DI106" s="116"/>
      <c r="DJ106" s="118"/>
      <c r="DK106" s="118"/>
      <c r="DL106" s="118"/>
      <c r="DM106" s="118"/>
      <c r="DN106" s="118"/>
      <c r="DO106" s="118"/>
      <c r="DP106" s="118"/>
      <c r="DQ106" s="118"/>
      <c r="DR106" s="118"/>
      <c r="DS106" s="118"/>
      <c r="DT106" s="118"/>
      <c r="DU106" s="118"/>
      <c r="DV106" s="118"/>
      <c r="DW106" s="118"/>
      <c r="DX106" s="118"/>
      <c r="DY106" s="118"/>
      <c r="DZ106" s="118"/>
      <c r="EA106" s="118"/>
      <c r="EB106" s="118"/>
      <c r="EC106" s="118"/>
      <c r="ED106" s="118"/>
      <c r="EE106" s="118"/>
      <c r="EF106" s="118"/>
      <c r="EG106" s="118"/>
      <c r="EH106" s="118"/>
      <c r="EI106" s="118"/>
      <c r="EJ106" s="118"/>
      <c r="EK106" s="118"/>
    </row>
    <row r="107" spans="1:141" s="119" customFormat="1" x14ac:dyDescent="0.2">
      <c r="A107" s="121" t="s">
        <v>31</v>
      </c>
      <c r="B107" s="108">
        <v>518</v>
      </c>
      <c r="C107" s="108" t="s">
        <v>51</v>
      </c>
      <c r="D107" s="105" t="s">
        <v>12</v>
      </c>
      <c r="E107" s="110">
        <v>40796</v>
      </c>
      <c r="F107" s="110">
        <v>40826</v>
      </c>
      <c r="G107" s="105" t="s">
        <v>35</v>
      </c>
      <c r="H107" s="105" t="s">
        <v>36</v>
      </c>
      <c r="I107" s="105" t="s">
        <v>126</v>
      </c>
      <c r="J107" s="111">
        <v>40804</v>
      </c>
      <c r="K107" s="111">
        <v>40808</v>
      </c>
      <c r="L107" s="105" t="s">
        <v>35</v>
      </c>
      <c r="M107" s="105" t="s">
        <v>35</v>
      </c>
      <c r="N107" s="112"/>
      <c r="O107" s="105" t="s">
        <v>36</v>
      </c>
      <c r="P107" s="113"/>
      <c r="Q107" s="113"/>
      <c r="R107" s="113"/>
      <c r="S107" s="113"/>
      <c r="T107" s="114"/>
      <c r="U107" s="113"/>
      <c r="V107" s="113"/>
      <c r="W107" s="113"/>
      <c r="X107" s="115">
        <v>30.5</v>
      </c>
      <c r="Y107" s="113"/>
      <c r="Z107" s="115"/>
      <c r="AA107" s="115"/>
      <c r="AB107" s="115"/>
      <c r="AC107" s="115"/>
      <c r="AD107" s="115"/>
      <c r="AE107" s="114">
        <v>28.9</v>
      </c>
      <c r="AF107" s="114"/>
      <c r="AG107" s="115"/>
      <c r="AH107" s="116"/>
      <c r="AI107" s="117"/>
      <c r="AJ107" s="116">
        <v>27.5</v>
      </c>
      <c r="AK107" s="116"/>
      <c r="AL107" s="116"/>
      <c r="AM107" s="116"/>
      <c r="AN107" s="116"/>
      <c r="AO107" s="116"/>
      <c r="AP107" s="116"/>
      <c r="AQ107" s="116"/>
      <c r="AR107" s="116">
        <v>19.5</v>
      </c>
      <c r="AS107" s="116"/>
      <c r="AT107" s="116"/>
      <c r="AU107" s="116"/>
      <c r="AV107" s="116"/>
      <c r="AW107" s="116"/>
      <c r="AX107" s="116">
        <v>16.100000000000001</v>
      </c>
      <c r="AY107" s="116"/>
      <c r="AZ107" s="116"/>
      <c r="BA107" s="116"/>
      <c r="BB107" s="116"/>
      <c r="BC107" s="116"/>
      <c r="BD107" s="116"/>
      <c r="BE107" s="116">
        <v>15.9</v>
      </c>
      <c r="BF107" s="116"/>
      <c r="BG107" s="116"/>
      <c r="BH107" s="116"/>
      <c r="BI107" s="116"/>
      <c r="BJ107" s="116"/>
      <c r="BK107" s="116">
        <v>16.8</v>
      </c>
      <c r="BL107" s="116"/>
      <c r="BM107" s="116"/>
      <c r="BN107" s="116"/>
      <c r="BO107" s="116"/>
      <c r="BP107" s="116"/>
      <c r="BQ107" s="116"/>
      <c r="BR107" s="116">
        <v>16</v>
      </c>
      <c r="BS107" s="116"/>
      <c r="BT107" s="116"/>
      <c r="BU107" s="116">
        <v>14.2</v>
      </c>
      <c r="BV107" s="116"/>
      <c r="BW107" s="116"/>
      <c r="BX107" s="116"/>
      <c r="BY107" s="116"/>
      <c r="BZ107" s="116">
        <v>12.5</v>
      </c>
      <c r="CA107" s="116"/>
      <c r="CB107" s="116"/>
      <c r="CC107" s="116"/>
      <c r="CD107" s="116" t="s">
        <v>142</v>
      </c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6"/>
      <c r="DA107" s="116"/>
      <c r="DB107" s="116"/>
      <c r="DC107" s="116"/>
      <c r="DD107" s="116"/>
      <c r="DE107" s="116"/>
      <c r="DF107" s="116"/>
      <c r="DG107" s="116"/>
      <c r="DH107" s="116"/>
      <c r="DI107" s="116"/>
      <c r="DJ107" s="118"/>
      <c r="DK107" s="118"/>
      <c r="DL107" s="118"/>
      <c r="DM107" s="118"/>
      <c r="DN107" s="118"/>
      <c r="DO107" s="118"/>
      <c r="DP107" s="118"/>
      <c r="DQ107" s="118"/>
      <c r="DR107" s="118"/>
      <c r="DS107" s="118"/>
      <c r="DT107" s="118"/>
      <c r="DU107" s="118"/>
      <c r="DV107" s="118"/>
      <c r="DW107" s="118"/>
      <c r="DX107" s="118"/>
      <c r="DY107" s="118"/>
      <c r="DZ107" s="118"/>
      <c r="EA107" s="118"/>
      <c r="EB107" s="118"/>
      <c r="EC107" s="118"/>
      <c r="ED107" s="118"/>
      <c r="EE107" s="118"/>
      <c r="EF107" s="118"/>
      <c r="EG107" s="118"/>
      <c r="EH107" s="118"/>
      <c r="EI107" s="118"/>
      <c r="EJ107" s="118"/>
      <c r="EK107" s="118"/>
    </row>
    <row r="108" spans="1:141" s="119" customFormat="1" x14ac:dyDescent="0.2">
      <c r="A108" s="121"/>
      <c r="B108" s="108"/>
      <c r="C108" s="108"/>
      <c r="D108" s="105" t="s">
        <v>13</v>
      </c>
      <c r="E108" s="110"/>
      <c r="F108" s="110"/>
      <c r="G108" s="105"/>
      <c r="H108" s="105"/>
      <c r="I108" s="105"/>
      <c r="J108" s="111"/>
      <c r="K108" s="111"/>
      <c r="L108" s="105"/>
      <c r="M108" s="105"/>
      <c r="N108" s="112"/>
      <c r="O108" s="105"/>
      <c r="P108" s="113"/>
      <c r="Q108" s="113"/>
      <c r="R108" s="113"/>
      <c r="S108" s="113"/>
      <c r="T108" s="114"/>
      <c r="U108" s="113"/>
      <c r="V108" s="113"/>
      <c r="W108" s="113"/>
      <c r="X108" s="115">
        <v>30.8</v>
      </c>
      <c r="Y108" s="113"/>
      <c r="Z108" s="115"/>
      <c r="AA108" s="115"/>
      <c r="AB108" s="115"/>
      <c r="AC108" s="115"/>
      <c r="AD108" s="115"/>
      <c r="AE108" s="114">
        <v>31.4</v>
      </c>
      <c r="AF108" s="114"/>
      <c r="AG108" s="115"/>
      <c r="AH108" s="116"/>
      <c r="AI108" s="117"/>
      <c r="AJ108" s="116">
        <v>29.5</v>
      </c>
      <c r="AK108" s="116"/>
      <c r="AL108" s="116"/>
      <c r="AM108" s="116"/>
      <c r="AN108" s="116"/>
      <c r="AO108" s="116"/>
      <c r="AP108" s="116"/>
      <c r="AQ108" s="116"/>
      <c r="AR108" s="116">
        <v>24.5</v>
      </c>
      <c r="AS108" s="116"/>
      <c r="AT108" s="116"/>
      <c r="AU108" s="116"/>
      <c r="AV108" s="116"/>
      <c r="AW108" s="116"/>
      <c r="AX108" s="116">
        <v>16.5</v>
      </c>
      <c r="AY108" s="116"/>
      <c r="AZ108" s="116"/>
      <c r="BA108" s="116"/>
      <c r="BB108" s="116"/>
      <c r="BC108" s="116"/>
      <c r="BD108" s="116"/>
      <c r="BE108" s="116">
        <v>14.8</v>
      </c>
      <c r="BF108" s="116"/>
      <c r="BG108" s="116"/>
      <c r="BH108" s="116"/>
      <c r="BI108" s="116"/>
      <c r="BJ108" s="116"/>
      <c r="BK108" s="116">
        <v>18.399999999999999</v>
      </c>
      <c r="BL108" s="116"/>
      <c r="BM108" s="116"/>
      <c r="BN108" s="116"/>
      <c r="BO108" s="116"/>
      <c r="BP108" s="116"/>
      <c r="BQ108" s="116"/>
      <c r="BR108" s="116">
        <v>17.5</v>
      </c>
      <c r="BS108" s="116"/>
      <c r="BT108" s="116"/>
      <c r="BU108" s="116">
        <v>16.2</v>
      </c>
      <c r="BV108" s="116"/>
      <c r="BW108" s="116"/>
      <c r="BX108" s="116"/>
      <c r="BY108" s="116"/>
      <c r="BZ108" s="116"/>
      <c r="CA108" s="116" t="s">
        <v>142</v>
      </c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6"/>
      <c r="DF108" s="116"/>
      <c r="DG108" s="116"/>
      <c r="DH108" s="116"/>
      <c r="DI108" s="116"/>
      <c r="DJ108" s="118"/>
      <c r="DK108" s="118"/>
      <c r="DL108" s="118"/>
      <c r="DM108" s="118"/>
      <c r="DN108" s="118"/>
      <c r="DO108" s="118"/>
      <c r="DP108" s="118"/>
      <c r="DQ108" s="118"/>
      <c r="DR108" s="118"/>
      <c r="DS108" s="118"/>
      <c r="DT108" s="118"/>
      <c r="DU108" s="118"/>
      <c r="DV108" s="118"/>
      <c r="DW108" s="118"/>
      <c r="DX108" s="118"/>
      <c r="DY108" s="118"/>
      <c r="DZ108" s="118"/>
      <c r="EA108" s="118"/>
      <c r="EB108" s="118"/>
      <c r="EC108" s="118"/>
      <c r="ED108" s="118"/>
      <c r="EE108" s="118"/>
      <c r="EF108" s="118"/>
      <c r="EG108" s="118"/>
      <c r="EH108" s="118"/>
      <c r="EI108" s="118"/>
      <c r="EJ108" s="118"/>
      <c r="EK108" s="118"/>
    </row>
    <row r="109" spans="1:141" s="119" customFormat="1" x14ac:dyDescent="0.2">
      <c r="A109" s="121" t="s">
        <v>45</v>
      </c>
      <c r="B109" s="108">
        <v>519</v>
      </c>
      <c r="C109" s="108" t="s">
        <v>51</v>
      </c>
      <c r="D109" s="105" t="s">
        <v>12</v>
      </c>
      <c r="E109" s="110">
        <v>40797</v>
      </c>
      <c r="F109" s="110">
        <v>40826</v>
      </c>
      <c r="G109" s="105" t="s">
        <v>35</v>
      </c>
      <c r="H109" s="105" t="s">
        <v>36</v>
      </c>
      <c r="I109" s="105" t="s">
        <v>126</v>
      </c>
      <c r="J109" s="111">
        <v>40807</v>
      </c>
      <c r="K109" s="111">
        <v>40814</v>
      </c>
      <c r="L109" s="105" t="s">
        <v>35</v>
      </c>
      <c r="M109" s="105" t="s">
        <v>35</v>
      </c>
      <c r="N109" s="112"/>
      <c r="O109" s="105" t="s">
        <v>36</v>
      </c>
      <c r="P109" s="113"/>
      <c r="Q109" s="113"/>
      <c r="R109" s="113"/>
      <c r="S109" s="113"/>
      <c r="T109" s="114"/>
      <c r="U109" s="113"/>
      <c r="V109" s="113"/>
      <c r="W109" s="113">
        <v>30</v>
      </c>
      <c r="X109" s="115"/>
      <c r="Y109" s="113"/>
      <c r="Z109" s="115"/>
      <c r="AA109" s="115"/>
      <c r="AB109" s="115"/>
      <c r="AC109" s="115">
        <v>29.2</v>
      </c>
      <c r="AD109" s="115"/>
      <c r="AE109" s="114">
        <v>28.4</v>
      </c>
      <c r="AF109" s="114"/>
      <c r="AG109" s="115"/>
      <c r="AH109" s="116"/>
      <c r="AI109" s="117">
        <v>24.1</v>
      </c>
      <c r="AJ109" s="116"/>
      <c r="AK109" s="116"/>
      <c r="AL109" s="116"/>
      <c r="AM109" s="116"/>
      <c r="AN109" s="116"/>
      <c r="AO109" s="116"/>
      <c r="AP109" s="116"/>
      <c r="AQ109" s="116">
        <v>21</v>
      </c>
      <c r="AR109" s="116"/>
      <c r="AS109" s="116"/>
      <c r="AT109" s="116"/>
      <c r="AU109" s="116"/>
      <c r="AV109" s="116"/>
      <c r="AW109" s="116">
        <v>15.9</v>
      </c>
      <c r="AX109" s="116"/>
      <c r="AY109" s="116"/>
      <c r="AZ109" s="116"/>
      <c r="BA109" s="116"/>
      <c r="BB109" s="116"/>
      <c r="BC109" s="116"/>
      <c r="BD109" s="116"/>
      <c r="BE109" s="116">
        <v>14.5</v>
      </c>
      <c r="BF109" s="116"/>
      <c r="BG109" s="116" t="s">
        <v>142</v>
      </c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8"/>
      <c r="DK109" s="118"/>
      <c r="DL109" s="118"/>
      <c r="DM109" s="118"/>
      <c r="DN109" s="118"/>
      <c r="DO109" s="118"/>
      <c r="DP109" s="118"/>
      <c r="DQ109" s="118"/>
      <c r="DR109" s="118"/>
      <c r="DS109" s="118"/>
      <c r="DT109" s="118"/>
      <c r="DU109" s="118"/>
      <c r="DV109" s="118"/>
      <c r="DW109" s="118"/>
      <c r="DX109" s="118"/>
      <c r="DY109" s="118"/>
      <c r="DZ109" s="118"/>
      <c r="EA109" s="118"/>
      <c r="EB109" s="118"/>
      <c r="EC109" s="118"/>
      <c r="ED109" s="118"/>
      <c r="EE109" s="118"/>
      <c r="EF109" s="118"/>
      <c r="EG109" s="118"/>
      <c r="EH109" s="118"/>
      <c r="EI109" s="118"/>
      <c r="EJ109" s="118"/>
      <c r="EK109" s="118"/>
    </row>
    <row r="110" spans="1:141" s="119" customFormat="1" x14ac:dyDescent="0.2">
      <c r="A110" s="121"/>
      <c r="B110" s="108"/>
      <c r="C110" s="108"/>
      <c r="D110" s="105" t="s">
        <v>13</v>
      </c>
      <c r="E110" s="110"/>
      <c r="F110" s="110"/>
      <c r="G110" s="105"/>
      <c r="H110" s="105"/>
      <c r="I110" s="105"/>
      <c r="J110" s="111"/>
      <c r="K110" s="111"/>
      <c r="L110" s="105"/>
      <c r="M110" s="105"/>
      <c r="N110" s="112"/>
      <c r="O110" s="105"/>
      <c r="P110" s="113"/>
      <c r="Q110" s="113"/>
      <c r="R110" s="113"/>
      <c r="S110" s="113"/>
      <c r="T110" s="114"/>
      <c r="U110" s="113"/>
      <c r="V110" s="113"/>
      <c r="W110" s="113">
        <v>29.2</v>
      </c>
      <c r="X110" s="115"/>
      <c r="Y110" s="113"/>
      <c r="Z110" s="115"/>
      <c r="AA110" s="115"/>
      <c r="AB110" s="115"/>
      <c r="AC110" s="115">
        <v>32.799999999999997</v>
      </c>
      <c r="AD110" s="115"/>
      <c r="AE110" s="114">
        <v>28.6</v>
      </c>
      <c r="AF110" s="114"/>
      <c r="AG110" s="115"/>
      <c r="AH110" s="116"/>
      <c r="AI110" s="117">
        <v>26.1</v>
      </c>
      <c r="AJ110" s="116"/>
      <c r="AK110" s="116"/>
      <c r="AL110" s="116"/>
      <c r="AM110" s="116"/>
      <c r="AN110" s="116"/>
      <c r="AO110" s="116"/>
      <c r="AP110" s="116"/>
      <c r="AQ110" s="116">
        <v>15.3</v>
      </c>
      <c r="AR110" s="116"/>
      <c r="AS110" s="116"/>
      <c r="AT110" s="116"/>
      <c r="AU110" s="116"/>
      <c r="AV110" s="116"/>
      <c r="AW110" s="116">
        <v>16.5</v>
      </c>
      <c r="AX110" s="116"/>
      <c r="AY110" s="116"/>
      <c r="AZ110" s="116"/>
      <c r="BA110" s="116"/>
      <c r="BB110" s="116"/>
      <c r="BC110" s="116"/>
      <c r="BD110" s="116"/>
      <c r="BE110" s="116" t="s">
        <v>142</v>
      </c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8"/>
      <c r="DK110" s="118"/>
      <c r="DL110" s="118"/>
      <c r="DM110" s="118"/>
      <c r="DN110" s="118"/>
      <c r="DO110" s="118"/>
      <c r="DP110" s="118"/>
      <c r="DQ110" s="118"/>
      <c r="DR110" s="118"/>
      <c r="DS110" s="118"/>
      <c r="DT110" s="118"/>
      <c r="DU110" s="118"/>
      <c r="DV110" s="118"/>
      <c r="DW110" s="118"/>
      <c r="DX110" s="118"/>
      <c r="DY110" s="118"/>
      <c r="DZ110" s="118"/>
      <c r="EA110" s="118"/>
      <c r="EB110" s="118"/>
      <c r="EC110" s="118"/>
      <c r="ED110" s="118"/>
      <c r="EE110" s="118"/>
      <c r="EF110" s="118"/>
      <c r="EG110" s="118"/>
      <c r="EH110" s="118"/>
      <c r="EI110" s="118"/>
      <c r="EJ110" s="118"/>
      <c r="EK110" s="118"/>
    </row>
    <row r="111" spans="1:141" s="119" customFormat="1" x14ac:dyDescent="0.2">
      <c r="A111" s="121" t="s">
        <v>46</v>
      </c>
      <c r="B111" s="108">
        <v>520</v>
      </c>
      <c r="C111" s="108" t="s">
        <v>52</v>
      </c>
      <c r="D111" s="105" t="s">
        <v>12</v>
      </c>
      <c r="E111" s="110">
        <v>40806</v>
      </c>
      <c r="F111" s="110">
        <v>40861</v>
      </c>
      <c r="G111" s="105" t="s">
        <v>36</v>
      </c>
      <c r="H111" s="105" t="s">
        <v>36</v>
      </c>
      <c r="I111" s="105" t="s">
        <v>36</v>
      </c>
      <c r="J111" s="111">
        <v>40794</v>
      </c>
      <c r="K111" s="111">
        <v>40808</v>
      </c>
      <c r="L111" s="105" t="s">
        <v>35</v>
      </c>
      <c r="M111" s="105" t="s">
        <v>35</v>
      </c>
      <c r="N111" s="112"/>
      <c r="O111" s="105" t="s">
        <v>36</v>
      </c>
      <c r="P111" s="113"/>
      <c r="Q111" s="113"/>
      <c r="R111" s="113"/>
      <c r="S111" s="113"/>
      <c r="T111" s="114"/>
      <c r="U111" s="113"/>
      <c r="V111" s="113"/>
      <c r="W111" s="113"/>
      <c r="X111" s="115">
        <v>31.5</v>
      </c>
      <c r="Y111" s="113"/>
      <c r="Z111" s="115"/>
      <c r="AA111" s="115"/>
      <c r="AB111" s="115"/>
      <c r="AC111" s="115">
        <v>28.2</v>
      </c>
      <c r="AD111" s="115"/>
      <c r="AE111" s="114">
        <v>28.4</v>
      </c>
      <c r="AF111" s="114"/>
      <c r="AG111" s="115"/>
      <c r="AH111" s="116"/>
      <c r="AI111" s="117"/>
      <c r="AJ111" s="116">
        <v>25</v>
      </c>
      <c r="AK111" s="116"/>
      <c r="AL111" s="116"/>
      <c r="AM111" s="116"/>
      <c r="AN111" s="116"/>
      <c r="AO111" s="116"/>
      <c r="AP111" s="116"/>
      <c r="AQ111" s="116"/>
      <c r="AR111" s="116">
        <v>24.4</v>
      </c>
      <c r="AS111" s="116"/>
      <c r="AT111" s="116"/>
      <c r="AU111" s="116"/>
      <c r="AV111" s="116"/>
      <c r="AW111" s="116"/>
      <c r="AX111" s="116">
        <v>13.5</v>
      </c>
      <c r="AY111" s="116"/>
      <c r="AZ111" s="124"/>
      <c r="BA111" s="124" t="s">
        <v>142</v>
      </c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  <c r="CX111" s="116"/>
      <c r="CY111" s="116"/>
      <c r="CZ111" s="116"/>
      <c r="DA111" s="116"/>
      <c r="DB111" s="116"/>
      <c r="DC111" s="116"/>
      <c r="DD111" s="116"/>
      <c r="DE111" s="116"/>
      <c r="DF111" s="116"/>
      <c r="DG111" s="116"/>
      <c r="DH111" s="116"/>
      <c r="DI111" s="116"/>
      <c r="DJ111" s="118"/>
      <c r="DK111" s="118"/>
      <c r="DL111" s="118"/>
      <c r="DM111" s="118"/>
      <c r="DN111" s="118"/>
      <c r="DO111" s="118"/>
      <c r="DP111" s="118"/>
      <c r="DQ111" s="118"/>
      <c r="DR111" s="118"/>
      <c r="DS111" s="118"/>
      <c r="DT111" s="118"/>
      <c r="DU111" s="118"/>
      <c r="DV111" s="118"/>
      <c r="DW111" s="118"/>
      <c r="DX111" s="118"/>
      <c r="DY111" s="118"/>
      <c r="DZ111" s="118"/>
      <c r="EA111" s="118"/>
      <c r="EB111" s="118"/>
      <c r="EC111" s="118"/>
      <c r="ED111" s="118"/>
      <c r="EE111" s="118"/>
      <c r="EF111" s="118"/>
      <c r="EG111" s="118"/>
      <c r="EH111" s="118"/>
      <c r="EI111" s="118"/>
      <c r="EJ111" s="118"/>
      <c r="EK111" s="118"/>
    </row>
    <row r="112" spans="1:141" s="119" customFormat="1" x14ac:dyDescent="0.2">
      <c r="A112" s="121"/>
      <c r="B112" s="108"/>
      <c r="C112" s="108"/>
      <c r="D112" s="105" t="s">
        <v>13</v>
      </c>
      <c r="E112" s="110"/>
      <c r="F112" s="110"/>
      <c r="G112" s="105"/>
      <c r="H112" s="105"/>
      <c r="I112" s="105"/>
      <c r="J112" s="111"/>
      <c r="K112" s="111"/>
      <c r="L112" s="105"/>
      <c r="M112" s="105"/>
      <c r="N112" s="112"/>
      <c r="O112" s="105"/>
      <c r="P112" s="113"/>
      <c r="Q112" s="113"/>
      <c r="R112" s="113"/>
      <c r="S112" s="113"/>
      <c r="T112" s="114"/>
      <c r="U112" s="113"/>
      <c r="V112" s="113"/>
      <c r="W112" s="113"/>
      <c r="X112" s="115">
        <v>30</v>
      </c>
      <c r="Y112" s="113"/>
      <c r="Z112" s="115"/>
      <c r="AA112" s="115"/>
      <c r="AB112" s="115"/>
      <c r="AC112" s="115">
        <v>29.4</v>
      </c>
      <c r="AD112" s="115"/>
      <c r="AE112" s="114">
        <v>29.7</v>
      </c>
      <c r="AF112" s="114"/>
      <c r="AG112" s="115"/>
      <c r="AH112" s="116"/>
      <c r="AI112" s="117"/>
      <c r="AJ112" s="116">
        <v>29.8</v>
      </c>
      <c r="AK112" s="116"/>
      <c r="AL112" s="116"/>
      <c r="AM112" s="116"/>
      <c r="AN112" s="116"/>
      <c r="AO112" s="116"/>
      <c r="AP112" s="116"/>
      <c r="AQ112" s="116"/>
      <c r="AR112" s="116">
        <v>28.4</v>
      </c>
      <c r="AS112" s="116"/>
      <c r="AT112" s="116"/>
      <c r="AU112" s="116"/>
      <c r="AV112" s="116"/>
      <c r="AW112" s="116"/>
      <c r="AX112" s="116">
        <v>13</v>
      </c>
      <c r="AY112" s="116"/>
      <c r="AZ112" s="124"/>
      <c r="BA112" s="124" t="s">
        <v>142</v>
      </c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116"/>
      <c r="DE112" s="116"/>
      <c r="DF112" s="116"/>
      <c r="DG112" s="116"/>
      <c r="DH112" s="116"/>
      <c r="DI112" s="116"/>
      <c r="DJ112" s="118"/>
      <c r="DK112" s="118"/>
      <c r="DL112" s="118"/>
      <c r="DM112" s="118"/>
      <c r="DN112" s="118"/>
      <c r="DO112" s="118"/>
      <c r="DP112" s="118"/>
      <c r="DQ112" s="118"/>
      <c r="DR112" s="118"/>
      <c r="DS112" s="118"/>
      <c r="DT112" s="118"/>
      <c r="DU112" s="118"/>
      <c r="DV112" s="118"/>
      <c r="DW112" s="118"/>
      <c r="DX112" s="118"/>
      <c r="DY112" s="118"/>
      <c r="DZ112" s="118"/>
      <c r="EA112" s="118"/>
      <c r="EB112" s="118"/>
      <c r="EC112" s="118"/>
      <c r="ED112" s="118"/>
      <c r="EE112" s="118"/>
      <c r="EF112" s="118"/>
      <c r="EG112" s="118"/>
      <c r="EH112" s="118"/>
      <c r="EI112" s="118"/>
      <c r="EJ112" s="118"/>
      <c r="EK112" s="118"/>
    </row>
    <row r="113" spans="1:141" s="119" customFormat="1" x14ac:dyDescent="0.2">
      <c r="A113" s="121" t="s">
        <v>43</v>
      </c>
      <c r="B113" s="108">
        <v>521</v>
      </c>
      <c r="C113" s="108" t="s">
        <v>53</v>
      </c>
      <c r="D113" s="105" t="s">
        <v>12</v>
      </c>
      <c r="E113" s="110">
        <v>40813</v>
      </c>
      <c r="F113" s="110">
        <v>40861</v>
      </c>
      <c r="G113" s="105" t="s">
        <v>36</v>
      </c>
      <c r="H113" s="105" t="s">
        <v>36</v>
      </c>
      <c r="I113" s="105" t="s">
        <v>36</v>
      </c>
      <c r="J113" s="111">
        <v>40795</v>
      </c>
      <c r="K113" s="111">
        <v>40814</v>
      </c>
      <c r="L113" s="105" t="s">
        <v>35</v>
      </c>
      <c r="M113" s="105" t="s">
        <v>35</v>
      </c>
      <c r="N113" s="112"/>
      <c r="O113" s="105" t="s">
        <v>36</v>
      </c>
      <c r="P113" s="113"/>
      <c r="Q113" s="113"/>
      <c r="R113" s="113"/>
      <c r="S113" s="113"/>
      <c r="T113" s="114"/>
      <c r="U113" s="113"/>
      <c r="V113" s="113"/>
      <c r="W113" s="113"/>
      <c r="X113" s="115">
        <v>27</v>
      </c>
      <c r="Y113" s="113"/>
      <c r="Z113" s="115"/>
      <c r="AA113" s="115"/>
      <c r="AB113" s="115"/>
      <c r="AC113" s="115">
        <v>26.9</v>
      </c>
      <c r="AD113" s="115"/>
      <c r="AE113" s="114">
        <v>27.9</v>
      </c>
      <c r="AF113" s="114"/>
      <c r="AG113" s="115"/>
      <c r="AH113" s="116"/>
      <c r="AI113" s="117"/>
      <c r="AJ113" s="116">
        <v>26.5</v>
      </c>
      <c r="AK113" s="116"/>
      <c r="AL113" s="116"/>
      <c r="AM113" s="116"/>
      <c r="AN113" s="116"/>
      <c r="AO113" s="116"/>
      <c r="AP113" s="116"/>
      <c r="AQ113" s="116"/>
      <c r="AR113" s="116">
        <v>21.9</v>
      </c>
      <c r="AS113" s="116"/>
      <c r="AT113" s="116"/>
      <c r="AU113" s="116"/>
      <c r="AV113" s="116"/>
      <c r="AW113" s="116"/>
      <c r="AX113" s="116">
        <v>21</v>
      </c>
      <c r="AY113" s="116"/>
      <c r="AZ113" s="116"/>
      <c r="BA113" s="116"/>
      <c r="BB113" s="116"/>
      <c r="BC113" s="116"/>
      <c r="BD113" s="116"/>
      <c r="BE113" s="116">
        <v>17.899999999999999</v>
      </c>
      <c r="BF113" s="116"/>
      <c r="BG113" s="116"/>
      <c r="BH113" s="116"/>
      <c r="BI113" s="116"/>
      <c r="BJ113" s="116"/>
      <c r="BK113" s="116"/>
      <c r="BL113" s="116"/>
      <c r="BM113" s="116" t="s">
        <v>142</v>
      </c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  <c r="CX113" s="116"/>
      <c r="CY113" s="116"/>
      <c r="CZ113" s="116"/>
      <c r="DA113" s="116"/>
      <c r="DB113" s="116"/>
      <c r="DC113" s="116"/>
      <c r="DD113" s="116"/>
      <c r="DE113" s="116"/>
      <c r="DF113" s="116"/>
      <c r="DG113" s="116"/>
      <c r="DH113" s="116"/>
      <c r="DI113" s="116"/>
      <c r="DJ113" s="118"/>
      <c r="DK113" s="118"/>
      <c r="DL113" s="118"/>
      <c r="DM113" s="118"/>
      <c r="DN113" s="118"/>
      <c r="DO113" s="118"/>
      <c r="DP113" s="118"/>
      <c r="DQ113" s="118"/>
      <c r="DR113" s="118"/>
      <c r="DS113" s="118"/>
      <c r="DT113" s="118"/>
      <c r="DU113" s="118"/>
      <c r="DV113" s="118"/>
      <c r="DW113" s="118"/>
      <c r="DX113" s="118"/>
      <c r="DY113" s="118"/>
      <c r="DZ113" s="118"/>
      <c r="EA113" s="118"/>
      <c r="EB113" s="118"/>
      <c r="EC113" s="118"/>
      <c r="ED113" s="118"/>
      <c r="EE113" s="118"/>
      <c r="EF113" s="118"/>
      <c r="EG113" s="118"/>
      <c r="EH113" s="118"/>
      <c r="EI113" s="118"/>
      <c r="EJ113" s="118"/>
      <c r="EK113" s="118"/>
    </row>
    <row r="114" spans="1:141" s="119" customFormat="1" x14ac:dyDescent="0.2">
      <c r="A114" s="121"/>
      <c r="B114" s="108"/>
      <c r="C114" s="108"/>
      <c r="D114" s="105" t="s">
        <v>13</v>
      </c>
      <c r="E114" s="110"/>
      <c r="F114" s="110"/>
      <c r="G114" s="105"/>
      <c r="H114" s="105"/>
      <c r="I114" s="105"/>
      <c r="J114" s="111"/>
      <c r="K114" s="111"/>
      <c r="L114" s="105"/>
      <c r="M114" s="105"/>
      <c r="N114" s="112"/>
      <c r="O114" s="105"/>
      <c r="P114" s="113"/>
      <c r="Q114" s="113"/>
      <c r="R114" s="113"/>
      <c r="S114" s="113"/>
      <c r="T114" s="114"/>
      <c r="U114" s="113"/>
      <c r="V114" s="113"/>
      <c r="W114" s="113"/>
      <c r="X114" s="115">
        <v>31</v>
      </c>
      <c r="Y114" s="113"/>
      <c r="Z114" s="115"/>
      <c r="AA114" s="115"/>
      <c r="AB114" s="115"/>
      <c r="AC114" s="115">
        <v>30</v>
      </c>
      <c r="AD114" s="115"/>
      <c r="AE114" s="114">
        <v>29</v>
      </c>
      <c r="AF114" s="114"/>
      <c r="AG114" s="115"/>
      <c r="AH114" s="116"/>
      <c r="AI114" s="117"/>
      <c r="AJ114" s="116">
        <v>28.5</v>
      </c>
      <c r="AK114" s="116"/>
      <c r="AL114" s="116"/>
      <c r="AM114" s="116"/>
      <c r="AN114" s="116"/>
      <c r="AO114" s="116"/>
      <c r="AP114" s="116"/>
      <c r="AQ114" s="116"/>
      <c r="AR114" s="116">
        <v>26.2</v>
      </c>
      <c r="AS114" s="116"/>
      <c r="AT114" s="116"/>
      <c r="AU114" s="116"/>
      <c r="AV114" s="116"/>
      <c r="AW114" s="116"/>
      <c r="AX114" s="116">
        <v>15.5</v>
      </c>
      <c r="AY114" s="116"/>
      <c r="AZ114" s="116"/>
      <c r="BA114" s="116"/>
      <c r="BB114" s="116"/>
      <c r="BC114" s="116"/>
      <c r="BD114" s="116"/>
      <c r="BE114" s="116">
        <v>19</v>
      </c>
      <c r="BF114" s="116"/>
      <c r="BG114" s="116"/>
      <c r="BH114" s="116"/>
      <c r="BI114" s="116"/>
      <c r="BJ114" s="116"/>
      <c r="BK114" s="116"/>
      <c r="BL114" s="116" t="s">
        <v>142</v>
      </c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8"/>
      <c r="DK114" s="118"/>
      <c r="DL114" s="118"/>
      <c r="DM114" s="118"/>
      <c r="DN114" s="118"/>
      <c r="DO114" s="118"/>
      <c r="DP114" s="118"/>
      <c r="DQ114" s="118"/>
      <c r="DR114" s="118"/>
      <c r="DS114" s="118"/>
      <c r="DT114" s="118"/>
      <c r="DU114" s="118"/>
      <c r="DV114" s="118"/>
      <c r="DW114" s="118"/>
      <c r="DX114" s="118"/>
      <c r="DY114" s="118"/>
      <c r="DZ114" s="118"/>
      <c r="EA114" s="118"/>
      <c r="EB114" s="118"/>
      <c r="EC114" s="118"/>
      <c r="ED114" s="118"/>
      <c r="EE114" s="118"/>
      <c r="EF114" s="118"/>
      <c r="EG114" s="118"/>
      <c r="EH114" s="118"/>
      <c r="EI114" s="118"/>
      <c r="EJ114" s="118"/>
      <c r="EK114" s="118"/>
    </row>
    <row r="115" spans="1:141" s="119" customFormat="1" x14ac:dyDescent="0.2">
      <c r="A115" s="121" t="s">
        <v>34</v>
      </c>
      <c r="B115" s="108">
        <v>522</v>
      </c>
      <c r="C115" s="108" t="s">
        <v>53</v>
      </c>
      <c r="D115" s="105" t="s">
        <v>12</v>
      </c>
      <c r="E115" s="110" t="s">
        <v>126</v>
      </c>
      <c r="F115" s="110" t="s">
        <v>126</v>
      </c>
      <c r="G115" s="105" t="s">
        <v>36</v>
      </c>
      <c r="H115" s="105" t="s">
        <v>36</v>
      </c>
      <c r="I115" s="105" t="s">
        <v>36</v>
      </c>
      <c r="J115" s="111">
        <v>40788</v>
      </c>
      <c r="K115" s="111">
        <v>40814</v>
      </c>
      <c r="L115" s="105" t="s">
        <v>35</v>
      </c>
      <c r="M115" s="105" t="s">
        <v>35</v>
      </c>
      <c r="N115" s="112"/>
      <c r="O115" s="105" t="s">
        <v>36</v>
      </c>
      <c r="P115" s="113"/>
      <c r="Q115" s="113"/>
      <c r="R115" s="113"/>
      <c r="S115" s="113"/>
      <c r="T115" s="114"/>
      <c r="U115" s="113"/>
      <c r="V115" s="113"/>
      <c r="W115" s="113">
        <v>28.2</v>
      </c>
      <c r="X115" s="115"/>
      <c r="Y115" s="113"/>
      <c r="Z115" s="115"/>
      <c r="AA115" s="115"/>
      <c r="AB115" s="115"/>
      <c r="AC115" s="115"/>
      <c r="AD115" s="115"/>
      <c r="AE115" s="114">
        <v>26.4</v>
      </c>
      <c r="AF115" s="114"/>
      <c r="AG115" s="115"/>
      <c r="AH115" s="116"/>
      <c r="AI115" s="117"/>
      <c r="AJ115" s="116"/>
      <c r="AK115" s="116"/>
      <c r="AL115" s="116"/>
      <c r="AM115" s="116"/>
      <c r="AN115" s="116"/>
      <c r="AO115" s="116"/>
      <c r="AP115" s="116">
        <v>20</v>
      </c>
      <c r="AQ115" s="116"/>
      <c r="AR115" s="116"/>
      <c r="AS115" s="116"/>
      <c r="AT115" s="116"/>
      <c r="AU115" s="116"/>
      <c r="AV115" s="116"/>
      <c r="AW115" s="116"/>
      <c r="AX115" s="116">
        <v>15.9</v>
      </c>
      <c r="AY115" s="116">
        <v>14.8</v>
      </c>
      <c r="AZ115" s="116"/>
      <c r="BA115" s="124"/>
      <c r="BB115" s="116"/>
      <c r="BC115" s="116"/>
      <c r="BD115" s="116"/>
      <c r="BE115" s="116">
        <v>14.1</v>
      </c>
      <c r="BF115" s="116"/>
      <c r="BG115" s="116"/>
      <c r="BH115" s="116"/>
      <c r="BI115" s="116"/>
      <c r="BJ115" s="116"/>
      <c r="BK115" s="116">
        <v>13</v>
      </c>
      <c r="BL115" s="116"/>
      <c r="BM115" s="116"/>
      <c r="BN115" s="116"/>
      <c r="BO115" s="116"/>
      <c r="BP115" s="116"/>
      <c r="BQ115" s="116"/>
      <c r="BR115" s="116">
        <v>11.2</v>
      </c>
      <c r="BS115" s="116"/>
      <c r="BT115" s="116"/>
      <c r="BU115" s="116" t="s">
        <v>142</v>
      </c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  <c r="CY115" s="116"/>
      <c r="CZ115" s="116"/>
      <c r="DA115" s="116"/>
      <c r="DB115" s="116"/>
      <c r="DC115" s="116"/>
      <c r="DD115" s="116"/>
      <c r="DE115" s="116"/>
      <c r="DF115" s="116"/>
      <c r="DG115" s="116"/>
      <c r="DH115" s="116"/>
      <c r="DI115" s="116"/>
      <c r="DJ115" s="118"/>
      <c r="DK115" s="118"/>
      <c r="DL115" s="118"/>
      <c r="DM115" s="118"/>
      <c r="DN115" s="118"/>
      <c r="DO115" s="118"/>
      <c r="DP115" s="118"/>
      <c r="DQ115" s="118"/>
      <c r="DR115" s="118"/>
      <c r="DS115" s="118"/>
      <c r="DT115" s="118"/>
      <c r="DU115" s="118"/>
      <c r="DV115" s="118"/>
      <c r="DW115" s="118"/>
      <c r="DX115" s="118"/>
      <c r="DY115" s="118"/>
      <c r="DZ115" s="118"/>
      <c r="EA115" s="118"/>
      <c r="EB115" s="118"/>
      <c r="EC115" s="118"/>
      <c r="ED115" s="118"/>
      <c r="EE115" s="118"/>
      <c r="EF115" s="118"/>
      <c r="EG115" s="118"/>
      <c r="EH115" s="118"/>
      <c r="EI115" s="118"/>
      <c r="EJ115" s="118"/>
      <c r="EK115" s="118"/>
    </row>
    <row r="116" spans="1:141" s="119" customFormat="1" x14ac:dyDescent="0.2">
      <c r="A116" s="121"/>
      <c r="B116" s="108"/>
      <c r="C116" s="108"/>
      <c r="D116" s="105" t="s">
        <v>13</v>
      </c>
      <c r="E116" s="110"/>
      <c r="F116" s="110"/>
      <c r="G116" s="105"/>
      <c r="H116" s="105"/>
      <c r="I116" s="105"/>
      <c r="J116" s="111"/>
      <c r="K116" s="111"/>
      <c r="L116" s="105"/>
      <c r="M116" s="105"/>
      <c r="N116" s="112"/>
      <c r="O116" s="105"/>
      <c r="P116" s="113"/>
      <c r="Q116" s="113"/>
      <c r="R116" s="113"/>
      <c r="S116" s="113"/>
      <c r="T116" s="114"/>
      <c r="U116" s="113"/>
      <c r="V116" s="113"/>
      <c r="W116" s="113">
        <v>32</v>
      </c>
      <c r="X116" s="115"/>
      <c r="Y116" s="113"/>
      <c r="Z116" s="115"/>
      <c r="AA116" s="115"/>
      <c r="AB116" s="115"/>
      <c r="AC116" s="115"/>
      <c r="AD116" s="115"/>
      <c r="AE116" s="114">
        <v>30</v>
      </c>
      <c r="AF116" s="114"/>
      <c r="AG116" s="115"/>
      <c r="AH116" s="116"/>
      <c r="AI116" s="117"/>
      <c r="AJ116" s="116"/>
      <c r="AK116" s="116"/>
      <c r="AL116" s="116"/>
      <c r="AM116" s="116"/>
      <c r="AN116" s="116"/>
      <c r="AO116" s="116"/>
      <c r="AP116" s="116">
        <v>16.100000000000001</v>
      </c>
      <c r="AQ116" s="116"/>
      <c r="AR116" s="116"/>
      <c r="AS116" s="116"/>
      <c r="AT116" s="116"/>
      <c r="AU116" s="116"/>
      <c r="AV116" s="116"/>
      <c r="AW116" s="116"/>
      <c r="AX116" s="116">
        <v>13</v>
      </c>
      <c r="AY116" s="116">
        <v>13.9</v>
      </c>
      <c r="AZ116" s="124"/>
      <c r="BA116" s="116"/>
      <c r="BB116" s="116"/>
      <c r="BC116" s="116"/>
      <c r="BD116" s="116"/>
      <c r="BE116" s="116">
        <v>12.2</v>
      </c>
      <c r="BF116" s="116"/>
      <c r="BG116" s="116"/>
      <c r="BH116" s="116"/>
      <c r="BI116" s="116"/>
      <c r="BJ116" s="116"/>
      <c r="BK116" s="116">
        <v>11.5</v>
      </c>
      <c r="BL116" s="116"/>
      <c r="BM116" s="116"/>
      <c r="BN116" s="116"/>
      <c r="BO116" s="116"/>
      <c r="BP116" s="116"/>
      <c r="BQ116" s="116"/>
      <c r="BR116" s="116">
        <v>10.8</v>
      </c>
      <c r="BS116" s="116"/>
      <c r="BT116" s="116" t="s">
        <v>142</v>
      </c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  <c r="CX116" s="116"/>
      <c r="CY116" s="116"/>
      <c r="CZ116" s="116"/>
      <c r="DA116" s="116"/>
      <c r="DB116" s="116"/>
      <c r="DC116" s="116"/>
      <c r="DD116" s="116"/>
      <c r="DE116" s="116"/>
      <c r="DF116" s="116"/>
      <c r="DG116" s="116"/>
      <c r="DH116" s="116"/>
      <c r="DI116" s="116"/>
      <c r="DJ116" s="118"/>
      <c r="DK116" s="118"/>
      <c r="DL116" s="118"/>
      <c r="DM116" s="118"/>
      <c r="DN116" s="118"/>
      <c r="DO116" s="118"/>
      <c r="DP116" s="118"/>
      <c r="DQ116" s="118"/>
      <c r="DR116" s="118"/>
      <c r="DS116" s="118"/>
      <c r="DT116" s="118"/>
      <c r="DU116" s="118"/>
      <c r="DV116" s="118"/>
      <c r="DW116" s="118"/>
      <c r="DX116" s="118"/>
      <c r="DY116" s="118"/>
      <c r="DZ116" s="118"/>
      <c r="EA116" s="118"/>
      <c r="EB116" s="118"/>
      <c r="EC116" s="118"/>
      <c r="ED116" s="118"/>
      <c r="EE116" s="118"/>
      <c r="EF116" s="118"/>
      <c r="EG116" s="118"/>
      <c r="EH116" s="118"/>
      <c r="EI116" s="118"/>
      <c r="EJ116" s="118"/>
      <c r="EK116" s="118"/>
    </row>
    <row r="117" spans="1:141" s="119" customFormat="1" x14ac:dyDescent="0.2">
      <c r="A117" s="121" t="s">
        <v>44</v>
      </c>
      <c r="B117" s="108">
        <v>523</v>
      </c>
      <c r="C117" s="108" t="s">
        <v>125</v>
      </c>
      <c r="D117" s="105" t="s">
        <v>12</v>
      </c>
      <c r="E117" s="110" t="s">
        <v>126</v>
      </c>
      <c r="F117" s="110" t="s">
        <v>126</v>
      </c>
      <c r="G117" s="105" t="s">
        <v>35</v>
      </c>
      <c r="H117" s="105" t="s">
        <v>36</v>
      </c>
      <c r="I117" s="105" t="s">
        <v>126</v>
      </c>
      <c r="J117" s="111">
        <v>40788</v>
      </c>
      <c r="K117" s="111">
        <v>40793</v>
      </c>
      <c r="L117" s="105" t="s">
        <v>35</v>
      </c>
      <c r="M117" s="105" t="s">
        <v>35</v>
      </c>
      <c r="N117" s="112"/>
      <c r="O117" s="105" t="s">
        <v>36</v>
      </c>
      <c r="P117" s="113"/>
      <c r="Q117" s="113"/>
      <c r="R117" s="113"/>
      <c r="S117" s="113"/>
      <c r="T117" s="114"/>
      <c r="U117" s="113"/>
      <c r="V117" s="113"/>
      <c r="W117" s="113">
        <v>21</v>
      </c>
      <c r="X117" s="115"/>
      <c r="Y117" s="113"/>
      <c r="Z117" s="115"/>
      <c r="AA117" s="115"/>
      <c r="AB117" s="115"/>
      <c r="AC117" s="115">
        <v>16.5</v>
      </c>
      <c r="AD117" s="115"/>
      <c r="AE117" s="114">
        <v>17.5</v>
      </c>
      <c r="AF117" s="114"/>
      <c r="AG117" s="115"/>
      <c r="AH117" s="116"/>
      <c r="AI117" s="117">
        <v>15.7</v>
      </c>
      <c r="AJ117" s="116"/>
      <c r="AK117" s="116"/>
      <c r="AL117" s="116"/>
      <c r="AM117" s="116"/>
      <c r="AN117" s="116"/>
      <c r="AO117" s="116"/>
      <c r="AP117" s="116">
        <v>15.7</v>
      </c>
      <c r="AQ117" s="116"/>
      <c r="AR117" s="116"/>
      <c r="AS117" s="116"/>
      <c r="AT117" s="116"/>
      <c r="AU117" s="116"/>
      <c r="AV117" s="116"/>
      <c r="AW117" s="116">
        <v>13.5</v>
      </c>
      <c r="AX117" s="116"/>
      <c r="AY117" s="116"/>
      <c r="AZ117" s="116"/>
      <c r="BA117" s="124" t="s">
        <v>142</v>
      </c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16"/>
      <c r="CX117" s="116"/>
      <c r="CY117" s="116"/>
      <c r="CZ117" s="116"/>
      <c r="DA117" s="116"/>
      <c r="DB117" s="116"/>
      <c r="DC117" s="116"/>
      <c r="DD117" s="116"/>
      <c r="DE117" s="116"/>
      <c r="DF117" s="116"/>
      <c r="DG117" s="116"/>
      <c r="DH117" s="116"/>
      <c r="DI117" s="116"/>
      <c r="DJ117" s="118"/>
      <c r="DK117" s="118"/>
      <c r="DL117" s="118"/>
      <c r="DM117" s="118"/>
      <c r="DN117" s="118"/>
      <c r="DO117" s="118"/>
      <c r="DP117" s="118"/>
      <c r="DQ117" s="118"/>
      <c r="DR117" s="118"/>
      <c r="DS117" s="118"/>
      <c r="DT117" s="118"/>
      <c r="DU117" s="118"/>
      <c r="DV117" s="118"/>
      <c r="DW117" s="118"/>
      <c r="DX117" s="118"/>
      <c r="DY117" s="118"/>
      <c r="DZ117" s="118"/>
      <c r="EA117" s="118"/>
      <c r="EB117" s="118"/>
      <c r="EC117" s="118"/>
      <c r="ED117" s="118"/>
      <c r="EE117" s="118"/>
      <c r="EF117" s="118"/>
      <c r="EG117" s="118"/>
      <c r="EH117" s="118"/>
      <c r="EI117" s="118"/>
      <c r="EJ117" s="118"/>
      <c r="EK117" s="118"/>
    </row>
    <row r="118" spans="1:141" s="119" customFormat="1" x14ac:dyDescent="0.2">
      <c r="A118" s="121"/>
      <c r="B118" s="108"/>
      <c r="C118" s="108"/>
      <c r="D118" s="105" t="s">
        <v>13</v>
      </c>
      <c r="E118" s="110"/>
      <c r="F118" s="110"/>
      <c r="G118" s="105"/>
      <c r="H118" s="105"/>
      <c r="I118" s="105"/>
      <c r="J118" s="111"/>
      <c r="K118" s="111"/>
      <c r="L118" s="105"/>
      <c r="M118" s="105"/>
      <c r="N118" s="112"/>
      <c r="O118" s="105"/>
      <c r="P118" s="113"/>
      <c r="Q118" s="113"/>
      <c r="R118" s="113"/>
      <c r="S118" s="113"/>
      <c r="T118" s="114"/>
      <c r="U118" s="113"/>
      <c r="V118" s="113"/>
      <c r="W118" s="113">
        <v>27.6</v>
      </c>
      <c r="X118" s="115"/>
      <c r="Y118" s="113"/>
      <c r="Z118" s="115"/>
      <c r="AA118" s="115"/>
      <c r="AB118" s="115"/>
      <c r="AC118" s="115">
        <v>23.9</v>
      </c>
      <c r="AD118" s="115"/>
      <c r="AE118" s="114">
        <v>25.2</v>
      </c>
      <c r="AF118" s="114"/>
      <c r="AG118" s="115"/>
      <c r="AH118" s="116"/>
      <c r="AI118" s="117">
        <v>20.9</v>
      </c>
      <c r="AJ118" s="116"/>
      <c r="AK118" s="116"/>
      <c r="AL118" s="116"/>
      <c r="AM118" s="116"/>
      <c r="AN118" s="116"/>
      <c r="AO118" s="116"/>
      <c r="AP118" s="116">
        <v>20.7</v>
      </c>
      <c r="AQ118" s="116"/>
      <c r="AR118" s="116"/>
      <c r="AS118" s="116"/>
      <c r="AT118" s="116"/>
      <c r="AU118" s="116"/>
      <c r="AV118" s="116"/>
      <c r="AW118" s="116">
        <v>13.5</v>
      </c>
      <c r="AX118" s="116"/>
      <c r="AY118" s="116"/>
      <c r="AZ118" s="124" t="s">
        <v>142</v>
      </c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  <c r="CX118" s="116"/>
      <c r="CY118" s="116"/>
      <c r="CZ118" s="116"/>
      <c r="DA118" s="116"/>
      <c r="DB118" s="116"/>
      <c r="DC118" s="116"/>
      <c r="DD118" s="116"/>
      <c r="DE118" s="116"/>
      <c r="DF118" s="116"/>
      <c r="DG118" s="116"/>
      <c r="DH118" s="116"/>
      <c r="DI118" s="116"/>
      <c r="DJ118" s="118"/>
      <c r="DK118" s="118"/>
      <c r="DL118" s="118"/>
      <c r="DM118" s="118"/>
      <c r="DN118" s="118"/>
      <c r="DO118" s="118"/>
      <c r="DP118" s="118"/>
      <c r="DQ118" s="118"/>
      <c r="DR118" s="118"/>
      <c r="DS118" s="118"/>
      <c r="DT118" s="118"/>
      <c r="DU118" s="118"/>
      <c r="DV118" s="118"/>
      <c r="DW118" s="118"/>
      <c r="DX118" s="118"/>
      <c r="DY118" s="118"/>
      <c r="DZ118" s="118"/>
      <c r="EA118" s="118"/>
      <c r="EB118" s="118"/>
      <c r="EC118" s="118"/>
      <c r="ED118" s="118"/>
      <c r="EE118" s="118"/>
      <c r="EF118" s="118"/>
      <c r="EG118" s="118"/>
      <c r="EH118" s="118"/>
      <c r="EI118" s="118"/>
      <c r="EJ118" s="118"/>
      <c r="EK118" s="118"/>
    </row>
    <row r="119" spans="1:141" s="119" customFormat="1" x14ac:dyDescent="0.2">
      <c r="A119" s="121" t="s">
        <v>44</v>
      </c>
      <c r="B119" s="108">
        <v>524</v>
      </c>
      <c r="C119" s="108" t="s">
        <v>55</v>
      </c>
      <c r="D119" s="105" t="s">
        <v>12</v>
      </c>
      <c r="E119" s="110" t="s">
        <v>126</v>
      </c>
      <c r="F119" s="110" t="s">
        <v>126</v>
      </c>
      <c r="G119" s="105" t="s">
        <v>35</v>
      </c>
      <c r="H119" s="105" t="s">
        <v>36</v>
      </c>
      <c r="I119" s="105" t="s">
        <v>126</v>
      </c>
      <c r="J119" s="111">
        <v>40788</v>
      </c>
      <c r="K119" s="111">
        <v>40793</v>
      </c>
      <c r="L119" s="105" t="s">
        <v>35</v>
      </c>
      <c r="M119" s="105" t="s">
        <v>35</v>
      </c>
      <c r="N119" s="112"/>
      <c r="O119" s="105" t="s">
        <v>36</v>
      </c>
      <c r="P119" s="113"/>
      <c r="Q119" s="113"/>
      <c r="R119" s="113"/>
      <c r="S119" s="113"/>
      <c r="T119" s="114"/>
      <c r="U119" s="113"/>
      <c r="V119" s="113"/>
      <c r="W119" s="113">
        <v>24</v>
      </c>
      <c r="X119" s="115"/>
      <c r="Y119" s="113"/>
      <c r="Z119" s="115"/>
      <c r="AA119" s="115"/>
      <c r="AB119" s="115"/>
      <c r="AC119" s="115">
        <v>19.2</v>
      </c>
      <c r="AD119" s="115"/>
      <c r="AE119" s="114">
        <v>19</v>
      </c>
      <c r="AF119" s="114"/>
      <c r="AG119" s="115"/>
      <c r="AH119" s="116"/>
      <c r="AI119" s="117">
        <v>16.100000000000001</v>
      </c>
      <c r="AJ119" s="116"/>
      <c r="AK119" s="116"/>
      <c r="AL119" s="116"/>
      <c r="AM119" s="116"/>
      <c r="AN119" s="116"/>
      <c r="AO119" s="116"/>
      <c r="AP119" s="116">
        <v>16.100000000000001</v>
      </c>
      <c r="AQ119" s="116"/>
      <c r="AR119" s="116"/>
      <c r="AS119" s="116"/>
      <c r="AT119" s="116"/>
      <c r="AU119" s="116"/>
      <c r="AV119" s="116"/>
      <c r="AW119" s="116">
        <v>13.5</v>
      </c>
      <c r="AX119" s="116"/>
      <c r="AY119" s="116"/>
      <c r="AZ119" s="116"/>
      <c r="BA119" s="124" t="s">
        <v>142</v>
      </c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  <c r="CX119" s="116"/>
      <c r="CY119" s="116"/>
      <c r="CZ119" s="116"/>
      <c r="DA119" s="116"/>
      <c r="DB119" s="116"/>
      <c r="DC119" s="116"/>
      <c r="DD119" s="116"/>
      <c r="DE119" s="116"/>
      <c r="DF119" s="116"/>
      <c r="DG119" s="116"/>
      <c r="DH119" s="116"/>
      <c r="DI119" s="116"/>
      <c r="DJ119" s="118"/>
      <c r="DK119" s="118"/>
      <c r="DL119" s="118"/>
      <c r="DM119" s="118"/>
      <c r="DN119" s="118"/>
      <c r="DO119" s="118"/>
      <c r="DP119" s="118"/>
      <c r="DQ119" s="118"/>
      <c r="DR119" s="118"/>
      <c r="DS119" s="118"/>
      <c r="DT119" s="118"/>
      <c r="DU119" s="118"/>
      <c r="DV119" s="118"/>
      <c r="DW119" s="118"/>
      <c r="DX119" s="118"/>
      <c r="DY119" s="118"/>
      <c r="DZ119" s="118"/>
      <c r="EA119" s="118"/>
      <c r="EB119" s="118"/>
      <c r="EC119" s="118"/>
      <c r="ED119" s="118"/>
      <c r="EE119" s="118"/>
      <c r="EF119" s="118"/>
      <c r="EG119" s="118"/>
      <c r="EH119" s="118"/>
      <c r="EI119" s="118"/>
      <c r="EJ119" s="118"/>
      <c r="EK119" s="118"/>
    </row>
    <row r="120" spans="1:141" s="119" customFormat="1" x14ac:dyDescent="0.2">
      <c r="A120" s="121"/>
      <c r="B120" s="108"/>
      <c r="C120" s="108"/>
      <c r="D120" s="105" t="s">
        <v>13</v>
      </c>
      <c r="E120" s="110"/>
      <c r="F120" s="110"/>
      <c r="G120" s="105"/>
      <c r="H120" s="105"/>
      <c r="I120" s="105"/>
      <c r="J120" s="111"/>
      <c r="K120" s="111"/>
      <c r="L120" s="105"/>
      <c r="M120" s="105"/>
      <c r="N120" s="112"/>
      <c r="O120" s="105"/>
      <c r="P120" s="113"/>
      <c r="Q120" s="113"/>
      <c r="R120" s="113"/>
      <c r="S120" s="113"/>
      <c r="T120" s="114"/>
      <c r="U120" s="113"/>
      <c r="V120" s="113"/>
      <c r="W120" s="113">
        <v>27.6</v>
      </c>
      <c r="X120" s="115"/>
      <c r="Y120" s="113"/>
      <c r="Z120" s="115"/>
      <c r="AA120" s="115"/>
      <c r="AB120" s="115"/>
      <c r="AC120" s="115">
        <v>26</v>
      </c>
      <c r="AD120" s="115"/>
      <c r="AE120" s="125">
        <v>23</v>
      </c>
      <c r="AF120" s="125"/>
      <c r="AG120" s="115"/>
      <c r="AH120" s="116"/>
      <c r="AI120" s="117">
        <v>19</v>
      </c>
      <c r="AJ120" s="116"/>
      <c r="AK120" s="116"/>
      <c r="AL120" s="116"/>
      <c r="AM120" s="116"/>
      <c r="AN120" s="116"/>
      <c r="AO120" s="116"/>
      <c r="AP120" s="116">
        <v>20.7</v>
      </c>
      <c r="AQ120" s="116"/>
      <c r="AR120" s="116"/>
      <c r="AS120" s="116"/>
      <c r="AT120" s="116"/>
      <c r="AU120" s="116"/>
      <c r="AV120" s="116"/>
      <c r="AW120" s="116">
        <v>13.5</v>
      </c>
      <c r="AX120" s="116"/>
      <c r="AY120" s="116"/>
      <c r="AZ120" s="124" t="s">
        <v>142</v>
      </c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  <c r="CY120" s="116"/>
      <c r="CZ120" s="116"/>
      <c r="DA120" s="116"/>
      <c r="DB120" s="116"/>
      <c r="DC120" s="116"/>
      <c r="DD120" s="116"/>
      <c r="DE120" s="116"/>
      <c r="DF120" s="116"/>
      <c r="DG120" s="116"/>
      <c r="DH120" s="116"/>
      <c r="DI120" s="116"/>
      <c r="DJ120" s="118"/>
      <c r="DK120" s="118"/>
      <c r="DL120" s="118"/>
      <c r="DM120" s="118"/>
      <c r="DN120" s="118"/>
      <c r="DO120" s="118"/>
      <c r="DP120" s="118"/>
      <c r="DQ120" s="118"/>
      <c r="DR120" s="118"/>
      <c r="DS120" s="118"/>
      <c r="DT120" s="118"/>
      <c r="DU120" s="118"/>
      <c r="DV120" s="118"/>
      <c r="DW120" s="118"/>
      <c r="DX120" s="118"/>
      <c r="DY120" s="118"/>
      <c r="DZ120" s="118"/>
      <c r="EA120" s="118"/>
      <c r="EB120" s="118"/>
      <c r="EC120" s="118"/>
      <c r="ED120" s="118"/>
      <c r="EE120" s="118"/>
      <c r="EF120" s="118"/>
      <c r="EG120" s="118"/>
      <c r="EH120" s="118"/>
      <c r="EI120" s="118"/>
      <c r="EJ120" s="118"/>
      <c r="EK120" s="118"/>
    </row>
    <row r="121" spans="1:141" s="119" customFormat="1" x14ac:dyDescent="0.2">
      <c r="A121" s="121" t="s">
        <v>43</v>
      </c>
      <c r="B121" s="108">
        <v>525</v>
      </c>
      <c r="C121" s="108" t="s">
        <v>136</v>
      </c>
      <c r="D121" s="105" t="s">
        <v>12</v>
      </c>
      <c r="E121" s="110">
        <v>40806</v>
      </c>
      <c r="F121" s="110">
        <v>40861</v>
      </c>
      <c r="G121" s="105" t="s">
        <v>35</v>
      </c>
      <c r="H121" s="105" t="s">
        <v>36</v>
      </c>
      <c r="I121" s="105" t="s">
        <v>126</v>
      </c>
      <c r="J121" s="111">
        <v>40797</v>
      </c>
      <c r="K121" s="111">
        <v>40808</v>
      </c>
      <c r="L121" s="105" t="s">
        <v>35</v>
      </c>
      <c r="M121" s="105" t="s">
        <v>35</v>
      </c>
      <c r="N121" s="112"/>
      <c r="O121" s="105" t="s">
        <v>36</v>
      </c>
      <c r="P121" s="113"/>
      <c r="Q121" s="113"/>
      <c r="R121" s="113"/>
      <c r="S121" s="113"/>
      <c r="T121" s="114"/>
      <c r="U121" s="113"/>
      <c r="V121" s="113"/>
      <c r="W121" s="113"/>
      <c r="X121" s="115">
        <v>30.5</v>
      </c>
      <c r="Y121" s="113"/>
      <c r="Z121" s="115"/>
      <c r="AA121" s="115"/>
      <c r="AB121" s="115"/>
      <c r="AC121" s="115"/>
      <c r="AD121" s="115"/>
      <c r="AE121" s="125">
        <v>28.4</v>
      </c>
      <c r="AF121" s="125"/>
      <c r="AG121" s="115"/>
      <c r="AH121" s="116"/>
      <c r="AI121" s="117"/>
      <c r="AJ121" s="116">
        <v>26</v>
      </c>
      <c r="AK121" s="116"/>
      <c r="AL121" s="116"/>
      <c r="AM121" s="116"/>
      <c r="AN121" s="116"/>
      <c r="AO121" s="116"/>
      <c r="AP121" s="116"/>
      <c r="AQ121" s="116"/>
      <c r="AR121" s="116">
        <v>24.5</v>
      </c>
      <c r="AS121" s="116"/>
      <c r="AT121" s="116"/>
      <c r="AU121" s="116"/>
      <c r="AV121" s="116"/>
      <c r="AW121" s="116"/>
      <c r="AX121" s="116">
        <v>15.5</v>
      </c>
      <c r="AY121" s="116"/>
      <c r="AZ121" s="116"/>
      <c r="BA121" s="116"/>
      <c r="BB121" s="116"/>
      <c r="BC121" s="116"/>
      <c r="BD121" s="116"/>
      <c r="BE121" s="116">
        <v>12.5</v>
      </c>
      <c r="BF121" s="116"/>
      <c r="BG121" s="116" t="s">
        <v>142</v>
      </c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  <c r="CX121" s="116"/>
      <c r="CY121" s="116"/>
      <c r="CZ121" s="116"/>
      <c r="DA121" s="116"/>
      <c r="DB121" s="116"/>
      <c r="DC121" s="116"/>
      <c r="DD121" s="116"/>
      <c r="DE121" s="116"/>
      <c r="DF121" s="116"/>
      <c r="DG121" s="116"/>
      <c r="DH121" s="116"/>
      <c r="DI121" s="116"/>
      <c r="DJ121" s="118"/>
      <c r="DK121" s="118"/>
      <c r="DL121" s="118"/>
      <c r="DM121" s="118"/>
      <c r="DN121" s="118"/>
      <c r="DO121" s="118"/>
      <c r="DP121" s="118"/>
      <c r="DQ121" s="118"/>
      <c r="DR121" s="118"/>
      <c r="DS121" s="118"/>
      <c r="DT121" s="118"/>
      <c r="DU121" s="118"/>
      <c r="DV121" s="118"/>
      <c r="DW121" s="118"/>
      <c r="DX121" s="118"/>
      <c r="DY121" s="118"/>
      <c r="DZ121" s="118"/>
      <c r="EA121" s="118"/>
      <c r="EB121" s="118"/>
      <c r="EC121" s="118"/>
      <c r="ED121" s="118"/>
      <c r="EE121" s="118"/>
      <c r="EF121" s="118"/>
      <c r="EG121" s="118"/>
      <c r="EH121" s="118"/>
      <c r="EI121" s="118"/>
      <c r="EJ121" s="118"/>
      <c r="EK121" s="118"/>
    </row>
    <row r="122" spans="1:141" s="119" customFormat="1" x14ac:dyDescent="0.2">
      <c r="A122" s="121"/>
      <c r="B122" s="108"/>
      <c r="C122" s="108"/>
      <c r="D122" s="105" t="s">
        <v>13</v>
      </c>
      <c r="E122" s="110"/>
      <c r="F122" s="110"/>
      <c r="G122" s="105"/>
      <c r="H122" s="105"/>
      <c r="I122" s="105"/>
      <c r="J122" s="111"/>
      <c r="K122" s="111"/>
      <c r="L122" s="105"/>
      <c r="M122" s="105"/>
      <c r="N122" s="112"/>
      <c r="O122" s="105"/>
      <c r="P122" s="113"/>
      <c r="Q122" s="113"/>
      <c r="R122" s="113"/>
      <c r="S122" s="113"/>
      <c r="T122" s="114"/>
      <c r="U122" s="113"/>
      <c r="V122" s="113"/>
      <c r="W122" s="113"/>
      <c r="X122" s="115">
        <v>31</v>
      </c>
      <c r="Y122" s="113"/>
      <c r="Z122" s="115"/>
      <c r="AA122" s="115"/>
      <c r="AB122" s="115"/>
      <c r="AC122" s="115"/>
      <c r="AD122" s="115"/>
      <c r="AE122" s="125">
        <v>27</v>
      </c>
      <c r="AF122" s="125"/>
      <c r="AG122" s="115"/>
      <c r="AH122" s="116"/>
      <c r="AI122" s="117"/>
      <c r="AJ122" s="116">
        <v>27</v>
      </c>
      <c r="AK122" s="116"/>
      <c r="AL122" s="116"/>
      <c r="AM122" s="116"/>
      <c r="AN122" s="116"/>
      <c r="AO122" s="116"/>
      <c r="AP122" s="116"/>
      <c r="AQ122" s="116"/>
      <c r="AR122" s="116">
        <v>25.9</v>
      </c>
      <c r="AS122" s="116"/>
      <c r="AT122" s="116"/>
      <c r="AU122" s="116"/>
      <c r="AV122" s="116"/>
      <c r="AW122" s="116"/>
      <c r="AX122" s="116">
        <v>18</v>
      </c>
      <c r="AY122" s="116"/>
      <c r="AZ122" s="116"/>
      <c r="BA122" s="116"/>
      <c r="BB122" s="116"/>
      <c r="BC122" s="116"/>
      <c r="BD122" s="116"/>
      <c r="BE122" s="116" t="s">
        <v>142</v>
      </c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116"/>
      <c r="DE122" s="116"/>
      <c r="DF122" s="116"/>
      <c r="DG122" s="116"/>
      <c r="DH122" s="116"/>
      <c r="DI122" s="116"/>
      <c r="DJ122" s="118"/>
      <c r="DK122" s="118"/>
      <c r="DL122" s="118"/>
      <c r="DM122" s="118"/>
      <c r="DN122" s="118"/>
      <c r="DO122" s="118"/>
      <c r="DP122" s="118"/>
      <c r="DQ122" s="118"/>
      <c r="DR122" s="118"/>
      <c r="DS122" s="118"/>
      <c r="DT122" s="118"/>
      <c r="DU122" s="118"/>
      <c r="DV122" s="118"/>
      <c r="DW122" s="118"/>
      <c r="DX122" s="118"/>
      <c r="DY122" s="118"/>
      <c r="DZ122" s="118"/>
      <c r="EA122" s="118"/>
      <c r="EB122" s="118"/>
      <c r="EC122" s="118"/>
      <c r="ED122" s="118"/>
      <c r="EE122" s="118"/>
      <c r="EF122" s="118"/>
      <c r="EG122" s="118"/>
      <c r="EH122" s="118"/>
      <c r="EI122" s="118"/>
      <c r="EJ122" s="118"/>
      <c r="EK122" s="118"/>
    </row>
    <row r="123" spans="1:141" s="119" customFormat="1" ht="25.5" x14ac:dyDescent="0.2">
      <c r="A123" s="121" t="s">
        <v>43</v>
      </c>
      <c r="B123" s="108">
        <v>526</v>
      </c>
      <c r="C123" s="108" t="s">
        <v>137</v>
      </c>
      <c r="D123" s="105" t="s">
        <v>12</v>
      </c>
      <c r="E123" s="110">
        <v>40813</v>
      </c>
      <c r="F123" s="110">
        <v>40861</v>
      </c>
      <c r="G123" s="105" t="s">
        <v>35</v>
      </c>
      <c r="H123" s="105" t="s">
        <v>36</v>
      </c>
      <c r="I123" s="105" t="s">
        <v>126</v>
      </c>
      <c r="J123" s="111">
        <v>40795</v>
      </c>
      <c r="K123" s="111">
        <v>40814</v>
      </c>
      <c r="L123" s="105" t="s">
        <v>35</v>
      </c>
      <c r="M123" s="105" t="s">
        <v>35</v>
      </c>
      <c r="N123" s="112"/>
      <c r="O123" s="105" t="s">
        <v>36</v>
      </c>
      <c r="P123" s="113"/>
      <c r="Q123" s="113"/>
      <c r="R123" s="113"/>
      <c r="S123" s="113"/>
      <c r="T123" s="114"/>
      <c r="U123" s="113"/>
      <c r="V123" s="113"/>
      <c r="W123" s="113"/>
      <c r="X123" s="115">
        <v>27.6</v>
      </c>
      <c r="Y123" s="113"/>
      <c r="Z123" s="115"/>
      <c r="AA123" s="115"/>
      <c r="AB123" s="115"/>
      <c r="AC123" s="115">
        <v>29</v>
      </c>
      <c r="AD123" s="115"/>
      <c r="AE123" s="125">
        <v>31.8</v>
      </c>
      <c r="AF123" s="125"/>
      <c r="AG123" s="115"/>
      <c r="AH123" s="116"/>
      <c r="AI123" s="117"/>
      <c r="AJ123" s="116">
        <v>27.8</v>
      </c>
      <c r="AK123" s="116"/>
      <c r="AL123" s="116"/>
      <c r="AM123" s="116"/>
      <c r="AN123" s="116"/>
      <c r="AO123" s="116"/>
      <c r="AP123" s="116"/>
      <c r="AQ123" s="116"/>
      <c r="AR123" s="116">
        <v>24.8</v>
      </c>
      <c r="AS123" s="116"/>
      <c r="AT123" s="116"/>
      <c r="AU123" s="116"/>
      <c r="AV123" s="116"/>
      <c r="AW123" s="116"/>
      <c r="AX123" s="116">
        <v>18.2</v>
      </c>
      <c r="AY123" s="116"/>
      <c r="AZ123" s="116"/>
      <c r="BA123" s="116"/>
      <c r="BB123" s="116"/>
      <c r="BC123" s="116"/>
      <c r="BD123" s="116"/>
      <c r="BE123" s="116">
        <v>16.2</v>
      </c>
      <c r="BF123" s="116"/>
      <c r="BG123" s="116"/>
      <c r="BH123" s="116"/>
      <c r="BI123" s="116"/>
      <c r="BJ123" s="116"/>
      <c r="BK123" s="116"/>
      <c r="BL123" s="116"/>
      <c r="BM123" s="116"/>
      <c r="BN123" s="116" t="s">
        <v>142</v>
      </c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  <c r="CX123" s="116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8"/>
      <c r="DK123" s="118"/>
      <c r="DL123" s="118"/>
      <c r="DM123" s="118"/>
      <c r="DN123" s="118"/>
      <c r="DO123" s="118"/>
      <c r="DP123" s="118"/>
      <c r="DQ123" s="118"/>
      <c r="DR123" s="118"/>
      <c r="DS123" s="118"/>
      <c r="DT123" s="118"/>
      <c r="DU123" s="118"/>
      <c r="DV123" s="118"/>
      <c r="DW123" s="118"/>
      <c r="DX123" s="118"/>
      <c r="DY123" s="118"/>
      <c r="DZ123" s="118"/>
      <c r="EA123" s="118"/>
      <c r="EB123" s="118"/>
      <c r="EC123" s="118"/>
      <c r="ED123" s="118"/>
      <c r="EE123" s="118"/>
      <c r="EF123" s="118"/>
      <c r="EG123" s="118"/>
      <c r="EH123" s="118"/>
      <c r="EI123" s="118"/>
      <c r="EJ123" s="118"/>
      <c r="EK123" s="118"/>
    </row>
    <row r="124" spans="1:141" s="119" customFormat="1" x14ac:dyDescent="0.2">
      <c r="A124" s="121"/>
      <c r="B124" s="108"/>
      <c r="C124" s="108"/>
      <c r="D124" s="105" t="s">
        <v>13</v>
      </c>
      <c r="E124" s="110"/>
      <c r="F124" s="110"/>
      <c r="G124" s="105"/>
      <c r="H124" s="105"/>
      <c r="I124" s="105"/>
      <c r="J124" s="111"/>
      <c r="K124" s="111"/>
      <c r="L124" s="105"/>
      <c r="M124" s="105"/>
      <c r="N124" s="112"/>
      <c r="O124" s="105"/>
      <c r="P124" s="113"/>
      <c r="Q124" s="113"/>
      <c r="R124" s="113"/>
      <c r="S124" s="113"/>
      <c r="T124" s="114"/>
      <c r="U124" s="113"/>
      <c r="V124" s="113"/>
      <c r="W124" s="113"/>
      <c r="X124" s="115">
        <v>31</v>
      </c>
      <c r="Y124" s="113"/>
      <c r="Z124" s="115"/>
      <c r="AA124" s="115"/>
      <c r="AB124" s="115"/>
      <c r="AC124" s="115">
        <v>30</v>
      </c>
      <c r="AD124" s="115"/>
      <c r="AE124" s="125">
        <v>30</v>
      </c>
      <c r="AF124" s="125"/>
      <c r="AG124" s="115"/>
      <c r="AH124" s="116"/>
      <c r="AI124" s="117"/>
      <c r="AJ124" s="116">
        <v>28.5</v>
      </c>
      <c r="AK124" s="116"/>
      <c r="AL124" s="116"/>
      <c r="AM124" s="116"/>
      <c r="AN124" s="116"/>
      <c r="AO124" s="116"/>
      <c r="AP124" s="116"/>
      <c r="AQ124" s="116"/>
      <c r="AR124" s="116">
        <v>26.2</v>
      </c>
      <c r="AS124" s="116"/>
      <c r="AT124" s="116"/>
      <c r="AU124" s="116"/>
      <c r="AV124" s="116"/>
      <c r="AW124" s="116"/>
      <c r="AX124" s="116">
        <v>15.5</v>
      </c>
      <c r="AY124" s="116"/>
      <c r="AZ124" s="116"/>
      <c r="BA124" s="116"/>
      <c r="BB124" s="116"/>
      <c r="BC124" s="116"/>
      <c r="BD124" s="116"/>
      <c r="BE124" s="116">
        <v>19</v>
      </c>
      <c r="BF124" s="116"/>
      <c r="BG124" s="116"/>
      <c r="BH124" s="116"/>
      <c r="BI124" s="116"/>
      <c r="BJ124" s="116"/>
      <c r="BK124" s="116"/>
      <c r="BL124" s="116" t="s">
        <v>142</v>
      </c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  <c r="CY124" s="116"/>
      <c r="CZ124" s="116"/>
      <c r="DA124" s="116"/>
      <c r="DB124" s="116"/>
      <c r="DC124" s="116"/>
      <c r="DD124" s="116"/>
      <c r="DE124" s="116"/>
      <c r="DF124" s="116"/>
      <c r="DG124" s="116"/>
      <c r="DH124" s="116"/>
      <c r="DI124" s="116"/>
      <c r="DJ124" s="118"/>
      <c r="DK124" s="118"/>
      <c r="DL124" s="118"/>
      <c r="DM124" s="118"/>
      <c r="DN124" s="118"/>
      <c r="DO124" s="118"/>
      <c r="DP124" s="118"/>
      <c r="DQ124" s="118"/>
      <c r="DR124" s="118"/>
      <c r="DS124" s="118"/>
      <c r="DT124" s="118"/>
      <c r="DU124" s="118"/>
      <c r="DV124" s="118"/>
      <c r="DW124" s="118"/>
      <c r="DX124" s="118"/>
      <c r="DY124" s="118"/>
      <c r="DZ124" s="118"/>
      <c r="EA124" s="118"/>
      <c r="EB124" s="118"/>
      <c r="EC124" s="118"/>
      <c r="ED124" s="118"/>
      <c r="EE124" s="118"/>
      <c r="EF124" s="118"/>
      <c r="EG124" s="118"/>
      <c r="EH124" s="118"/>
      <c r="EI124" s="118"/>
      <c r="EJ124" s="118"/>
      <c r="EK124" s="118"/>
    </row>
    <row r="125" spans="1:141" s="119" customFormat="1" x14ac:dyDescent="0.2">
      <c r="A125" s="121" t="s">
        <v>33</v>
      </c>
      <c r="B125" s="108">
        <v>527</v>
      </c>
      <c r="C125" s="108" t="s">
        <v>37</v>
      </c>
      <c r="D125" s="105" t="s">
        <v>12</v>
      </c>
      <c r="E125" s="138"/>
      <c r="F125" s="110" t="s">
        <v>126</v>
      </c>
      <c r="G125" s="105" t="s">
        <v>36</v>
      </c>
      <c r="H125" s="105" t="s">
        <v>36</v>
      </c>
      <c r="I125" s="105" t="s">
        <v>36</v>
      </c>
      <c r="J125" s="111">
        <v>40814</v>
      </c>
      <c r="K125" s="111">
        <v>40820</v>
      </c>
      <c r="L125" s="105" t="s">
        <v>35</v>
      </c>
      <c r="M125" s="105" t="s">
        <v>35</v>
      </c>
      <c r="N125" s="112"/>
      <c r="O125" s="105" t="s">
        <v>36</v>
      </c>
      <c r="P125" s="113"/>
      <c r="Q125" s="113"/>
      <c r="R125" s="113"/>
      <c r="S125" s="113"/>
      <c r="T125" s="114"/>
      <c r="U125" s="113"/>
      <c r="V125" s="113"/>
      <c r="W125" s="113"/>
      <c r="X125" s="115"/>
      <c r="Y125" s="113"/>
      <c r="Z125" s="115"/>
      <c r="AA125" s="115"/>
      <c r="AB125" s="115"/>
      <c r="AC125" s="115"/>
      <c r="AD125" s="115"/>
      <c r="AE125" s="125"/>
      <c r="AF125" s="125"/>
      <c r="AG125" s="115"/>
      <c r="AH125" s="116"/>
      <c r="AI125" s="117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>
        <v>34.799999999999997</v>
      </c>
      <c r="BF125" s="116"/>
      <c r="BG125" s="116"/>
      <c r="BH125" s="116"/>
      <c r="BI125" s="124"/>
      <c r="BJ125" s="116"/>
      <c r="BK125" s="116">
        <v>33.200000000000003</v>
      </c>
      <c r="BL125" s="116"/>
      <c r="BM125" s="116"/>
      <c r="BN125" s="116"/>
      <c r="BO125" s="116"/>
      <c r="BP125" s="116"/>
      <c r="BQ125" s="116">
        <v>31.9</v>
      </c>
      <c r="BR125" s="116"/>
      <c r="BS125" s="116"/>
      <c r="BT125" s="116"/>
      <c r="BU125" s="116">
        <v>31</v>
      </c>
      <c r="BV125" s="116"/>
      <c r="BW125" s="116"/>
      <c r="BX125" s="116"/>
      <c r="BY125" s="116"/>
      <c r="BZ125" s="116">
        <v>28.5</v>
      </c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 t="s">
        <v>142</v>
      </c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  <c r="CY125" s="116"/>
      <c r="CZ125" s="116"/>
      <c r="DA125" s="116"/>
      <c r="DB125" s="116"/>
      <c r="DC125" s="116"/>
      <c r="DD125" s="116"/>
      <c r="DE125" s="116"/>
      <c r="DF125" s="116"/>
      <c r="DG125" s="116"/>
      <c r="DH125" s="116"/>
      <c r="DI125" s="116"/>
      <c r="DJ125" s="118"/>
      <c r="DK125" s="118"/>
      <c r="DL125" s="118"/>
      <c r="DM125" s="118"/>
      <c r="DN125" s="118"/>
      <c r="DO125" s="118"/>
      <c r="DP125" s="118"/>
      <c r="DQ125" s="118"/>
      <c r="DR125" s="118"/>
      <c r="DS125" s="118"/>
      <c r="DT125" s="118"/>
      <c r="DU125" s="118"/>
      <c r="DV125" s="118"/>
      <c r="DW125" s="118"/>
      <c r="DX125" s="118"/>
      <c r="DY125" s="118"/>
      <c r="DZ125" s="118"/>
      <c r="EA125" s="118"/>
      <c r="EB125" s="118"/>
      <c r="EC125" s="118"/>
      <c r="ED125" s="118"/>
      <c r="EE125" s="118"/>
      <c r="EF125" s="118"/>
      <c r="EG125" s="118"/>
      <c r="EH125" s="118"/>
      <c r="EI125" s="118"/>
      <c r="EJ125" s="118"/>
      <c r="EK125" s="118"/>
    </row>
    <row r="126" spans="1:141" s="119" customFormat="1" x14ac:dyDescent="0.2">
      <c r="A126" s="121"/>
      <c r="B126" s="108"/>
      <c r="C126" s="108"/>
      <c r="D126" s="105" t="s">
        <v>13</v>
      </c>
      <c r="E126" s="110"/>
      <c r="F126" s="110"/>
      <c r="G126" s="105"/>
      <c r="H126" s="105"/>
      <c r="I126" s="105"/>
      <c r="J126" s="111"/>
      <c r="K126" s="111"/>
      <c r="L126" s="105"/>
      <c r="M126" s="105"/>
      <c r="N126" s="112"/>
      <c r="O126" s="105"/>
      <c r="P126" s="113"/>
      <c r="Q126" s="113"/>
      <c r="R126" s="113"/>
      <c r="S126" s="113"/>
      <c r="T126" s="114"/>
      <c r="U126" s="113"/>
      <c r="V126" s="113"/>
      <c r="W126" s="113"/>
      <c r="X126" s="115"/>
      <c r="Y126" s="113"/>
      <c r="Z126" s="115"/>
      <c r="AA126" s="115"/>
      <c r="AB126" s="115"/>
      <c r="AC126" s="115"/>
      <c r="AD126" s="115"/>
      <c r="AE126" s="125"/>
      <c r="AF126" s="125"/>
      <c r="AG126" s="115"/>
      <c r="AH126" s="116"/>
      <c r="AI126" s="117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>
        <v>35.5</v>
      </c>
      <c r="BF126" s="116"/>
      <c r="BG126" s="116"/>
      <c r="BH126" s="124"/>
      <c r="BI126" s="116"/>
      <c r="BJ126" s="116"/>
      <c r="BK126" s="116">
        <v>35.700000000000003</v>
      </c>
      <c r="BL126" s="116"/>
      <c r="BM126" s="116"/>
      <c r="BN126" s="116"/>
      <c r="BO126" s="116"/>
      <c r="BP126" s="116"/>
      <c r="BQ126" s="116">
        <v>27.1</v>
      </c>
      <c r="BR126" s="116"/>
      <c r="BS126" s="116"/>
      <c r="BT126" s="116"/>
      <c r="BU126" s="116">
        <v>23.2</v>
      </c>
      <c r="BV126" s="116"/>
      <c r="BW126" s="116"/>
      <c r="BX126" s="116"/>
      <c r="BY126" s="116"/>
      <c r="BZ126" s="116">
        <v>23.5</v>
      </c>
      <c r="CA126" s="116"/>
      <c r="CB126" s="116"/>
      <c r="CC126" s="116"/>
      <c r="CD126" s="116"/>
      <c r="CE126" s="116"/>
      <c r="CF126" s="116"/>
      <c r="CG126" s="116" t="s">
        <v>142</v>
      </c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  <c r="CY126" s="116"/>
      <c r="CZ126" s="116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8"/>
      <c r="DK126" s="118"/>
      <c r="DL126" s="118"/>
      <c r="DM126" s="118"/>
      <c r="DN126" s="118"/>
      <c r="DO126" s="118"/>
      <c r="DP126" s="118"/>
      <c r="DQ126" s="118"/>
      <c r="DR126" s="118"/>
      <c r="DS126" s="118"/>
      <c r="DT126" s="118"/>
      <c r="DU126" s="118"/>
      <c r="DV126" s="118"/>
      <c r="DW126" s="118"/>
      <c r="DX126" s="118"/>
      <c r="DY126" s="118"/>
      <c r="DZ126" s="118"/>
      <c r="EA126" s="118"/>
      <c r="EB126" s="118"/>
      <c r="EC126" s="118"/>
      <c r="ED126" s="118"/>
      <c r="EE126" s="118"/>
      <c r="EF126" s="118"/>
      <c r="EG126" s="118"/>
      <c r="EH126" s="118"/>
      <c r="EI126" s="118"/>
      <c r="EJ126" s="118"/>
      <c r="EK126" s="118"/>
    </row>
    <row r="127" spans="1:141" s="119" customFormat="1" x14ac:dyDescent="0.2">
      <c r="A127" s="121" t="s">
        <v>60</v>
      </c>
      <c r="B127" s="108">
        <v>701</v>
      </c>
      <c r="C127" s="108" t="s">
        <v>56</v>
      </c>
      <c r="D127" s="105" t="s">
        <v>12</v>
      </c>
      <c r="E127" s="110"/>
      <c r="F127" s="110"/>
      <c r="G127" s="105"/>
      <c r="H127" s="105"/>
      <c r="I127" s="105"/>
      <c r="J127" s="111"/>
      <c r="K127" s="111"/>
      <c r="L127" s="105"/>
      <c r="M127" s="105"/>
      <c r="N127" s="112"/>
      <c r="O127" s="105"/>
      <c r="P127" s="113"/>
      <c r="Q127" s="113"/>
      <c r="R127" s="113"/>
      <c r="S127" s="113"/>
      <c r="T127" s="114"/>
      <c r="U127" s="113"/>
      <c r="V127" s="113"/>
      <c r="W127" s="113"/>
      <c r="X127" s="115"/>
      <c r="Y127" s="113"/>
      <c r="Z127" s="115"/>
      <c r="AA127" s="115"/>
      <c r="AB127" s="115"/>
      <c r="AC127" s="115"/>
      <c r="AD127" s="115"/>
      <c r="AE127" s="125"/>
      <c r="AF127" s="125"/>
      <c r="AG127" s="115"/>
      <c r="AH127" s="116"/>
      <c r="AI127" s="117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24"/>
      <c r="BK127" s="116"/>
      <c r="BL127" s="116"/>
      <c r="BM127" s="116"/>
      <c r="BN127" s="116"/>
      <c r="BO127" s="116"/>
      <c r="BP127" s="116"/>
      <c r="BQ127" s="116"/>
      <c r="BR127" s="116"/>
      <c r="BS127" s="116">
        <v>21.8</v>
      </c>
      <c r="BT127" s="116"/>
      <c r="BU127" s="116"/>
      <c r="BV127" s="116"/>
      <c r="BW127" s="116"/>
      <c r="BX127" s="116"/>
      <c r="BY127" s="116">
        <v>15.9</v>
      </c>
      <c r="BZ127" s="116" t="s">
        <v>142</v>
      </c>
      <c r="CA127" s="116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  <c r="CQ127" s="116"/>
      <c r="CR127" s="116"/>
      <c r="CS127" s="116"/>
      <c r="CT127" s="116"/>
      <c r="CU127" s="116"/>
      <c r="CV127" s="116"/>
      <c r="CW127" s="116"/>
      <c r="CX127" s="116"/>
      <c r="CY127" s="116"/>
      <c r="CZ127" s="116"/>
      <c r="DA127" s="116"/>
      <c r="DB127" s="116"/>
      <c r="DC127" s="116"/>
      <c r="DD127" s="116"/>
      <c r="DE127" s="116"/>
      <c r="DF127" s="116"/>
      <c r="DG127" s="116"/>
      <c r="DH127" s="116"/>
      <c r="DI127" s="116"/>
      <c r="DJ127" s="118"/>
      <c r="DK127" s="118"/>
      <c r="DL127" s="118"/>
      <c r="DM127" s="118"/>
      <c r="DN127" s="118"/>
      <c r="DO127" s="118"/>
      <c r="DP127" s="118"/>
      <c r="DQ127" s="118"/>
      <c r="DR127" s="118"/>
      <c r="DS127" s="118"/>
      <c r="DT127" s="118"/>
      <c r="DU127" s="118"/>
      <c r="DV127" s="118"/>
      <c r="DW127" s="118"/>
      <c r="DX127" s="118"/>
      <c r="DY127" s="118"/>
      <c r="DZ127" s="118"/>
      <c r="EA127" s="118"/>
      <c r="EB127" s="118"/>
      <c r="EC127" s="118"/>
      <c r="ED127" s="118"/>
      <c r="EE127" s="118"/>
      <c r="EF127" s="118"/>
      <c r="EG127" s="118"/>
      <c r="EH127" s="118"/>
      <c r="EI127" s="118"/>
      <c r="EJ127" s="118"/>
      <c r="EK127" s="118"/>
    </row>
    <row r="128" spans="1:141" s="119" customFormat="1" x14ac:dyDescent="0.2">
      <c r="A128" s="121"/>
      <c r="B128" s="108"/>
      <c r="C128" s="108"/>
      <c r="D128" s="105" t="s">
        <v>13</v>
      </c>
      <c r="E128" s="110"/>
      <c r="F128" s="110"/>
      <c r="G128" s="105"/>
      <c r="H128" s="105"/>
      <c r="I128" s="105"/>
      <c r="J128" s="111"/>
      <c r="K128" s="111"/>
      <c r="L128" s="105"/>
      <c r="M128" s="105"/>
      <c r="N128" s="112"/>
      <c r="O128" s="105"/>
      <c r="P128" s="113"/>
      <c r="Q128" s="113"/>
      <c r="R128" s="113"/>
      <c r="S128" s="113"/>
      <c r="T128" s="114"/>
      <c r="U128" s="113"/>
      <c r="V128" s="113"/>
      <c r="W128" s="113"/>
      <c r="X128" s="115"/>
      <c r="Y128" s="113"/>
      <c r="Z128" s="115"/>
      <c r="AA128" s="115"/>
      <c r="AB128" s="115"/>
      <c r="AC128" s="115"/>
      <c r="AD128" s="115"/>
      <c r="AE128" s="114"/>
      <c r="AF128" s="114" t="s">
        <v>66</v>
      </c>
      <c r="AG128" s="115"/>
      <c r="AH128" s="116"/>
      <c r="AI128" s="117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  <c r="CX128" s="116"/>
      <c r="CY128" s="116"/>
      <c r="CZ128" s="116"/>
      <c r="DA128" s="116"/>
      <c r="DB128" s="116"/>
      <c r="DC128" s="116"/>
      <c r="DD128" s="116"/>
      <c r="DE128" s="116"/>
      <c r="DF128" s="116"/>
      <c r="DG128" s="116"/>
      <c r="DH128" s="116"/>
      <c r="DI128" s="116"/>
      <c r="DJ128" s="118"/>
      <c r="DK128" s="118"/>
      <c r="DL128" s="118"/>
      <c r="DM128" s="118"/>
      <c r="DN128" s="118"/>
      <c r="DO128" s="118"/>
      <c r="DP128" s="118"/>
      <c r="DQ128" s="118"/>
      <c r="DR128" s="118"/>
      <c r="DS128" s="118"/>
      <c r="DT128" s="118"/>
      <c r="DU128" s="118"/>
      <c r="DV128" s="118"/>
      <c r="DW128" s="118"/>
      <c r="DX128" s="118"/>
      <c r="DY128" s="118"/>
      <c r="DZ128" s="118"/>
      <c r="EA128" s="118"/>
      <c r="EB128" s="118"/>
      <c r="EC128" s="118"/>
      <c r="ED128" s="118"/>
      <c r="EE128" s="118"/>
      <c r="EF128" s="118"/>
      <c r="EG128" s="118"/>
      <c r="EH128" s="118"/>
      <c r="EI128" s="118"/>
      <c r="EJ128" s="118"/>
      <c r="EK128" s="118"/>
    </row>
    <row r="129" spans="1:141" s="119" customFormat="1" ht="38.25" x14ac:dyDescent="0.2">
      <c r="A129" s="121" t="s">
        <v>61</v>
      </c>
      <c r="B129" s="108">
        <v>801</v>
      </c>
      <c r="C129" s="108" t="s">
        <v>57</v>
      </c>
      <c r="D129" s="105" t="s">
        <v>12</v>
      </c>
      <c r="E129" s="110"/>
      <c r="F129" s="110"/>
      <c r="G129" s="105" t="s">
        <v>36</v>
      </c>
      <c r="H129" s="105" t="s">
        <v>36</v>
      </c>
      <c r="I129" s="105" t="s">
        <v>36</v>
      </c>
      <c r="J129" s="111" t="s">
        <v>130</v>
      </c>
      <c r="K129" s="111"/>
      <c r="L129" s="105"/>
      <c r="M129" s="105"/>
      <c r="N129" s="112"/>
      <c r="O129" s="105"/>
      <c r="P129" s="113"/>
      <c r="Q129" s="113"/>
      <c r="R129" s="113"/>
      <c r="S129" s="113"/>
      <c r="T129" s="114"/>
      <c r="U129" s="113"/>
      <c r="V129" s="113"/>
      <c r="W129" s="113"/>
      <c r="X129" s="115"/>
      <c r="Y129" s="113"/>
      <c r="Z129" s="115">
        <v>14.7</v>
      </c>
      <c r="AA129" s="115"/>
      <c r="AB129" s="115"/>
      <c r="AC129" s="115"/>
      <c r="AD129" s="115"/>
      <c r="AE129" s="114"/>
      <c r="AF129" s="114"/>
      <c r="AG129" s="115"/>
      <c r="AH129" s="116"/>
      <c r="AI129" s="117"/>
      <c r="AJ129" s="116"/>
      <c r="AK129" s="116"/>
      <c r="AL129" s="116"/>
      <c r="AM129" s="116"/>
      <c r="AN129" s="116"/>
      <c r="AO129" s="116"/>
      <c r="AP129" s="116"/>
      <c r="AQ129" s="116">
        <v>14.6</v>
      </c>
      <c r="AR129" s="116"/>
      <c r="AS129" s="116"/>
      <c r="AT129" s="116"/>
      <c r="AU129" s="116"/>
      <c r="AV129" s="116"/>
      <c r="AW129" s="116" t="s">
        <v>140</v>
      </c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24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  <c r="CX129" s="116"/>
      <c r="CY129" s="116"/>
      <c r="CZ129" s="116"/>
      <c r="DA129" s="116"/>
      <c r="DB129" s="116"/>
      <c r="DC129" s="116"/>
      <c r="DD129" s="116"/>
      <c r="DE129" s="116"/>
      <c r="DF129" s="116"/>
      <c r="DG129" s="116"/>
      <c r="DH129" s="116"/>
      <c r="DI129" s="116"/>
      <c r="DJ129" s="118"/>
      <c r="DK129" s="118"/>
      <c r="DL129" s="118"/>
      <c r="DM129" s="118"/>
      <c r="DN129" s="118"/>
      <c r="DO129" s="118"/>
      <c r="DP129" s="118"/>
      <c r="DQ129" s="118"/>
      <c r="DR129" s="118"/>
      <c r="DS129" s="118"/>
      <c r="DT129" s="118"/>
      <c r="DU129" s="118"/>
      <c r="DV129" s="118"/>
      <c r="DW129" s="118"/>
      <c r="DX129" s="118"/>
      <c r="DY129" s="118"/>
      <c r="DZ129" s="118"/>
      <c r="EA129" s="118"/>
      <c r="EB129" s="118"/>
      <c r="EC129" s="118"/>
      <c r="ED129" s="118"/>
      <c r="EE129" s="118"/>
      <c r="EF129" s="118"/>
      <c r="EG129" s="118"/>
      <c r="EH129" s="118"/>
      <c r="EI129" s="118"/>
      <c r="EJ129" s="118"/>
      <c r="EK129" s="118"/>
    </row>
    <row r="130" spans="1:141" s="119" customFormat="1" x14ac:dyDescent="0.2">
      <c r="A130" s="121"/>
      <c r="B130" s="108"/>
      <c r="C130" s="108"/>
      <c r="D130" s="105" t="s">
        <v>13</v>
      </c>
      <c r="E130" s="110"/>
      <c r="F130" s="110"/>
      <c r="G130" s="105"/>
      <c r="H130" s="105"/>
      <c r="I130" s="105"/>
      <c r="J130" s="111"/>
      <c r="K130" s="111"/>
      <c r="L130" s="105"/>
      <c r="M130" s="105"/>
      <c r="N130" s="112"/>
      <c r="O130" s="105"/>
      <c r="P130" s="113"/>
      <c r="Q130" s="113"/>
      <c r="R130" s="113"/>
      <c r="S130" s="113"/>
      <c r="T130" s="114"/>
      <c r="U130" s="113"/>
      <c r="V130" s="113"/>
      <c r="W130" s="113"/>
      <c r="X130" s="115"/>
      <c r="Y130" s="113"/>
      <c r="Z130" s="115"/>
      <c r="AA130" s="115"/>
      <c r="AB130" s="115"/>
      <c r="AC130" s="115"/>
      <c r="AD130" s="115"/>
      <c r="AE130" s="114"/>
      <c r="AF130" s="114" t="s">
        <v>66</v>
      </c>
      <c r="AG130" s="115"/>
      <c r="AH130" s="116"/>
      <c r="AI130" s="117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  <c r="CX130" s="116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118"/>
      <c r="DK130" s="118"/>
      <c r="DL130" s="118"/>
      <c r="DM130" s="118"/>
      <c r="DN130" s="118"/>
      <c r="DO130" s="118"/>
      <c r="DP130" s="118"/>
      <c r="DQ130" s="118"/>
      <c r="DR130" s="118"/>
      <c r="DS130" s="118"/>
      <c r="DT130" s="118"/>
      <c r="DU130" s="118"/>
      <c r="DV130" s="118"/>
      <c r="DW130" s="118"/>
      <c r="DX130" s="118"/>
      <c r="DY130" s="118"/>
      <c r="DZ130" s="118"/>
      <c r="EA130" s="118"/>
      <c r="EB130" s="118"/>
      <c r="EC130" s="118"/>
      <c r="ED130" s="118"/>
      <c r="EE130" s="118"/>
      <c r="EF130" s="118"/>
      <c r="EG130" s="118"/>
      <c r="EH130" s="118"/>
      <c r="EI130" s="118"/>
      <c r="EJ130" s="118"/>
      <c r="EK130" s="118"/>
    </row>
    <row r="131" spans="1:141" s="119" customFormat="1" x14ac:dyDescent="0.2">
      <c r="A131" s="121" t="s">
        <v>62</v>
      </c>
      <c r="B131" s="108">
        <v>802</v>
      </c>
      <c r="C131" s="108" t="s">
        <v>57</v>
      </c>
      <c r="D131" s="105" t="s">
        <v>12</v>
      </c>
      <c r="E131" s="110"/>
      <c r="F131" s="110"/>
      <c r="G131" s="105" t="s">
        <v>36</v>
      </c>
      <c r="H131" s="105" t="s">
        <v>36</v>
      </c>
      <c r="I131" s="105" t="s">
        <v>36</v>
      </c>
      <c r="J131" s="111">
        <v>40799</v>
      </c>
      <c r="K131" s="111">
        <v>40800</v>
      </c>
      <c r="L131" s="105"/>
      <c r="M131" s="105"/>
      <c r="N131" s="112"/>
      <c r="O131" s="105"/>
      <c r="P131" s="113"/>
      <c r="Q131" s="113"/>
      <c r="R131" s="113"/>
      <c r="S131" s="113"/>
      <c r="T131" s="114"/>
      <c r="U131" s="113"/>
      <c r="V131" s="113"/>
      <c r="W131" s="113"/>
      <c r="X131" s="115"/>
      <c r="Y131" s="113"/>
      <c r="Z131" s="115">
        <v>17</v>
      </c>
      <c r="AA131" s="115"/>
      <c r="AB131" s="115"/>
      <c r="AC131" s="115"/>
      <c r="AD131" s="115"/>
      <c r="AE131" s="114"/>
      <c r="AF131" s="114"/>
      <c r="AG131" s="115"/>
      <c r="AH131" s="116"/>
      <c r="AI131" s="117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  <c r="DH131" s="116"/>
      <c r="DI131" s="116"/>
      <c r="DJ131" s="118"/>
      <c r="DK131" s="118"/>
      <c r="DL131" s="118"/>
      <c r="DM131" s="118"/>
      <c r="DN131" s="118"/>
      <c r="DO131" s="118"/>
      <c r="DP131" s="118"/>
      <c r="DQ131" s="118"/>
      <c r="DR131" s="118"/>
      <c r="DS131" s="118"/>
      <c r="DT131" s="118"/>
      <c r="DU131" s="118"/>
      <c r="DV131" s="118"/>
      <c r="DW131" s="118"/>
      <c r="DX131" s="118"/>
      <c r="DY131" s="118"/>
      <c r="DZ131" s="118"/>
      <c r="EA131" s="118"/>
      <c r="EB131" s="118"/>
      <c r="EC131" s="118"/>
      <c r="ED131" s="118"/>
      <c r="EE131" s="118"/>
      <c r="EF131" s="118"/>
      <c r="EG131" s="118"/>
      <c r="EH131" s="118"/>
      <c r="EI131" s="118"/>
      <c r="EJ131" s="118"/>
      <c r="EK131" s="118"/>
    </row>
    <row r="132" spans="1:141" s="119" customFormat="1" x14ac:dyDescent="0.2">
      <c r="A132" s="121"/>
      <c r="B132" s="108"/>
      <c r="C132" s="108"/>
      <c r="D132" s="105" t="s">
        <v>13</v>
      </c>
      <c r="E132" s="110"/>
      <c r="F132" s="110"/>
      <c r="G132" s="105"/>
      <c r="H132" s="105"/>
      <c r="I132" s="105"/>
      <c r="J132" s="111"/>
      <c r="K132" s="111"/>
      <c r="L132" s="105"/>
      <c r="M132" s="105"/>
      <c r="N132" s="112"/>
      <c r="O132" s="105"/>
      <c r="P132" s="113"/>
      <c r="Q132" s="113"/>
      <c r="R132" s="113"/>
      <c r="S132" s="113"/>
      <c r="T132" s="114"/>
      <c r="U132" s="113"/>
      <c r="V132" s="113"/>
      <c r="W132" s="113" t="s">
        <v>66</v>
      </c>
      <c r="X132" s="115"/>
      <c r="Y132" s="113"/>
      <c r="Z132" s="115"/>
      <c r="AA132" s="115"/>
      <c r="AB132" s="115"/>
      <c r="AC132" s="115"/>
      <c r="AD132" s="115"/>
      <c r="AE132" s="114"/>
      <c r="AF132" s="114"/>
      <c r="AG132" s="115"/>
      <c r="AH132" s="116"/>
      <c r="AI132" s="117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  <c r="CX132" s="116"/>
      <c r="CY132" s="116"/>
      <c r="CZ132" s="116"/>
      <c r="DA132" s="116"/>
      <c r="DB132" s="116"/>
      <c r="DC132" s="116"/>
      <c r="DD132" s="116"/>
      <c r="DE132" s="116"/>
      <c r="DF132" s="116"/>
      <c r="DG132" s="116"/>
      <c r="DH132" s="116"/>
      <c r="DI132" s="116"/>
      <c r="DJ132" s="118"/>
      <c r="DK132" s="118"/>
      <c r="DL132" s="118"/>
      <c r="DM132" s="118"/>
      <c r="DN132" s="118"/>
      <c r="DO132" s="118"/>
      <c r="DP132" s="118"/>
      <c r="DQ132" s="118"/>
      <c r="DR132" s="118"/>
      <c r="DS132" s="118"/>
      <c r="DT132" s="118"/>
      <c r="DU132" s="118"/>
      <c r="DV132" s="118"/>
      <c r="DW132" s="118"/>
      <c r="DX132" s="118"/>
      <c r="DY132" s="118"/>
      <c r="DZ132" s="118"/>
      <c r="EA132" s="118"/>
      <c r="EB132" s="118"/>
      <c r="EC132" s="118"/>
      <c r="ED132" s="118"/>
      <c r="EE132" s="118"/>
      <c r="EF132" s="118"/>
      <c r="EG132" s="118"/>
      <c r="EH132" s="118"/>
      <c r="EI132" s="118"/>
      <c r="EJ132" s="118"/>
      <c r="EK132" s="118"/>
    </row>
    <row r="133" spans="1:141" s="119" customFormat="1" x14ac:dyDescent="0.2">
      <c r="A133" s="121" t="s">
        <v>59</v>
      </c>
      <c r="B133" s="108">
        <v>803</v>
      </c>
      <c r="C133" s="108" t="s">
        <v>58</v>
      </c>
      <c r="D133" s="105" t="s">
        <v>12</v>
      </c>
      <c r="E133" s="110"/>
      <c r="F133" s="110"/>
      <c r="G133" s="105" t="s">
        <v>36</v>
      </c>
      <c r="H133" s="105" t="s">
        <v>36</v>
      </c>
      <c r="I133" s="105" t="s">
        <v>36</v>
      </c>
      <c r="J133" s="111"/>
      <c r="K133" s="111"/>
      <c r="L133" s="105"/>
      <c r="M133" s="105"/>
      <c r="N133" s="112"/>
      <c r="O133" s="105"/>
      <c r="P133" s="113"/>
      <c r="Q133" s="113"/>
      <c r="R133" s="113"/>
      <c r="S133" s="113"/>
      <c r="T133" s="114"/>
      <c r="U133" s="113"/>
      <c r="V133" s="113"/>
      <c r="W133" s="113"/>
      <c r="X133" s="115"/>
      <c r="Y133" s="113"/>
      <c r="Z133" s="115"/>
      <c r="AA133" s="115"/>
      <c r="AB133" s="115">
        <v>22</v>
      </c>
      <c r="AC133" s="115"/>
      <c r="AD133" s="115"/>
      <c r="AE133" s="114"/>
      <c r="AF133" s="114"/>
      <c r="AG133" s="115"/>
      <c r="AH133" s="116"/>
      <c r="AI133" s="117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>
        <v>12.7</v>
      </c>
      <c r="AW133" s="116"/>
      <c r="AX133" s="116">
        <v>12.5</v>
      </c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  <c r="CX133" s="116"/>
      <c r="CY133" s="116"/>
      <c r="CZ133" s="116"/>
      <c r="DA133" s="116"/>
      <c r="DB133" s="116"/>
      <c r="DC133" s="116"/>
      <c r="DD133" s="116"/>
      <c r="DE133" s="116"/>
      <c r="DF133" s="116"/>
      <c r="DG133" s="116"/>
      <c r="DH133" s="116"/>
      <c r="DI133" s="116"/>
      <c r="DJ133" s="118"/>
      <c r="DK133" s="118"/>
      <c r="DL133" s="118"/>
      <c r="DM133" s="118"/>
      <c r="DN133" s="118"/>
      <c r="DO133" s="118"/>
      <c r="DP133" s="118"/>
      <c r="DQ133" s="118"/>
      <c r="DR133" s="118"/>
      <c r="DS133" s="118"/>
      <c r="DT133" s="118"/>
      <c r="DU133" s="118"/>
      <c r="DV133" s="118"/>
      <c r="DW133" s="118"/>
      <c r="DX133" s="118"/>
      <c r="DY133" s="118"/>
      <c r="DZ133" s="118"/>
      <c r="EA133" s="118"/>
      <c r="EB133" s="118"/>
      <c r="EC133" s="118"/>
      <c r="ED133" s="118"/>
      <c r="EE133" s="118"/>
      <c r="EF133" s="118"/>
      <c r="EG133" s="118"/>
      <c r="EH133" s="118"/>
      <c r="EI133" s="118"/>
      <c r="EJ133" s="118"/>
      <c r="EK133" s="118"/>
    </row>
    <row r="134" spans="1:141" s="119" customFormat="1" x14ac:dyDescent="0.2">
      <c r="A134" s="121"/>
      <c r="B134" s="108"/>
      <c r="C134" s="108"/>
      <c r="D134" s="105" t="s">
        <v>13</v>
      </c>
      <c r="E134" s="110"/>
      <c r="F134" s="110"/>
      <c r="G134" s="105"/>
      <c r="H134" s="105"/>
      <c r="I134" s="105"/>
      <c r="J134" s="111"/>
      <c r="K134" s="111"/>
      <c r="L134" s="105"/>
      <c r="M134" s="105"/>
      <c r="N134" s="112"/>
      <c r="O134" s="105"/>
      <c r="P134" s="113"/>
      <c r="Q134" s="113"/>
      <c r="R134" s="113"/>
      <c r="S134" s="113"/>
      <c r="T134" s="114"/>
      <c r="U134" s="113"/>
      <c r="V134" s="113"/>
      <c r="W134" s="113"/>
      <c r="X134" s="115"/>
      <c r="Y134" s="113"/>
      <c r="Z134" s="115"/>
      <c r="AA134" s="115"/>
      <c r="AB134" s="115"/>
      <c r="AC134" s="115"/>
      <c r="AD134" s="115"/>
      <c r="AE134" s="114"/>
      <c r="AF134" s="114" t="s">
        <v>66</v>
      </c>
      <c r="AG134" s="115"/>
      <c r="AH134" s="116"/>
      <c r="AI134" s="117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  <c r="CX134" s="116"/>
      <c r="CY134" s="116"/>
      <c r="CZ134" s="116"/>
      <c r="DA134" s="116"/>
      <c r="DB134" s="116"/>
      <c r="DC134" s="116"/>
      <c r="DD134" s="116"/>
      <c r="DE134" s="116"/>
      <c r="DF134" s="116"/>
      <c r="DG134" s="116"/>
      <c r="DH134" s="116"/>
      <c r="DI134" s="116"/>
      <c r="DJ134" s="118"/>
      <c r="DK134" s="118"/>
      <c r="DL134" s="118"/>
      <c r="DM134" s="118"/>
      <c r="DN134" s="118"/>
      <c r="DO134" s="118"/>
      <c r="DP134" s="118"/>
      <c r="DQ134" s="118"/>
      <c r="DR134" s="118"/>
      <c r="DS134" s="118"/>
      <c r="DT134" s="118"/>
      <c r="DU134" s="118"/>
      <c r="DV134" s="118"/>
      <c r="DW134" s="118"/>
      <c r="DX134" s="118"/>
      <c r="DY134" s="118"/>
      <c r="DZ134" s="118"/>
      <c r="EA134" s="118"/>
      <c r="EB134" s="118"/>
      <c r="EC134" s="118"/>
      <c r="ED134" s="118"/>
      <c r="EE134" s="118"/>
      <c r="EF134" s="118"/>
      <c r="EG134" s="118"/>
      <c r="EH134" s="118"/>
      <c r="EI134" s="118"/>
      <c r="EJ134" s="118"/>
      <c r="EK134" s="118"/>
    </row>
    <row r="135" spans="1:141" s="119" customFormat="1" x14ac:dyDescent="0.2">
      <c r="A135" s="121" t="s">
        <v>59</v>
      </c>
      <c r="B135" s="108">
        <v>804</v>
      </c>
      <c r="C135" s="108" t="s">
        <v>57</v>
      </c>
      <c r="D135" s="105" t="s">
        <v>12</v>
      </c>
      <c r="E135" s="110"/>
      <c r="F135" s="110"/>
      <c r="G135" s="105" t="s">
        <v>36</v>
      </c>
      <c r="H135" s="105" t="s">
        <v>36</v>
      </c>
      <c r="I135" s="105" t="s">
        <v>36</v>
      </c>
      <c r="J135" s="111"/>
      <c r="K135" s="111"/>
      <c r="L135" s="105"/>
      <c r="M135" s="105"/>
      <c r="N135" s="112"/>
      <c r="O135" s="105"/>
      <c r="P135" s="113"/>
      <c r="Q135" s="113"/>
      <c r="R135" s="113"/>
      <c r="S135" s="113"/>
      <c r="T135" s="114"/>
      <c r="U135" s="113"/>
      <c r="V135" s="113"/>
      <c r="W135" s="113"/>
      <c r="X135" s="115"/>
      <c r="Y135" s="113"/>
      <c r="Z135" s="115">
        <v>16.5</v>
      </c>
      <c r="AA135" s="115"/>
      <c r="AB135" s="115"/>
      <c r="AC135" s="115"/>
      <c r="AD135" s="115"/>
      <c r="AE135" s="114"/>
      <c r="AF135" s="114"/>
      <c r="AG135" s="115"/>
      <c r="AH135" s="116"/>
      <c r="AI135" s="117"/>
      <c r="AJ135" s="116"/>
      <c r="AK135" s="116"/>
      <c r="AL135" s="116"/>
      <c r="AM135" s="116"/>
      <c r="AN135" s="116"/>
      <c r="AO135" s="116"/>
      <c r="AP135" s="116"/>
      <c r="AQ135" s="116">
        <v>14.16</v>
      </c>
      <c r="AR135" s="116"/>
      <c r="AS135" s="116"/>
      <c r="AT135" s="116"/>
      <c r="AU135" s="116"/>
      <c r="AV135" s="116"/>
      <c r="AW135" s="116">
        <v>13</v>
      </c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  <c r="CX135" s="116"/>
      <c r="CY135" s="116"/>
      <c r="CZ135" s="116"/>
      <c r="DA135" s="116"/>
      <c r="DB135" s="116"/>
      <c r="DC135" s="116"/>
      <c r="DD135" s="116"/>
      <c r="DE135" s="116"/>
      <c r="DF135" s="116"/>
      <c r="DG135" s="116"/>
      <c r="DH135" s="116"/>
      <c r="DI135" s="116"/>
      <c r="DJ135" s="118"/>
      <c r="DK135" s="118"/>
      <c r="DL135" s="118"/>
      <c r="DM135" s="118"/>
      <c r="DN135" s="118"/>
      <c r="DO135" s="118"/>
      <c r="DP135" s="118"/>
      <c r="DQ135" s="118"/>
      <c r="DR135" s="118"/>
      <c r="DS135" s="118"/>
      <c r="DT135" s="118"/>
      <c r="DU135" s="118"/>
      <c r="DV135" s="118"/>
      <c r="DW135" s="118"/>
      <c r="DX135" s="118"/>
      <c r="DY135" s="118"/>
      <c r="DZ135" s="118"/>
      <c r="EA135" s="118"/>
      <c r="EB135" s="118"/>
      <c r="EC135" s="118"/>
      <c r="ED135" s="118"/>
      <c r="EE135" s="118"/>
      <c r="EF135" s="118"/>
      <c r="EG135" s="118"/>
      <c r="EH135" s="118"/>
      <c r="EI135" s="118"/>
      <c r="EJ135" s="118"/>
      <c r="EK135" s="118"/>
    </row>
    <row r="136" spans="1:141" s="119" customFormat="1" x14ac:dyDescent="0.2">
      <c r="A136" s="121"/>
      <c r="B136" s="108"/>
      <c r="C136" s="108"/>
      <c r="D136" s="105" t="s">
        <v>13</v>
      </c>
      <c r="E136" s="110"/>
      <c r="F136" s="110"/>
      <c r="G136" s="105"/>
      <c r="H136" s="105"/>
      <c r="I136" s="105"/>
      <c r="J136" s="111"/>
      <c r="K136" s="111"/>
      <c r="L136" s="105"/>
      <c r="M136" s="105"/>
      <c r="N136" s="112"/>
      <c r="O136" s="105"/>
      <c r="P136" s="113"/>
      <c r="Q136" s="113"/>
      <c r="R136" s="113"/>
      <c r="S136" s="113"/>
      <c r="T136" s="114"/>
      <c r="U136" s="113"/>
      <c r="V136" s="113"/>
      <c r="W136" s="113"/>
      <c r="X136" s="115"/>
      <c r="Y136" s="113" t="s">
        <v>66</v>
      </c>
      <c r="Z136" s="115"/>
      <c r="AA136" s="115"/>
      <c r="AB136" s="115"/>
      <c r="AC136" s="115"/>
      <c r="AD136" s="115"/>
      <c r="AE136" s="114"/>
      <c r="AF136" s="114"/>
      <c r="AG136" s="115"/>
      <c r="AH136" s="116"/>
      <c r="AI136" s="117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24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  <c r="CX136" s="116"/>
      <c r="CY136" s="116"/>
      <c r="CZ136" s="116"/>
      <c r="DA136" s="116"/>
      <c r="DB136" s="116"/>
      <c r="DC136" s="116"/>
      <c r="DD136" s="116"/>
      <c r="DE136" s="116"/>
      <c r="DF136" s="116"/>
      <c r="DG136" s="116"/>
      <c r="DH136" s="116"/>
      <c r="DI136" s="116"/>
      <c r="DJ136" s="118"/>
      <c r="DK136" s="118"/>
      <c r="DL136" s="118"/>
      <c r="DM136" s="118"/>
      <c r="DN136" s="118"/>
      <c r="DO136" s="118"/>
      <c r="DP136" s="118"/>
      <c r="DQ136" s="118"/>
      <c r="DR136" s="118"/>
      <c r="DS136" s="118"/>
      <c r="DT136" s="118"/>
      <c r="DU136" s="118"/>
      <c r="DV136" s="118"/>
      <c r="DW136" s="118"/>
      <c r="DX136" s="118"/>
      <c r="DY136" s="118"/>
      <c r="DZ136" s="118"/>
      <c r="EA136" s="118"/>
      <c r="EB136" s="118"/>
      <c r="EC136" s="118"/>
      <c r="ED136" s="118"/>
      <c r="EE136" s="118"/>
      <c r="EF136" s="118"/>
      <c r="EG136" s="118"/>
      <c r="EH136" s="118"/>
      <c r="EI136" s="118"/>
      <c r="EJ136" s="118"/>
      <c r="EK136" s="118"/>
    </row>
    <row r="137" spans="1:141" s="119" customFormat="1" x14ac:dyDescent="0.2">
      <c r="A137" s="121" t="s">
        <v>59</v>
      </c>
      <c r="B137" s="108">
        <v>805</v>
      </c>
      <c r="C137" s="108" t="s">
        <v>57</v>
      </c>
      <c r="D137" s="105" t="s">
        <v>12</v>
      </c>
      <c r="E137" s="110"/>
      <c r="F137" s="110"/>
      <c r="G137" s="105" t="s">
        <v>36</v>
      </c>
      <c r="H137" s="105" t="s">
        <v>36</v>
      </c>
      <c r="I137" s="105" t="s">
        <v>36</v>
      </c>
      <c r="J137" s="111"/>
      <c r="K137" s="111"/>
      <c r="L137" s="105"/>
      <c r="M137" s="105"/>
      <c r="N137" s="112"/>
      <c r="O137" s="105"/>
      <c r="P137" s="113"/>
      <c r="Q137" s="113"/>
      <c r="R137" s="113"/>
      <c r="S137" s="113"/>
      <c r="T137" s="114"/>
      <c r="U137" s="113"/>
      <c r="V137" s="113"/>
      <c r="W137" s="113"/>
      <c r="X137" s="115"/>
      <c r="Y137" s="113"/>
      <c r="Z137" s="115"/>
      <c r="AA137" s="115"/>
      <c r="AB137" s="115"/>
      <c r="AC137" s="115"/>
      <c r="AD137" s="115"/>
      <c r="AE137" s="114"/>
      <c r="AF137" s="114"/>
      <c r="AG137" s="115"/>
      <c r="AH137" s="116"/>
      <c r="AI137" s="117"/>
      <c r="AJ137" s="116"/>
      <c r="AK137" s="116"/>
      <c r="AL137" s="116"/>
      <c r="AM137" s="116"/>
      <c r="AN137" s="116"/>
      <c r="AO137" s="116"/>
      <c r="AP137" s="116"/>
      <c r="AQ137" s="116"/>
      <c r="AR137" s="116">
        <v>16.399999999999999</v>
      </c>
      <c r="AS137" s="116"/>
      <c r="AT137" s="116"/>
      <c r="AU137" s="116"/>
      <c r="AV137" s="116"/>
      <c r="AW137" s="116">
        <v>13.2</v>
      </c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  <c r="CX137" s="116"/>
      <c r="CY137" s="116"/>
      <c r="CZ137" s="116"/>
      <c r="DA137" s="116"/>
      <c r="DB137" s="116"/>
      <c r="DC137" s="116"/>
      <c r="DD137" s="116"/>
      <c r="DE137" s="116"/>
      <c r="DF137" s="116"/>
      <c r="DG137" s="116"/>
      <c r="DH137" s="116"/>
      <c r="DI137" s="116"/>
      <c r="DJ137" s="118"/>
      <c r="DK137" s="118"/>
      <c r="DL137" s="118"/>
      <c r="DM137" s="118"/>
      <c r="DN137" s="118"/>
      <c r="DO137" s="118"/>
      <c r="DP137" s="118"/>
      <c r="DQ137" s="118"/>
      <c r="DR137" s="118"/>
      <c r="DS137" s="118"/>
      <c r="DT137" s="118"/>
      <c r="DU137" s="118"/>
      <c r="DV137" s="118"/>
      <c r="DW137" s="118"/>
      <c r="DX137" s="118"/>
      <c r="DY137" s="118"/>
      <c r="DZ137" s="118"/>
      <c r="EA137" s="118"/>
      <c r="EB137" s="118"/>
      <c r="EC137" s="118"/>
      <c r="ED137" s="118"/>
      <c r="EE137" s="118"/>
      <c r="EF137" s="118"/>
      <c r="EG137" s="118"/>
      <c r="EH137" s="118"/>
      <c r="EI137" s="118"/>
      <c r="EJ137" s="118"/>
      <c r="EK137" s="118"/>
    </row>
    <row r="138" spans="1:141" s="119" customFormat="1" x14ac:dyDescent="0.2">
      <c r="A138" s="121"/>
      <c r="B138" s="108"/>
      <c r="C138" s="108"/>
      <c r="D138" s="105" t="s">
        <v>13</v>
      </c>
      <c r="E138" s="110"/>
      <c r="F138" s="110"/>
      <c r="G138" s="105"/>
      <c r="H138" s="105"/>
      <c r="I138" s="105"/>
      <c r="J138" s="111"/>
      <c r="K138" s="111"/>
      <c r="L138" s="105"/>
      <c r="M138" s="105"/>
      <c r="N138" s="112"/>
      <c r="O138" s="105"/>
      <c r="P138" s="113"/>
      <c r="Q138" s="113"/>
      <c r="R138" s="113"/>
      <c r="S138" s="113"/>
      <c r="T138" s="114"/>
      <c r="U138" s="113"/>
      <c r="V138" s="113"/>
      <c r="W138" s="113"/>
      <c r="X138" s="115"/>
      <c r="Y138" s="113" t="s">
        <v>66</v>
      </c>
      <c r="Z138" s="115"/>
      <c r="AA138" s="115"/>
      <c r="AB138" s="115"/>
      <c r="AC138" s="115"/>
      <c r="AD138" s="115"/>
      <c r="AE138" s="114"/>
      <c r="AF138" s="114"/>
      <c r="AG138" s="115"/>
      <c r="AH138" s="116"/>
      <c r="AI138" s="117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  <c r="CX138" s="116"/>
      <c r="CY138" s="116"/>
      <c r="CZ138" s="116"/>
      <c r="DA138" s="116"/>
      <c r="DB138" s="116"/>
      <c r="DC138" s="116"/>
      <c r="DD138" s="116"/>
      <c r="DE138" s="116"/>
      <c r="DF138" s="116"/>
      <c r="DG138" s="116"/>
      <c r="DH138" s="116"/>
      <c r="DI138" s="116"/>
      <c r="DJ138" s="118"/>
      <c r="DK138" s="118"/>
      <c r="DL138" s="118"/>
      <c r="DM138" s="118"/>
      <c r="DN138" s="118"/>
      <c r="DO138" s="118"/>
      <c r="DP138" s="118"/>
      <c r="DQ138" s="118"/>
      <c r="DR138" s="118"/>
      <c r="DS138" s="118"/>
      <c r="DT138" s="118"/>
      <c r="DU138" s="118"/>
      <c r="DV138" s="118"/>
      <c r="DW138" s="118"/>
      <c r="DX138" s="118"/>
      <c r="DY138" s="118"/>
      <c r="DZ138" s="118"/>
      <c r="EA138" s="118"/>
      <c r="EB138" s="118"/>
      <c r="EC138" s="118"/>
      <c r="ED138" s="118"/>
      <c r="EE138" s="118"/>
      <c r="EF138" s="118"/>
      <c r="EG138" s="118"/>
      <c r="EH138" s="118"/>
      <c r="EI138" s="118"/>
      <c r="EJ138" s="118"/>
      <c r="EK138" s="118"/>
    </row>
    <row r="139" spans="1:141" s="119" customFormat="1" x14ac:dyDescent="0.2">
      <c r="A139" s="121" t="s">
        <v>63</v>
      </c>
      <c r="B139" s="108">
        <v>806</v>
      </c>
      <c r="C139" s="108" t="s">
        <v>57</v>
      </c>
      <c r="D139" s="105" t="s">
        <v>12</v>
      </c>
      <c r="E139" s="110"/>
      <c r="F139" s="110"/>
      <c r="G139" s="105" t="s">
        <v>36</v>
      </c>
      <c r="H139" s="105" t="s">
        <v>36</v>
      </c>
      <c r="I139" s="105" t="s">
        <v>36</v>
      </c>
      <c r="J139" s="111"/>
      <c r="K139" s="111"/>
      <c r="L139" s="105"/>
      <c r="M139" s="105"/>
      <c r="N139" s="112"/>
      <c r="O139" s="105"/>
      <c r="P139" s="113"/>
      <c r="Q139" s="113"/>
      <c r="R139" s="113"/>
      <c r="S139" s="113"/>
      <c r="T139" s="114"/>
      <c r="U139" s="113"/>
      <c r="V139" s="113"/>
      <c r="W139" s="113"/>
      <c r="X139" s="115"/>
      <c r="Y139" s="113"/>
      <c r="Z139" s="115"/>
      <c r="AA139" s="115"/>
      <c r="AB139" s="115"/>
      <c r="AC139" s="115"/>
      <c r="AD139" s="115"/>
      <c r="AE139" s="114"/>
      <c r="AF139" s="114"/>
      <c r="AG139" s="115"/>
      <c r="AH139" s="116"/>
      <c r="AI139" s="117"/>
      <c r="AJ139" s="116"/>
      <c r="AK139" s="116"/>
      <c r="AL139" s="116"/>
      <c r="AM139" s="116"/>
      <c r="AN139" s="116"/>
      <c r="AO139" s="116"/>
      <c r="AP139" s="116"/>
      <c r="AQ139" s="116"/>
      <c r="AR139" s="116">
        <v>12.9</v>
      </c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  <c r="CX139" s="116"/>
      <c r="CY139" s="116"/>
      <c r="CZ139" s="116"/>
      <c r="DA139" s="116"/>
      <c r="DB139" s="116"/>
      <c r="DC139" s="116"/>
      <c r="DD139" s="116"/>
      <c r="DE139" s="116"/>
      <c r="DF139" s="116"/>
      <c r="DG139" s="116"/>
      <c r="DH139" s="116"/>
      <c r="DI139" s="116"/>
      <c r="DJ139" s="118"/>
      <c r="DK139" s="118"/>
      <c r="DL139" s="118"/>
      <c r="DM139" s="118"/>
      <c r="DN139" s="118"/>
      <c r="DO139" s="118"/>
      <c r="DP139" s="118"/>
      <c r="DQ139" s="118"/>
      <c r="DR139" s="118"/>
      <c r="DS139" s="118"/>
      <c r="DT139" s="118"/>
      <c r="DU139" s="118"/>
      <c r="DV139" s="118"/>
      <c r="DW139" s="118"/>
      <c r="DX139" s="118"/>
      <c r="DY139" s="118"/>
      <c r="DZ139" s="118"/>
      <c r="EA139" s="118"/>
      <c r="EB139" s="118"/>
      <c r="EC139" s="118"/>
      <c r="ED139" s="118"/>
      <c r="EE139" s="118"/>
      <c r="EF139" s="118"/>
      <c r="EG139" s="118"/>
      <c r="EH139" s="118"/>
      <c r="EI139" s="118"/>
      <c r="EJ139" s="118"/>
      <c r="EK139" s="118"/>
    </row>
    <row r="140" spans="1:141" s="119" customFormat="1" x14ac:dyDescent="0.2">
      <c r="A140" s="121"/>
      <c r="B140" s="108"/>
      <c r="C140" s="108"/>
      <c r="D140" s="105" t="s">
        <v>13</v>
      </c>
      <c r="E140" s="110"/>
      <c r="F140" s="110"/>
      <c r="G140" s="105"/>
      <c r="H140" s="105"/>
      <c r="I140" s="126"/>
      <c r="J140" s="111"/>
      <c r="K140" s="111"/>
      <c r="L140" s="105"/>
      <c r="M140" s="105"/>
      <c r="N140" s="112"/>
      <c r="O140" s="105"/>
      <c r="P140" s="113"/>
      <c r="Q140" s="113"/>
      <c r="R140" s="113"/>
      <c r="S140" s="113"/>
      <c r="T140" s="114"/>
      <c r="U140" s="113"/>
      <c r="V140" s="113"/>
      <c r="W140" s="113"/>
      <c r="X140" s="115"/>
      <c r="Y140" s="113" t="s">
        <v>66</v>
      </c>
      <c r="Z140" s="115"/>
      <c r="AA140" s="115"/>
      <c r="AB140" s="115"/>
      <c r="AC140" s="115"/>
      <c r="AD140" s="115"/>
      <c r="AE140" s="114"/>
      <c r="AF140" s="114"/>
      <c r="AG140" s="115"/>
      <c r="AH140" s="116"/>
      <c r="AI140" s="117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  <c r="CX140" s="116"/>
      <c r="CY140" s="116"/>
      <c r="CZ140" s="116"/>
      <c r="DA140" s="116"/>
      <c r="DB140" s="116"/>
      <c r="DC140" s="116"/>
      <c r="DD140" s="116"/>
      <c r="DE140" s="116"/>
      <c r="DF140" s="116"/>
      <c r="DG140" s="116"/>
      <c r="DH140" s="116"/>
      <c r="DI140" s="116"/>
      <c r="DJ140" s="118"/>
      <c r="DK140" s="118"/>
      <c r="DL140" s="118"/>
      <c r="DM140" s="118"/>
      <c r="DN140" s="118"/>
      <c r="DO140" s="118"/>
      <c r="DP140" s="118"/>
      <c r="DQ140" s="118"/>
      <c r="DR140" s="118"/>
      <c r="DS140" s="118"/>
      <c r="DT140" s="118"/>
      <c r="DU140" s="118"/>
      <c r="DV140" s="118"/>
      <c r="DW140" s="118"/>
      <c r="DX140" s="118"/>
      <c r="DY140" s="118"/>
      <c r="DZ140" s="118"/>
      <c r="EA140" s="118"/>
      <c r="EB140" s="118"/>
      <c r="EC140" s="118"/>
      <c r="ED140" s="118"/>
      <c r="EE140" s="118"/>
      <c r="EF140" s="118"/>
      <c r="EG140" s="118"/>
      <c r="EH140" s="118"/>
      <c r="EI140" s="118"/>
      <c r="EJ140" s="118"/>
      <c r="EK140" s="118"/>
    </row>
    <row r="141" spans="1:141" s="119" customFormat="1" x14ac:dyDescent="0.2">
      <c r="A141" s="121" t="s">
        <v>64</v>
      </c>
      <c r="B141" s="108">
        <v>807</v>
      </c>
      <c r="C141" s="108" t="s">
        <v>57</v>
      </c>
      <c r="D141" s="105" t="s">
        <v>12</v>
      </c>
      <c r="E141" s="110"/>
      <c r="F141" s="110"/>
      <c r="G141" s="105" t="s">
        <v>36</v>
      </c>
      <c r="H141" s="105" t="s">
        <v>36</v>
      </c>
      <c r="I141" s="126" t="s">
        <v>36</v>
      </c>
      <c r="J141" s="111">
        <v>40800</v>
      </c>
      <c r="K141" s="111">
        <v>40805</v>
      </c>
      <c r="L141" s="105"/>
      <c r="M141" s="105"/>
      <c r="N141" s="112"/>
      <c r="O141" s="105"/>
      <c r="P141" s="113"/>
      <c r="Q141" s="113"/>
      <c r="R141" s="113"/>
      <c r="S141" s="113"/>
      <c r="T141" s="114"/>
      <c r="U141" s="113"/>
      <c r="V141" s="113"/>
      <c r="W141" s="113"/>
      <c r="X141" s="115"/>
      <c r="Y141" s="113"/>
      <c r="Z141" s="115">
        <v>17</v>
      </c>
      <c r="AA141" s="115"/>
      <c r="AB141" s="115"/>
      <c r="AC141" s="115"/>
      <c r="AD141" s="115"/>
      <c r="AE141" s="114"/>
      <c r="AF141" s="114"/>
      <c r="AG141" s="115"/>
      <c r="AH141" s="116"/>
      <c r="AI141" s="117">
        <v>13.75</v>
      </c>
      <c r="AJ141" s="116"/>
      <c r="AK141" s="116"/>
      <c r="AL141" s="116"/>
      <c r="AM141" s="116"/>
      <c r="AN141" s="116"/>
      <c r="AO141" s="116"/>
      <c r="AP141" s="116"/>
      <c r="AQ141" s="116">
        <v>15</v>
      </c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  <c r="CX141" s="116"/>
      <c r="CY141" s="116"/>
      <c r="CZ141" s="116"/>
      <c r="DA141" s="116"/>
      <c r="DB141" s="116"/>
      <c r="DC141" s="116"/>
      <c r="DD141" s="116"/>
      <c r="DE141" s="116"/>
      <c r="DF141" s="116"/>
      <c r="DG141" s="116"/>
      <c r="DH141" s="116"/>
      <c r="DI141" s="116"/>
      <c r="DJ141" s="118"/>
      <c r="DK141" s="118"/>
      <c r="DL141" s="118"/>
      <c r="DM141" s="118"/>
      <c r="DN141" s="118"/>
      <c r="DO141" s="118"/>
      <c r="DP141" s="118"/>
      <c r="DQ141" s="118"/>
      <c r="DR141" s="118"/>
      <c r="DS141" s="118"/>
      <c r="DT141" s="118"/>
      <c r="DU141" s="118"/>
      <c r="DV141" s="118"/>
      <c r="DW141" s="118"/>
      <c r="DX141" s="118"/>
      <c r="DY141" s="118"/>
      <c r="DZ141" s="118"/>
      <c r="EA141" s="118"/>
      <c r="EB141" s="118"/>
      <c r="EC141" s="118"/>
      <c r="ED141" s="118"/>
      <c r="EE141" s="118"/>
      <c r="EF141" s="118"/>
      <c r="EG141" s="118"/>
      <c r="EH141" s="118"/>
      <c r="EI141" s="118"/>
      <c r="EJ141" s="118"/>
      <c r="EK141" s="118"/>
    </row>
    <row r="142" spans="1:141" s="119" customFormat="1" x14ac:dyDescent="0.2">
      <c r="A142" s="121"/>
      <c r="B142" s="108"/>
      <c r="C142" s="108"/>
      <c r="D142" s="105" t="s">
        <v>13</v>
      </c>
      <c r="E142" s="110"/>
      <c r="F142" s="110"/>
      <c r="G142" s="105"/>
      <c r="H142" s="105"/>
      <c r="I142" s="105"/>
      <c r="J142" s="111"/>
      <c r="K142" s="111"/>
      <c r="L142" s="105"/>
      <c r="M142" s="105"/>
      <c r="N142" s="112"/>
      <c r="O142" s="105"/>
      <c r="P142" s="113"/>
      <c r="Q142" s="113"/>
      <c r="R142" s="113" t="s">
        <v>66</v>
      </c>
      <c r="S142" s="113"/>
      <c r="T142" s="114"/>
      <c r="U142" s="113"/>
      <c r="V142" s="113"/>
      <c r="W142" s="113"/>
      <c r="X142" s="115"/>
      <c r="Y142" s="113"/>
      <c r="Z142" s="115"/>
      <c r="AA142" s="115"/>
      <c r="AB142" s="115"/>
      <c r="AC142" s="115"/>
      <c r="AD142" s="115"/>
      <c r="AE142" s="114"/>
      <c r="AF142" s="114" t="s">
        <v>66</v>
      </c>
      <c r="AG142" s="115"/>
      <c r="AH142" s="116"/>
      <c r="AI142" s="117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  <c r="CX142" s="116"/>
      <c r="CY142" s="116"/>
      <c r="CZ142" s="116"/>
      <c r="DA142" s="116"/>
      <c r="DB142" s="116"/>
      <c r="DC142" s="116"/>
      <c r="DD142" s="116"/>
      <c r="DE142" s="116"/>
      <c r="DF142" s="116"/>
      <c r="DG142" s="116"/>
      <c r="DH142" s="116"/>
      <c r="DI142" s="116"/>
      <c r="DJ142" s="118"/>
      <c r="DK142" s="118"/>
      <c r="DL142" s="118"/>
      <c r="DM142" s="118"/>
      <c r="DN142" s="118"/>
      <c r="DO142" s="118"/>
      <c r="DP142" s="118"/>
      <c r="DQ142" s="118"/>
      <c r="DR142" s="118"/>
      <c r="DS142" s="118"/>
      <c r="DT142" s="118"/>
      <c r="DU142" s="118"/>
      <c r="DV142" s="118"/>
      <c r="DW142" s="118"/>
      <c r="DX142" s="118"/>
      <c r="DY142" s="118"/>
      <c r="DZ142" s="118"/>
      <c r="EA142" s="118"/>
      <c r="EB142" s="118"/>
      <c r="EC142" s="118"/>
      <c r="ED142" s="118"/>
      <c r="EE142" s="118"/>
      <c r="EF142" s="118"/>
      <c r="EG142" s="118"/>
      <c r="EH142" s="118"/>
      <c r="EI142" s="118"/>
      <c r="EJ142" s="118"/>
      <c r="EK142" s="118"/>
    </row>
    <row r="143" spans="1:141" s="119" customFormat="1" x14ac:dyDescent="0.2">
      <c r="A143" s="121" t="s">
        <v>65</v>
      </c>
      <c r="B143" s="108">
        <v>808</v>
      </c>
      <c r="C143" s="108" t="s">
        <v>57</v>
      </c>
      <c r="D143" s="105" t="s">
        <v>12</v>
      </c>
      <c r="E143" s="110"/>
      <c r="F143" s="110"/>
      <c r="G143" s="105" t="s">
        <v>36</v>
      </c>
      <c r="H143" s="105" t="s">
        <v>36</v>
      </c>
      <c r="I143" s="105" t="s">
        <v>36</v>
      </c>
      <c r="J143" s="111">
        <v>40803</v>
      </c>
      <c r="K143" s="111">
        <v>40805</v>
      </c>
      <c r="L143" s="105"/>
      <c r="M143" s="105"/>
      <c r="N143" s="112"/>
      <c r="O143" s="105"/>
      <c r="P143" s="113"/>
      <c r="Q143" s="113"/>
      <c r="R143" s="113"/>
      <c r="S143" s="113"/>
      <c r="T143" s="114"/>
      <c r="U143" s="113"/>
      <c r="V143" s="113"/>
      <c r="W143" s="113"/>
      <c r="X143" s="115"/>
      <c r="Y143" s="113"/>
      <c r="Z143" s="115"/>
      <c r="AA143" s="115"/>
      <c r="AB143" s="115"/>
      <c r="AC143" s="115"/>
      <c r="AD143" s="115"/>
      <c r="AE143" s="114"/>
      <c r="AF143" s="114"/>
      <c r="AG143" s="115"/>
      <c r="AH143" s="116"/>
      <c r="AI143" s="117">
        <v>13.2</v>
      </c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  <c r="CX143" s="116"/>
      <c r="CY143" s="116"/>
      <c r="CZ143" s="116"/>
      <c r="DA143" s="116"/>
      <c r="DB143" s="116"/>
      <c r="DC143" s="116"/>
      <c r="DD143" s="116"/>
      <c r="DE143" s="116"/>
      <c r="DF143" s="116"/>
      <c r="DG143" s="116"/>
      <c r="DH143" s="116"/>
      <c r="DI143" s="116"/>
      <c r="DJ143" s="118"/>
      <c r="DK143" s="118"/>
      <c r="DL143" s="118"/>
      <c r="DM143" s="118"/>
      <c r="DN143" s="118"/>
      <c r="DO143" s="118"/>
      <c r="DP143" s="118"/>
      <c r="DQ143" s="118"/>
      <c r="DR143" s="118"/>
      <c r="DS143" s="118"/>
      <c r="DT143" s="118"/>
      <c r="DU143" s="118"/>
      <c r="DV143" s="118"/>
      <c r="DW143" s="118"/>
      <c r="DX143" s="118"/>
      <c r="DY143" s="118"/>
      <c r="DZ143" s="118"/>
      <c r="EA143" s="118"/>
      <c r="EB143" s="118"/>
      <c r="EC143" s="118"/>
      <c r="ED143" s="118"/>
      <c r="EE143" s="118"/>
      <c r="EF143" s="118"/>
      <c r="EG143" s="118"/>
      <c r="EH143" s="118"/>
      <c r="EI143" s="118"/>
      <c r="EJ143" s="118"/>
      <c r="EK143" s="118"/>
    </row>
    <row r="144" spans="1:141" s="119" customFormat="1" x14ac:dyDescent="0.2">
      <c r="A144" s="121"/>
      <c r="B144" s="108"/>
      <c r="C144" s="108"/>
      <c r="D144" s="105" t="s">
        <v>13</v>
      </c>
      <c r="E144" s="110"/>
      <c r="F144" s="110"/>
      <c r="G144" s="105"/>
      <c r="H144" s="105"/>
      <c r="I144" s="105"/>
      <c r="J144" s="111"/>
      <c r="K144" s="111"/>
      <c r="L144" s="105"/>
      <c r="M144" s="105"/>
      <c r="N144" s="112"/>
      <c r="O144" s="105"/>
      <c r="P144" s="113"/>
      <c r="Q144" s="113"/>
      <c r="R144" s="113"/>
      <c r="S144" s="113"/>
      <c r="T144" s="114"/>
      <c r="U144" s="113"/>
      <c r="V144" s="113"/>
      <c r="W144" s="113"/>
      <c r="X144" s="115"/>
      <c r="Y144" s="113"/>
      <c r="Z144" s="115"/>
      <c r="AA144" s="115"/>
      <c r="AB144" s="115"/>
      <c r="AC144" s="115" t="s">
        <v>66</v>
      </c>
      <c r="AD144" s="115"/>
      <c r="AE144" s="114"/>
      <c r="AF144" s="114"/>
      <c r="AG144" s="115"/>
      <c r="AH144" s="116"/>
      <c r="AI144" s="117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  <c r="CX144" s="116"/>
      <c r="CY144" s="116"/>
      <c r="CZ144" s="116"/>
      <c r="DA144" s="116"/>
      <c r="DB144" s="116"/>
      <c r="DC144" s="116"/>
      <c r="DD144" s="116"/>
      <c r="DE144" s="116"/>
      <c r="DF144" s="116"/>
      <c r="DG144" s="116"/>
      <c r="DH144" s="116"/>
      <c r="DI144" s="116"/>
      <c r="DJ144" s="118"/>
      <c r="DK144" s="118"/>
      <c r="DL144" s="118"/>
      <c r="DM144" s="118"/>
      <c r="DN144" s="118"/>
      <c r="DO144" s="118"/>
      <c r="DP144" s="118"/>
      <c r="DQ144" s="118"/>
      <c r="DR144" s="118"/>
      <c r="DS144" s="118"/>
      <c r="DT144" s="118"/>
      <c r="DU144" s="118"/>
      <c r="DV144" s="118"/>
      <c r="DW144" s="118"/>
      <c r="DX144" s="118"/>
      <c r="DY144" s="118"/>
      <c r="DZ144" s="118"/>
      <c r="EA144" s="118"/>
      <c r="EB144" s="118"/>
      <c r="EC144" s="118"/>
      <c r="ED144" s="118"/>
      <c r="EE144" s="118"/>
      <c r="EF144" s="118"/>
      <c r="EG144" s="118"/>
      <c r="EH144" s="118"/>
      <c r="EI144" s="118"/>
      <c r="EJ144" s="118"/>
      <c r="EK144" s="118"/>
    </row>
    <row r="145" spans="1:141" x14ac:dyDescent="0.2">
      <c r="A145" s="76"/>
      <c r="B145" s="24"/>
      <c r="C145" s="24"/>
      <c r="D145" s="55"/>
      <c r="E145" s="4"/>
      <c r="F145" s="4"/>
      <c r="G145" s="2"/>
      <c r="H145" s="2"/>
      <c r="I145" s="2"/>
      <c r="J145" s="23"/>
      <c r="K145" s="23"/>
      <c r="L145" s="2"/>
      <c r="M145" s="2"/>
      <c r="N145" s="6"/>
      <c r="O145" s="2"/>
      <c r="P145" s="26"/>
      <c r="Q145" s="26"/>
      <c r="R145" s="26"/>
      <c r="S145" s="26"/>
      <c r="T145" s="27"/>
      <c r="U145" s="26"/>
      <c r="V145" s="26"/>
      <c r="W145" s="26"/>
      <c r="X145" s="100"/>
      <c r="Y145" s="26"/>
      <c r="Z145" s="100"/>
      <c r="AA145" s="100"/>
      <c r="AB145" s="100"/>
      <c r="AC145" s="100"/>
      <c r="AD145" s="100"/>
      <c r="AE145" s="27"/>
      <c r="AF145" s="27"/>
      <c r="AG145" s="100"/>
      <c r="AH145" s="101"/>
      <c r="AI145" s="102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</row>
    <row r="146" spans="1:141" x14ac:dyDescent="0.2">
      <c r="A146" s="76"/>
      <c r="B146" s="24"/>
      <c r="C146" s="24"/>
      <c r="D146" s="55"/>
      <c r="E146" s="4"/>
      <c r="F146" s="4"/>
      <c r="G146" s="2"/>
      <c r="H146" s="2"/>
      <c r="I146" s="2"/>
      <c r="J146" s="23"/>
      <c r="K146" s="23"/>
      <c r="L146" s="2"/>
      <c r="M146" s="2"/>
      <c r="N146" s="6"/>
      <c r="O146" s="2"/>
      <c r="P146" s="26"/>
      <c r="Q146" s="26"/>
      <c r="R146" s="26"/>
      <c r="S146" s="26"/>
      <c r="T146" s="27"/>
      <c r="U146" s="26"/>
      <c r="V146" s="26"/>
      <c r="W146" s="26"/>
      <c r="X146" s="100"/>
      <c r="Y146" s="26"/>
      <c r="Z146" s="100"/>
      <c r="AA146" s="100"/>
      <c r="AB146" s="100"/>
      <c r="AC146" s="100"/>
      <c r="AD146" s="100"/>
      <c r="AE146" s="27"/>
      <c r="AF146" s="27"/>
      <c r="AG146" s="100"/>
      <c r="AH146" s="101"/>
      <c r="AI146" s="102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</row>
    <row r="147" spans="1:141" x14ac:dyDescent="0.2">
      <c r="A147" s="76"/>
      <c r="B147" s="24"/>
      <c r="C147" s="24"/>
      <c r="D147" s="2"/>
      <c r="E147" s="4"/>
      <c r="F147" s="4"/>
      <c r="G147" s="2"/>
      <c r="H147" s="2"/>
      <c r="I147" s="2"/>
      <c r="J147" s="23"/>
      <c r="K147" s="23"/>
      <c r="L147" s="2"/>
      <c r="M147" s="2"/>
      <c r="N147" s="6"/>
      <c r="O147" s="2"/>
      <c r="P147" s="26"/>
      <c r="Q147" s="26"/>
      <c r="R147" s="26"/>
      <c r="S147" s="26"/>
      <c r="T147" s="27"/>
      <c r="U147" s="26"/>
      <c r="V147" s="26"/>
      <c r="W147" s="26"/>
      <c r="X147" s="100"/>
      <c r="Y147" s="26"/>
      <c r="Z147" s="100"/>
      <c r="AA147" s="100"/>
      <c r="AB147" s="100"/>
      <c r="AC147" s="100"/>
      <c r="AD147" s="100"/>
      <c r="AE147" s="27"/>
      <c r="AF147" s="27"/>
      <c r="AG147" s="100"/>
      <c r="AH147" s="101"/>
      <c r="AI147" s="102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</row>
    <row r="148" spans="1:141" x14ac:dyDescent="0.2">
      <c r="A148" s="76"/>
      <c r="B148" s="24"/>
      <c r="C148" s="24"/>
      <c r="D148" s="2"/>
      <c r="E148" s="4"/>
      <c r="F148" s="4"/>
      <c r="G148" s="2"/>
      <c r="H148" s="2"/>
      <c r="I148" s="2"/>
      <c r="J148" s="23"/>
      <c r="K148" s="23"/>
      <c r="L148" s="2"/>
      <c r="M148" s="2"/>
      <c r="N148" s="6"/>
      <c r="O148" s="2"/>
      <c r="P148" s="26"/>
      <c r="Q148" s="26"/>
      <c r="R148" s="26"/>
      <c r="S148" s="26"/>
      <c r="T148" s="27"/>
      <c r="U148" s="26"/>
      <c r="V148" s="26"/>
      <c r="W148" s="26"/>
      <c r="X148" s="100"/>
      <c r="Y148" s="26"/>
      <c r="Z148" s="100"/>
      <c r="AA148" s="100"/>
      <c r="AB148" s="100"/>
      <c r="AC148" s="100"/>
      <c r="AD148" s="100"/>
      <c r="AE148" s="27"/>
      <c r="AF148" s="27"/>
      <c r="AG148" s="100"/>
      <c r="AH148" s="101"/>
      <c r="AI148" s="102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</row>
    <row r="149" spans="1:141" x14ac:dyDescent="0.2">
      <c r="A149" s="76"/>
      <c r="B149" s="24"/>
      <c r="C149" s="24"/>
      <c r="D149" s="2"/>
      <c r="E149" s="4"/>
      <c r="F149" s="4"/>
      <c r="G149" s="2"/>
      <c r="H149" s="2"/>
      <c r="I149" s="2"/>
      <c r="J149" s="23"/>
      <c r="K149" s="23"/>
      <c r="L149" s="2"/>
      <c r="M149" s="2"/>
      <c r="N149" s="6"/>
      <c r="O149" s="2"/>
      <c r="P149" s="26"/>
      <c r="Q149" s="26"/>
      <c r="R149" s="26"/>
      <c r="S149" s="26"/>
      <c r="T149" s="27"/>
      <c r="U149" s="26"/>
      <c r="V149" s="26"/>
      <c r="W149" s="26"/>
      <c r="X149" s="100"/>
      <c r="Y149" s="26"/>
      <c r="Z149" s="100"/>
      <c r="AA149" s="100"/>
      <c r="AB149" s="100"/>
      <c r="AC149" s="100"/>
      <c r="AD149" s="100"/>
      <c r="AE149" s="27"/>
      <c r="AF149" s="27"/>
      <c r="AG149" s="100"/>
      <c r="AH149" s="101"/>
      <c r="AI149" s="102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</row>
    <row r="150" spans="1:141" x14ac:dyDescent="0.2">
      <c r="A150" s="76"/>
      <c r="B150" s="24"/>
      <c r="C150" s="24"/>
      <c r="D150" s="2"/>
      <c r="E150" s="4"/>
      <c r="F150" s="4"/>
      <c r="G150" s="2"/>
      <c r="H150" s="2"/>
      <c r="I150" s="2"/>
      <c r="J150" s="23"/>
      <c r="K150" s="23"/>
      <c r="L150" s="2"/>
      <c r="M150" s="2"/>
      <c r="N150" s="6"/>
      <c r="O150" s="2"/>
      <c r="P150" s="26"/>
      <c r="Q150" s="26"/>
      <c r="R150" s="26"/>
      <c r="S150" s="26"/>
      <c r="T150" s="27"/>
      <c r="U150" s="26"/>
      <c r="V150" s="26"/>
      <c r="W150" s="26"/>
      <c r="X150" s="100"/>
      <c r="Y150" s="26"/>
      <c r="Z150" s="100"/>
      <c r="AA150" s="100"/>
      <c r="AB150" s="100"/>
      <c r="AC150" s="100"/>
      <c r="AD150" s="100"/>
      <c r="AE150" s="27"/>
      <c r="AF150" s="27"/>
      <c r="AG150" s="100"/>
      <c r="AH150" s="101"/>
      <c r="AI150" s="102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</row>
    <row r="151" spans="1:141" x14ac:dyDescent="0.2">
      <c r="A151" s="76"/>
      <c r="B151" s="24"/>
      <c r="C151" s="24"/>
      <c r="D151" s="2"/>
      <c r="E151" s="4"/>
      <c r="F151" s="4"/>
      <c r="G151" s="2"/>
      <c r="H151" s="2"/>
      <c r="I151" s="2"/>
      <c r="J151" s="23"/>
      <c r="K151" s="23"/>
      <c r="L151" s="2"/>
      <c r="M151" s="2"/>
      <c r="N151" s="6"/>
      <c r="O151" s="2"/>
      <c r="P151" s="26"/>
      <c r="Q151" s="26"/>
      <c r="R151" s="26"/>
      <c r="S151" s="26"/>
      <c r="T151" s="27"/>
      <c r="U151" s="26"/>
      <c r="V151" s="26"/>
      <c r="W151" s="26"/>
      <c r="X151" s="100"/>
      <c r="Y151" s="26"/>
      <c r="Z151" s="100"/>
      <c r="AA151" s="100"/>
      <c r="AB151" s="100"/>
      <c r="AC151" s="100"/>
      <c r="AD151" s="100"/>
      <c r="AE151" s="27"/>
      <c r="AF151" s="27"/>
      <c r="AG151" s="100"/>
      <c r="AH151" s="101"/>
      <c r="AI151" s="102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</row>
    <row r="152" spans="1:141" x14ac:dyDescent="0.2">
      <c r="A152" s="76"/>
      <c r="B152" s="24"/>
      <c r="C152" s="24"/>
      <c r="D152" s="2"/>
      <c r="E152" s="4"/>
      <c r="F152" s="4"/>
      <c r="G152" s="2"/>
      <c r="H152" s="2"/>
      <c r="I152" s="2"/>
      <c r="J152" s="23"/>
      <c r="K152" s="23"/>
      <c r="L152" s="2"/>
      <c r="M152" s="2"/>
      <c r="N152" s="6"/>
      <c r="O152" s="2"/>
      <c r="P152" s="26"/>
      <c r="Q152" s="26"/>
      <c r="R152" s="26"/>
      <c r="S152" s="26"/>
      <c r="T152" s="27"/>
      <c r="U152" s="26"/>
      <c r="V152" s="26"/>
      <c r="W152" s="26"/>
      <c r="X152" s="100"/>
      <c r="Y152" s="26"/>
      <c r="Z152" s="100"/>
      <c r="AA152" s="100"/>
      <c r="AB152" s="100"/>
      <c r="AC152" s="100"/>
      <c r="AD152" s="100"/>
      <c r="AE152" s="27"/>
      <c r="AF152" s="27"/>
      <c r="AG152" s="100"/>
      <c r="AH152" s="101"/>
      <c r="AI152" s="102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</row>
    <row r="153" spans="1:141" x14ac:dyDescent="0.2">
      <c r="A153" s="76"/>
      <c r="B153" s="24"/>
      <c r="C153" s="24"/>
      <c r="D153" s="2"/>
      <c r="E153" s="4"/>
      <c r="F153" s="4"/>
      <c r="G153" s="2"/>
      <c r="H153" s="2"/>
      <c r="I153" s="2"/>
      <c r="J153" s="23"/>
      <c r="K153" s="23"/>
      <c r="L153" s="2"/>
      <c r="M153" s="2"/>
      <c r="N153" s="6"/>
      <c r="O153" s="2"/>
      <c r="P153" s="26"/>
      <c r="Q153" s="26"/>
      <c r="R153" s="26"/>
      <c r="S153" s="26"/>
      <c r="T153" s="27"/>
      <c r="U153" s="26"/>
      <c r="V153" s="26"/>
      <c r="W153" s="26"/>
      <c r="X153" s="100"/>
      <c r="Y153" s="26"/>
      <c r="Z153" s="100"/>
      <c r="AA153" s="100"/>
      <c r="AB153" s="100"/>
      <c r="AC153" s="100"/>
      <c r="AD153" s="100"/>
      <c r="AE153" s="27"/>
      <c r="AF153" s="27"/>
      <c r="AG153" s="100"/>
      <c r="AH153" s="101"/>
      <c r="AI153" s="102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</row>
    <row r="154" spans="1:141" x14ac:dyDescent="0.2">
      <c r="A154" s="76"/>
      <c r="B154" s="24"/>
      <c r="C154" s="24"/>
      <c r="D154" s="2"/>
      <c r="E154" s="4"/>
      <c r="F154" s="4"/>
      <c r="G154" s="2"/>
      <c r="H154" s="2"/>
      <c r="I154" s="2"/>
      <c r="J154" s="23"/>
      <c r="K154" s="23"/>
      <c r="L154" s="2"/>
      <c r="M154" s="2"/>
      <c r="N154" s="6"/>
      <c r="O154" s="2"/>
      <c r="P154" s="26"/>
      <c r="Q154" s="26"/>
      <c r="R154" s="26"/>
      <c r="S154" s="26"/>
      <c r="T154" s="27"/>
      <c r="U154" s="26"/>
      <c r="V154" s="26"/>
      <c r="W154" s="26"/>
      <c r="X154" s="100"/>
      <c r="Y154" s="26"/>
      <c r="Z154" s="100"/>
      <c r="AA154" s="100"/>
      <c r="AB154" s="100"/>
      <c r="AC154" s="100"/>
      <c r="AD154" s="100"/>
      <c r="AE154" s="27"/>
      <c r="AF154" s="27"/>
      <c r="AG154" s="100"/>
      <c r="AH154" s="101"/>
      <c r="AI154" s="102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</row>
    <row r="155" spans="1:141" x14ac:dyDescent="0.2">
      <c r="A155" s="76"/>
      <c r="B155" s="24"/>
      <c r="C155" s="24"/>
      <c r="D155" s="2"/>
      <c r="E155" s="4"/>
      <c r="F155" s="4"/>
      <c r="G155" s="2"/>
      <c r="H155" s="2"/>
      <c r="I155" s="2"/>
      <c r="J155" s="23"/>
      <c r="K155" s="23"/>
      <c r="L155" s="2"/>
      <c r="M155" s="2"/>
      <c r="N155" s="6"/>
      <c r="O155" s="2"/>
      <c r="P155" s="26"/>
      <c r="Q155" s="26"/>
      <c r="R155" s="26"/>
      <c r="S155" s="26"/>
      <c r="T155" s="27"/>
      <c r="U155" s="26"/>
      <c r="V155" s="26"/>
      <c r="W155" s="26"/>
      <c r="X155" s="100"/>
      <c r="Y155" s="26"/>
      <c r="Z155" s="100"/>
      <c r="AA155" s="100"/>
      <c r="AB155" s="100"/>
      <c r="AC155" s="100"/>
      <c r="AD155" s="100"/>
      <c r="AE155" s="27"/>
      <c r="AF155" s="27"/>
      <c r="AG155" s="100"/>
      <c r="AH155" s="101"/>
      <c r="AI155" s="102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</row>
    <row r="156" spans="1:141" x14ac:dyDescent="0.2">
      <c r="A156" s="76"/>
      <c r="B156" s="24"/>
      <c r="C156" s="24"/>
      <c r="D156" s="2"/>
      <c r="E156" s="4"/>
      <c r="F156" s="4"/>
      <c r="G156" s="2"/>
      <c r="H156" s="2"/>
      <c r="I156" s="2"/>
      <c r="J156" s="23"/>
      <c r="K156" s="23"/>
      <c r="L156" s="2"/>
      <c r="M156" s="2"/>
      <c r="N156" s="6"/>
      <c r="O156" s="2"/>
      <c r="P156" s="26"/>
      <c r="Q156" s="26"/>
      <c r="R156" s="26"/>
      <c r="S156" s="26"/>
      <c r="T156" s="27"/>
      <c r="U156" s="26"/>
      <c r="V156" s="26"/>
      <c r="W156" s="26"/>
      <c r="X156" s="100"/>
      <c r="Y156" s="26"/>
      <c r="Z156" s="100"/>
      <c r="AA156" s="100"/>
      <c r="AB156" s="100"/>
      <c r="AC156" s="100"/>
      <c r="AD156" s="100"/>
      <c r="AE156" s="27"/>
      <c r="AF156" s="27"/>
      <c r="AG156" s="100"/>
      <c r="AH156" s="101"/>
      <c r="AI156" s="102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</row>
    <row r="157" spans="1:141" x14ac:dyDescent="0.2">
      <c r="A157" s="76"/>
      <c r="B157" s="24"/>
      <c r="C157" s="24"/>
      <c r="D157" s="2"/>
      <c r="E157" s="4"/>
      <c r="F157" s="4"/>
      <c r="G157" s="2"/>
      <c r="H157" s="2"/>
      <c r="I157" s="2"/>
      <c r="J157" s="23"/>
      <c r="K157" s="23"/>
      <c r="L157" s="2"/>
      <c r="M157" s="2"/>
      <c r="N157" s="6"/>
      <c r="O157" s="2"/>
      <c r="P157" s="26"/>
      <c r="Q157" s="26"/>
      <c r="R157" s="26"/>
      <c r="S157" s="26"/>
      <c r="T157" s="27"/>
      <c r="U157" s="26"/>
      <c r="V157" s="26"/>
      <c r="W157" s="26"/>
      <c r="X157" s="100"/>
      <c r="Y157" s="26"/>
      <c r="Z157" s="100"/>
      <c r="AA157" s="100"/>
      <c r="AB157" s="100"/>
      <c r="AC157" s="100"/>
      <c r="AD157" s="100"/>
      <c r="AE157" s="27"/>
      <c r="AF157" s="27"/>
      <c r="AG157" s="100"/>
      <c r="AH157" s="101"/>
      <c r="AI157" s="102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</row>
    <row r="158" spans="1:141" x14ac:dyDescent="0.2">
      <c r="A158" s="76"/>
      <c r="B158" s="24"/>
      <c r="C158" s="24"/>
      <c r="D158" s="2"/>
      <c r="E158" s="4"/>
      <c r="F158" s="4"/>
      <c r="G158" s="2"/>
      <c r="H158" s="2"/>
      <c r="I158" s="2"/>
      <c r="J158" s="23"/>
      <c r="K158" s="23"/>
      <c r="L158" s="2"/>
      <c r="M158" s="2"/>
      <c r="N158" s="6"/>
      <c r="O158" s="2"/>
      <c r="P158" s="26"/>
      <c r="Q158" s="26"/>
      <c r="R158" s="26"/>
      <c r="S158" s="26"/>
      <c r="T158" s="27"/>
      <c r="U158" s="26"/>
      <c r="V158" s="26"/>
      <c r="W158" s="26"/>
      <c r="X158" s="100"/>
      <c r="Y158" s="26"/>
      <c r="Z158" s="100"/>
      <c r="AA158" s="100"/>
      <c r="AB158" s="100"/>
      <c r="AC158" s="100"/>
      <c r="AD158" s="100"/>
      <c r="AE158" s="27"/>
      <c r="AF158" s="27"/>
      <c r="AG158" s="100"/>
      <c r="AH158" s="101"/>
      <c r="AI158" s="102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</row>
    <row r="159" spans="1:141" x14ac:dyDescent="0.2">
      <c r="A159" s="76"/>
      <c r="B159" s="24"/>
      <c r="C159" s="24"/>
      <c r="D159" s="2"/>
      <c r="E159" s="4"/>
      <c r="F159" s="4"/>
      <c r="G159" s="2"/>
      <c r="H159" s="2"/>
      <c r="I159" s="2"/>
      <c r="J159" s="23"/>
      <c r="K159" s="23"/>
      <c r="L159" s="2"/>
      <c r="M159" s="2"/>
      <c r="N159" s="6"/>
      <c r="O159" s="2"/>
      <c r="P159" s="26"/>
      <c r="Q159" s="26"/>
      <c r="R159" s="26"/>
      <c r="S159" s="26"/>
      <c r="T159" s="27"/>
      <c r="U159" s="26"/>
      <c r="V159" s="26"/>
      <c r="W159" s="26"/>
      <c r="X159" s="100"/>
      <c r="Y159" s="26"/>
      <c r="Z159" s="100"/>
      <c r="AA159" s="100"/>
      <c r="AB159" s="100"/>
      <c r="AC159" s="100"/>
      <c r="AD159" s="100"/>
      <c r="AE159" s="27"/>
      <c r="AF159" s="27"/>
      <c r="AG159" s="100"/>
      <c r="AH159" s="101"/>
      <c r="AI159" s="102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</row>
    <row r="160" spans="1:141" x14ac:dyDescent="0.2">
      <c r="A160" s="76"/>
      <c r="B160" s="24"/>
      <c r="C160" s="24"/>
      <c r="D160" s="2"/>
      <c r="E160" s="4"/>
      <c r="F160" s="4"/>
      <c r="G160" s="2"/>
      <c r="H160" s="2"/>
      <c r="I160" s="2"/>
      <c r="J160" s="23"/>
      <c r="K160" s="23"/>
      <c r="L160" s="2"/>
      <c r="M160" s="2"/>
      <c r="N160" s="6"/>
      <c r="O160" s="2"/>
      <c r="P160" s="26"/>
      <c r="Q160" s="26"/>
      <c r="R160" s="26"/>
      <c r="S160" s="26"/>
      <c r="T160" s="27"/>
      <c r="U160" s="26"/>
      <c r="V160" s="26"/>
      <c r="W160" s="26"/>
      <c r="X160" s="100"/>
      <c r="Y160" s="26"/>
      <c r="Z160" s="100"/>
      <c r="AA160" s="100"/>
      <c r="AB160" s="100"/>
      <c r="AC160" s="100"/>
      <c r="AD160" s="100"/>
      <c r="AE160" s="27"/>
      <c r="AF160" s="27"/>
      <c r="AG160" s="100"/>
      <c r="AH160" s="101"/>
      <c r="AI160" s="102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</row>
    <row r="161" spans="1:141" x14ac:dyDescent="0.2">
      <c r="A161" s="76"/>
      <c r="B161" s="24"/>
      <c r="C161" s="24"/>
      <c r="D161" s="2"/>
      <c r="E161" s="4"/>
      <c r="F161" s="4"/>
      <c r="G161" s="2"/>
      <c r="H161" s="2"/>
      <c r="I161" s="2"/>
      <c r="J161" s="23"/>
      <c r="K161" s="23"/>
      <c r="L161" s="2"/>
      <c r="M161" s="2"/>
      <c r="N161" s="6"/>
      <c r="O161" s="2"/>
      <c r="P161" s="26"/>
      <c r="Q161" s="26"/>
      <c r="R161" s="26"/>
      <c r="S161" s="26"/>
      <c r="T161" s="27"/>
      <c r="U161" s="26"/>
      <c r="V161" s="26"/>
      <c r="W161" s="26"/>
      <c r="X161" s="100"/>
      <c r="Y161" s="26"/>
      <c r="Z161" s="100"/>
      <c r="AA161" s="100"/>
      <c r="AB161" s="100"/>
      <c r="AC161" s="100"/>
      <c r="AD161" s="100"/>
      <c r="AE161" s="27"/>
      <c r="AF161" s="27"/>
      <c r="AG161" s="100"/>
      <c r="AH161" s="101"/>
      <c r="AI161" s="102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</row>
    <row r="162" spans="1:141" x14ac:dyDescent="0.2">
      <c r="A162" s="76"/>
      <c r="B162" s="24"/>
      <c r="C162" s="24"/>
      <c r="D162" s="2"/>
      <c r="E162" s="4"/>
      <c r="F162" s="4"/>
      <c r="G162" s="2"/>
      <c r="H162" s="2"/>
      <c r="I162" s="2"/>
      <c r="J162" s="23"/>
      <c r="K162" s="23"/>
      <c r="L162" s="2"/>
      <c r="M162" s="2"/>
      <c r="N162" s="6"/>
      <c r="O162" s="2"/>
      <c r="P162" s="26"/>
      <c r="Q162" s="26"/>
      <c r="R162" s="26"/>
      <c r="S162" s="26"/>
      <c r="T162" s="27"/>
      <c r="U162" s="26"/>
      <c r="V162" s="26"/>
      <c r="W162" s="26"/>
      <c r="X162" s="100"/>
      <c r="Y162" s="26"/>
      <c r="Z162" s="100"/>
      <c r="AA162" s="100"/>
      <c r="AB162" s="100"/>
      <c r="AC162" s="100"/>
      <c r="AD162" s="100"/>
      <c r="AE162" s="27"/>
      <c r="AF162" s="27"/>
      <c r="AG162" s="100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</row>
    <row r="163" spans="1:141" s="41" customFormat="1" x14ac:dyDescent="0.2">
      <c r="A163" s="76"/>
      <c r="B163" s="32"/>
      <c r="C163" s="32"/>
      <c r="D163" s="34"/>
      <c r="E163" s="35"/>
      <c r="F163" s="35"/>
      <c r="G163" s="34"/>
      <c r="H163" s="34"/>
      <c r="I163" s="34"/>
      <c r="J163" s="36"/>
      <c r="K163" s="37"/>
      <c r="L163" s="34"/>
      <c r="M163" s="34"/>
      <c r="N163" s="33"/>
      <c r="O163" s="34"/>
      <c r="P163" s="38"/>
      <c r="Q163" s="38"/>
      <c r="R163" s="38"/>
      <c r="S163" s="38"/>
      <c r="T163" s="39"/>
      <c r="U163" s="38"/>
      <c r="V163" s="38"/>
      <c r="W163" s="38"/>
      <c r="X163" s="103"/>
      <c r="Y163" s="38"/>
      <c r="Z163" s="103"/>
      <c r="AA163" s="38"/>
      <c r="AB163" s="103"/>
      <c r="AC163" s="38"/>
      <c r="AD163" s="103"/>
      <c r="AE163" s="39"/>
      <c r="AF163" s="39"/>
      <c r="AG163" s="38"/>
      <c r="AH163" s="104"/>
      <c r="AI163" s="104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4"/>
      <c r="BG163" s="104"/>
      <c r="BH163" s="104"/>
      <c r="BI163" s="104"/>
      <c r="BJ163" s="104"/>
      <c r="BK163" s="104"/>
      <c r="BL163" s="104"/>
      <c r="BM163" s="104"/>
      <c r="BN163" s="104"/>
      <c r="BO163" s="104"/>
      <c r="BP163" s="104"/>
      <c r="BQ163" s="104"/>
      <c r="BR163" s="104"/>
      <c r="BS163" s="104"/>
      <c r="BT163" s="104"/>
      <c r="BU163" s="104"/>
      <c r="BV163" s="104"/>
      <c r="BW163" s="104"/>
      <c r="BX163" s="104"/>
      <c r="BY163" s="104"/>
      <c r="BZ163" s="104"/>
      <c r="CA163" s="104"/>
      <c r="CB163" s="104"/>
      <c r="CC163" s="104"/>
      <c r="CD163" s="104"/>
      <c r="CE163" s="104"/>
      <c r="CF163" s="104"/>
      <c r="CG163" s="104"/>
      <c r="CH163" s="104"/>
      <c r="CI163" s="104"/>
      <c r="CJ163" s="104"/>
      <c r="CK163" s="104"/>
      <c r="CL163" s="104"/>
      <c r="CM163" s="104"/>
      <c r="CN163" s="104"/>
      <c r="CO163" s="104"/>
      <c r="CP163" s="104"/>
      <c r="CQ163" s="104"/>
      <c r="CR163" s="104"/>
      <c r="CS163" s="104"/>
      <c r="CT163" s="104"/>
      <c r="CU163" s="104"/>
      <c r="CV163" s="104"/>
      <c r="CW163" s="104"/>
      <c r="CX163" s="104"/>
      <c r="CY163" s="104"/>
      <c r="CZ163" s="104"/>
      <c r="DA163" s="104"/>
      <c r="DB163" s="104"/>
      <c r="DC163" s="104"/>
      <c r="DD163" s="104"/>
      <c r="DE163" s="104"/>
      <c r="DF163" s="104"/>
      <c r="DG163" s="104"/>
      <c r="DH163" s="104"/>
      <c r="DI163" s="104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</row>
    <row r="164" spans="1:141" s="52" customFormat="1" x14ac:dyDescent="0.2">
      <c r="A164" s="76"/>
      <c r="B164" s="42"/>
      <c r="C164" s="42"/>
      <c r="D164" s="44"/>
      <c r="E164" s="45"/>
      <c r="F164" s="45"/>
      <c r="G164" s="44"/>
      <c r="H164" s="44"/>
      <c r="I164" s="44"/>
      <c r="J164" s="46"/>
      <c r="K164" s="47"/>
      <c r="L164" s="44"/>
      <c r="M164" s="44"/>
      <c r="N164" s="43"/>
      <c r="O164" s="44"/>
      <c r="P164" s="48"/>
      <c r="Q164" s="48"/>
      <c r="R164" s="48"/>
      <c r="S164" s="48"/>
      <c r="T164" s="49"/>
      <c r="U164" s="48"/>
      <c r="V164" s="48"/>
      <c r="W164" s="48"/>
      <c r="X164" s="97"/>
      <c r="Y164" s="48"/>
      <c r="Z164" s="97"/>
      <c r="AA164" s="48"/>
      <c r="AB164" s="97"/>
      <c r="AC164" s="48"/>
      <c r="AD164" s="97"/>
      <c r="AE164" s="49"/>
      <c r="AF164" s="49"/>
      <c r="AG164" s="48"/>
      <c r="AH164" s="98"/>
      <c r="AI164" s="99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8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51"/>
      <c r="DK164" s="51"/>
      <c r="DL164" s="51"/>
      <c r="DM164" s="51"/>
      <c r="DN164" s="51"/>
      <c r="DO164" s="51"/>
      <c r="DP164" s="51"/>
      <c r="DQ164" s="51"/>
      <c r="DR164" s="51"/>
      <c r="DS164" s="51"/>
      <c r="DT164" s="51"/>
      <c r="DU164" s="51"/>
      <c r="DV164" s="51"/>
      <c r="DW164" s="51"/>
      <c r="DX164" s="51"/>
      <c r="DY164" s="51"/>
      <c r="DZ164" s="51"/>
      <c r="EA164" s="51"/>
      <c r="EB164" s="51"/>
      <c r="EC164" s="51"/>
      <c r="ED164" s="51"/>
      <c r="EE164" s="51"/>
      <c r="EF164" s="51"/>
      <c r="EG164" s="51"/>
      <c r="EH164" s="51"/>
      <c r="EI164" s="51"/>
      <c r="EJ164" s="51"/>
      <c r="EK164" s="51"/>
    </row>
    <row r="165" spans="1:141" s="52" customFormat="1" x14ac:dyDescent="0.2">
      <c r="A165" s="77"/>
      <c r="B165" s="42"/>
      <c r="C165" s="42"/>
      <c r="D165" s="44"/>
      <c r="E165" s="45"/>
      <c r="F165" s="45"/>
      <c r="G165" s="44"/>
      <c r="H165" s="44"/>
      <c r="I165" s="44"/>
      <c r="J165" s="46"/>
      <c r="K165" s="47"/>
      <c r="L165" s="44"/>
      <c r="M165" s="44"/>
      <c r="N165" s="43"/>
      <c r="O165" s="44"/>
      <c r="P165" s="48"/>
      <c r="Q165" s="48"/>
      <c r="R165" s="48"/>
      <c r="S165" s="48"/>
      <c r="T165" s="49"/>
      <c r="U165" s="48"/>
      <c r="V165" s="48"/>
      <c r="W165" s="48"/>
      <c r="X165" s="97"/>
      <c r="Y165" s="48"/>
      <c r="Z165" s="97"/>
      <c r="AA165" s="48"/>
      <c r="AB165" s="97"/>
      <c r="AC165" s="48"/>
      <c r="AD165" s="97"/>
      <c r="AE165" s="49"/>
      <c r="AF165" s="49"/>
      <c r="AG165" s="4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98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98"/>
      <c r="DC165" s="98"/>
      <c r="DD165" s="98"/>
      <c r="DE165" s="98"/>
      <c r="DF165" s="98"/>
      <c r="DG165" s="98"/>
      <c r="DH165" s="98"/>
      <c r="DI165" s="98"/>
      <c r="DJ165" s="51"/>
      <c r="DK165" s="51"/>
      <c r="DL165" s="51"/>
      <c r="DM165" s="51"/>
      <c r="DN165" s="51"/>
      <c r="DO165" s="51"/>
      <c r="DP165" s="51"/>
      <c r="DQ165" s="51"/>
      <c r="DR165" s="51"/>
      <c r="DS165" s="51"/>
      <c r="DT165" s="51"/>
      <c r="DU165" s="51"/>
      <c r="DV165" s="51"/>
      <c r="DW165" s="51"/>
      <c r="DX165" s="51"/>
      <c r="DY165" s="51"/>
      <c r="DZ165" s="51"/>
      <c r="EA165" s="51"/>
      <c r="EB165" s="51"/>
      <c r="EC165" s="51"/>
      <c r="ED165" s="51"/>
      <c r="EE165" s="51"/>
      <c r="EF165" s="51"/>
      <c r="EG165" s="51"/>
      <c r="EH165" s="51"/>
      <c r="EI165" s="51"/>
      <c r="EJ165" s="51"/>
      <c r="EK165" s="51"/>
    </row>
    <row r="166" spans="1:141" s="52" customFormat="1" x14ac:dyDescent="0.2">
      <c r="A166" s="78"/>
      <c r="B166" s="42"/>
      <c r="C166" s="42"/>
      <c r="D166" s="44"/>
      <c r="E166" s="53"/>
      <c r="F166" s="45"/>
      <c r="G166" s="44"/>
      <c r="H166" s="44"/>
      <c r="I166" s="44"/>
      <c r="J166" s="46"/>
      <c r="K166" s="47"/>
      <c r="L166" s="44"/>
      <c r="M166" s="44"/>
      <c r="N166" s="43"/>
      <c r="O166" s="44"/>
      <c r="P166" s="48"/>
      <c r="Q166" s="48"/>
      <c r="R166" s="48"/>
      <c r="S166" s="48"/>
      <c r="T166" s="49"/>
      <c r="U166" s="48"/>
      <c r="V166" s="48"/>
      <c r="W166" s="48"/>
      <c r="X166" s="97"/>
      <c r="Y166" s="48"/>
      <c r="Z166" s="97"/>
      <c r="AA166" s="48"/>
      <c r="AB166" s="97"/>
      <c r="AC166" s="48"/>
      <c r="AD166" s="97"/>
      <c r="AE166" s="49"/>
      <c r="AF166" s="49"/>
      <c r="AG166" s="48"/>
      <c r="AH166" s="98"/>
      <c r="AI166" s="98"/>
      <c r="AJ166" s="98"/>
      <c r="AK166" s="99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98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98"/>
      <c r="DC166" s="98"/>
      <c r="DD166" s="98"/>
      <c r="DE166" s="98"/>
      <c r="DF166" s="98"/>
      <c r="DG166" s="98"/>
      <c r="DH166" s="98"/>
      <c r="DI166" s="98"/>
      <c r="DJ166" s="51"/>
      <c r="DK166" s="51"/>
      <c r="DL166" s="51"/>
      <c r="DM166" s="51"/>
      <c r="DN166" s="51"/>
      <c r="DO166" s="51"/>
      <c r="DP166" s="51"/>
      <c r="DQ166" s="51"/>
      <c r="DR166" s="51"/>
      <c r="DS166" s="51"/>
      <c r="DT166" s="51"/>
      <c r="DU166" s="51"/>
      <c r="DV166" s="51"/>
      <c r="DW166" s="51"/>
      <c r="DX166" s="51"/>
      <c r="DY166" s="51"/>
      <c r="DZ166" s="51"/>
      <c r="EA166" s="51"/>
      <c r="EB166" s="51"/>
      <c r="EC166" s="51"/>
      <c r="ED166" s="51"/>
      <c r="EE166" s="51"/>
      <c r="EF166" s="51"/>
      <c r="EG166" s="51"/>
      <c r="EH166" s="51"/>
      <c r="EI166" s="51"/>
      <c r="EJ166" s="51"/>
      <c r="EK166" s="51"/>
    </row>
    <row r="167" spans="1:141" s="52" customFormat="1" x14ac:dyDescent="0.2">
      <c r="A167" s="78"/>
      <c r="B167" s="42"/>
      <c r="C167" s="42"/>
      <c r="D167" s="44"/>
      <c r="E167" s="45"/>
      <c r="F167" s="45"/>
      <c r="G167" s="44"/>
      <c r="H167" s="44"/>
      <c r="I167" s="44"/>
      <c r="J167" s="46"/>
      <c r="K167" s="47"/>
      <c r="L167" s="44"/>
      <c r="M167" s="44"/>
      <c r="N167" s="43"/>
      <c r="O167" s="44"/>
      <c r="P167" s="48"/>
      <c r="Q167" s="48"/>
      <c r="R167" s="48"/>
      <c r="S167" s="48"/>
      <c r="T167" s="49"/>
      <c r="U167" s="48"/>
      <c r="V167" s="48"/>
      <c r="W167" s="48"/>
      <c r="X167" s="97"/>
      <c r="Y167" s="48"/>
      <c r="Z167" s="97"/>
      <c r="AA167" s="48"/>
      <c r="AB167" s="97"/>
      <c r="AC167" s="48"/>
      <c r="AD167" s="97"/>
      <c r="AE167" s="49"/>
      <c r="AF167" s="49"/>
      <c r="AG167" s="4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98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8"/>
      <c r="DG167" s="98"/>
      <c r="DH167" s="98"/>
      <c r="DI167" s="98"/>
      <c r="DJ167" s="51"/>
      <c r="DK167" s="51"/>
      <c r="DL167" s="51"/>
      <c r="DM167" s="51"/>
      <c r="DN167" s="51"/>
      <c r="DO167" s="51"/>
      <c r="DP167" s="51"/>
      <c r="DQ167" s="51"/>
      <c r="DR167" s="51"/>
      <c r="DS167" s="51"/>
      <c r="DT167" s="51"/>
      <c r="DU167" s="51"/>
      <c r="DV167" s="51"/>
      <c r="DW167" s="51"/>
      <c r="DX167" s="51"/>
      <c r="DY167" s="51"/>
      <c r="DZ167" s="51"/>
      <c r="EA167" s="51"/>
      <c r="EB167" s="51"/>
      <c r="EC167" s="51"/>
      <c r="ED167" s="51"/>
      <c r="EE167" s="51"/>
      <c r="EF167" s="51"/>
      <c r="EG167" s="51"/>
      <c r="EH167" s="51"/>
      <c r="EI167" s="51"/>
      <c r="EJ167" s="51"/>
      <c r="EK167" s="51"/>
    </row>
    <row r="168" spans="1:141" s="52" customFormat="1" x14ac:dyDescent="0.2">
      <c r="A168" s="78"/>
      <c r="B168" s="42"/>
      <c r="C168" s="42"/>
      <c r="D168" s="44"/>
      <c r="E168" s="45"/>
      <c r="F168" s="45"/>
      <c r="G168" s="44"/>
      <c r="H168" s="44"/>
      <c r="I168" s="44"/>
      <c r="J168" s="46"/>
      <c r="K168" s="47"/>
      <c r="L168" s="44"/>
      <c r="M168" s="44"/>
      <c r="N168" s="43"/>
      <c r="O168" s="44"/>
      <c r="P168" s="48"/>
      <c r="Q168" s="48"/>
      <c r="R168" s="48"/>
      <c r="S168" s="48"/>
      <c r="T168" s="49"/>
      <c r="U168" s="48"/>
      <c r="V168" s="48"/>
      <c r="W168" s="48"/>
      <c r="X168" s="97"/>
      <c r="Y168" s="48"/>
      <c r="Z168" s="97"/>
      <c r="AA168" s="48"/>
      <c r="AB168" s="48"/>
      <c r="AC168" s="48"/>
      <c r="AD168" s="48"/>
      <c r="AE168" s="49"/>
      <c r="AF168" s="49"/>
      <c r="AG168" s="4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  <c r="BO168" s="98"/>
      <c r="BP168" s="98"/>
      <c r="BQ168" s="98"/>
      <c r="BR168" s="98"/>
      <c r="BS168" s="98"/>
      <c r="BT168" s="98"/>
      <c r="BU168" s="98"/>
      <c r="BV168" s="98"/>
      <c r="BW168" s="98"/>
      <c r="BX168" s="98"/>
      <c r="BY168" s="98"/>
      <c r="BZ168" s="98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  <c r="CQ168" s="98"/>
      <c r="CR168" s="98"/>
      <c r="CS168" s="98"/>
      <c r="CT168" s="98"/>
      <c r="CU168" s="98"/>
      <c r="CV168" s="98"/>
      <c r="CW168" s="98"/>
      <c r="CX168" s="98"/>
      <c r="CY168" s="98"/>
      <c r="CZ168" s="98"/>
      <c r="DA168" s="98"/>
      <c r="DB168" s="98"/>
      <c r="DC168" s="98"/>
      <c r="DD168" s="98"/>
      <c r="DE168" s="98"/>
      <c r="DF168" s="98"/>
      <c r="DG168" s="98"/>
      <c r="DH168" s="98"/>
      <c r="DI168" s="98"/>
      <c r="DJ168" s="51"/>
      <c r="DK168" s="51"/>
      <c r="DL168" s="51"/>
      <c r="DM168" s="51"/>
      <c r="DN168" s="51"/>
      <c r="DO168" s="51"/>
      <c r="DP168" s="51"/>
      <c r="DQ168" s="51"/>
      <c r="DR168" s="51"/>
      <c r="DS168" s="51"/>
      <c r="DT168" s="51"/>
      <c r="DU168" s="51"/>
      <c r="DV168" s="51"/>
      <c r="DW168" s="51"/>
      <c r="DX168" s="51"/>
      <c r="DY168" s="51"/>
      <c r="DZ168" s="51"/>
      <c r="EA168" s="51"/>
      <c r="EB168" s="51"/>
      <c r="EC168" s="51"/>
      <c r="ED168" s="51"/>
      <c r="EE168" s="51"/>
      <c r="EF168" s="51"/>
      <c r="EG168" s="51"/>
      <c r="EH168" s="51"/>
      <c r="EI168" s="51"/>
      <c r="EJ168" s="51"/>
      <c r="EK168" s="51"/>
    </row>
    <row r="169" spans="1:141" s="52" customFormat="1" x14ac:dyDescent="0.2">
      <c r="A169" s="78"/>
      <c r="B169" s="42"/>
      <c r="C169" s="42"/>
      <c r="D169" s="44"/>
      <c r="E169" s="45"/>
      <c r="F169" s="45"/>
      <c r="G169" s="44"/>
      <c r="H169" s="44"/>
      <c r="I169" s="44"/>
      <c r="J169" s="46"/>
      <c r="K169" s="47"/>
      <c r="L169" s="44"/>
      <c r="M169" s="44"/>
      <c r="N169" s="43"/>
      <c r="O169" s="44"/>
      <c r="P169" s="48"/>
      <c r="Q169" s="48"/>
      <c r="R169" s="48"/>
      <c r="S169" s="48"/>
      <c r="T169" s="49"/>
      <c r="U169" s="48"/>
      <c r="V169" s="48"/>
      <c r="W169" s="48"/>
      <c r="X169" s="97"/>
      <c r="Y169" s="48"/>
      <c r="Z169" s="97"/>
      <c r="AA169" s="48"/>
      <c r="AB169" s="48"/>
      <c r="AC169" s="48"/>
      <c r="AD169" s="48"/>
      <c r="AE169" s="49"/>
      <c r="AF169" s="49"/>
      <c r="AG169" s="4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  <c r="BO169" s="98"/>
      <c r="BP169" s="98"/>
      <c r="BQ169" s="98"/>
      <c r="BR169" s="98"/>
      <c r="BS169" s="98"/>
      <c r="BT169" s="98"/>
      <c r="BU169" s="98"/>
      <c r="BV169" s="98"/>
      <c r="BW169" s="98"/>
      <c r="BX169" s="98"/>
      <c r="BY169" s="98"/>
      <c r="BZ169" s="98"/>
      <c r="CA169" s="98"/>
      <c r="CB169" s="98"/>
      <c r="CC169" s="98"/>
      <c r="CD169" s="98"/>
      <c r="CE169" s="98"/>
      <c r="CF169" s="98"/>
      <c r="CG169" s="98"/>
      <c r="CH169" s="98"/>
      <c r="CI169" s="98"/>
      <c r="CJ169" s="98"/>
      <c r="CK169" s="98"/>
      <c r="CL169" s="98"/>
      <c r="CM169" s="98"/>
      <c r="CN169" s="98"/>
      <c r="CO169" s="98"/>
      <c r="CP169" s="98"/>
      <c r="CQ169" s="98"/>
      <c r="CR169" s="98"/>
      <c r="CS169" s="98"/>
      <c r="CT169" s="98"/>
      <c r="CU169" s="98"/>
      <c r="CV169" s="98"/>
      <c r="CW169" s="98"/>
      <c r="CX169" s="98"/>
      <c r="CY169" s="98"/>
      <c r="CZ169" s="98"/>
      <c r="DA169" s="98"/>
      <c r="DB169" s="98"/>
      <c r="DC169" s="98"/>
      <c r="DD169" s="98"/>
      <c r="DE169" s="98"/>
      <c r="DF169" s="98"/>
      <c r="DG169" s="98"/>
      <c r="DH169" s="98"/>
      <c r="DI169" s="98"/>
      <c r="DJ169" s="51"/>
      <c r="DK169" s="51"/>
      <c r="DL169" s="51"/>
      <c r="DM169" s="51"/>
      <c r="DN169" s="51"/>
      <c r="DO169" s="51"/>
      <c r="DP169" s="51"/>
      <c r="DQ169" s="51"/>
      <c r="DR169" s="51"/>
      <c r="DS169" s="51"/>
      <c r="DT169" s="51"/>
      <c r="DU169" s="51"/>
      <c r="DV169" s="51"/>
      <c r="DW169" s="51"/>
      <c r="DX169" s="51"/>
      <c r="DY169" s="51"/>
      <c r="DZ169" s="51"/>
      <c r="EA169" s="51"/>
      <c r="EB169" s="51"/>
      <c r="EC169" s="51"/>
      <c r="ED169" s="51"/>
      <c r="EE169" s="51"/>
      <c r="EF169" s="51"/>
      <c r="EG169" s="51"/>
      <c r="EH169" s="51"/>
      <c r="EI169" s="51"/>
      <c r="EJ169" s="51"/>
      <c r="EK169" s="51"/>
    </row>
    <row r="170" spans="1:141" s="52" customFormat="1" x14ac:dyDescent="0.2">
      <c r="A170" s="78"/>
      <c r="B170" s="42"/>
      <c r="C170" s="42"/>
      <c r="D170" s="44"/>
      <c r="E170" s="45"/>
      <c r="F170" s="45"/>
      <c r="G170" s="44"/>
      <c r="H170" s="44"/>
      <c r="I170" s="44"/>
      <c r="J170" s="46"/>
      <c r="K170" s="47"/>
      <c r="L170" s="44"/>
      <c r="M170" s="44"/>
      <c r="N170" s="43"/>
      <c r="O170" s="44"/>
      <c r="P170" s="48"/>
      <c r="Q170" s="48"/>
      <c r="R170" s="48"/>
      <c r="S170" s="48"/>
      <c r="T170" s="49"/>
      <c r="U170" s="48"/>
      <c r="V170" s="48"/>
      <c r="W170" s="48"/>
      <c r="X170" s="97"/>
      <c r="Y170" s="48"/>
      <c r="Z170" s="97"/>
      <c r="AA170" s="48"/>
      <c r="AB170" s="97"/>
      <c r="AC170" s="48"/>
      <c r="AD170" s="97"/>
      <c r="AE170" s="49"/>
      <c r="AF170" s="49"/>
      <c r="AG170" s="4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8"/>
      <c r="BW170" s="98"/>
      <c r="BX170" s="98"/>
      <c r="BY170" s="98"/>
      <c r="BZ170" s="98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  <c r="CQ170" s="98"/>
      <c r="CR170" s="98"/>
      <c r="CS170" s="98"/>
      <c r="CT170" s="98"/>
      <c r="CU170" s="98"/>
      <c r="CV170" s="98"/>
      <c r="CW170" s="98"/>
      <c r="CX170" s="98"/>
      <c r="CY170" s="98"/>
      <c r="CZ170" s="98"/>
      <c r="DA170" s="98"/>
      <c r="DB170" s="98"/>
      <c r="DC170" s="98"/>
      <c r="DD170" s="98"/>
      <c r="DE170" s="98"/>
      <c r="DF170" s="98"/>
      <c r="DG170" s="98"/>
      <c r="DH170" s="98"/>
      <c r="DI170" s="98"/>
      <c r="DJ170" s="51"/>
      <c r="DK170" s="51"/>
      <c r="DL170" s="51"/>
      <c r="DM170" s="51"/>
      <c r="DN170" s="51"/>
      <c r="DO170" s="51"/>
      <c r="DP170" s="51"/>
      <c r="DQ170" s="51"/>
      <c r="DR170" s="51"/>
      <c r="DS170" s="51"/>
      <c r="DT170" s="51"/>
      <c r="DU170" s="51"/>
      <c r="DV170" s="51"/>
      <c r="DW170" s="51"/>
      <c r="DX170" s="51"/>
      <c r="DY170" s="51"/>
      <c r="DZ170" s="51"/>
      <c r="EA170" s="51"/>
      <c r="EB170" s="51"/>
      <c r="EC170" s="51"/>
      <c r="ED170" s="51"/>
      <c r="EE170" s="51"/>
      <c r="EF170" s="51"/>
      <c r="EG170" s="51"/>
      <c r="EH170" s="51"/>
      <c r="EI170" s="51"/>
      <c r="EJ170" s="51"/>
      <c r="EK170" s="51"/>
    </row>
    <row r="171" spans="1:141" s="52" customFormat="1" x14ac:dyDescent="0.2">
      <c r="A171" s="78"/>
      <c r="B171" s="42"/>
      <c r="C171" s="42"/>
      <c r="D171" s="44"/>
      <c r="E171" s="45"/>
      <c r="F171" s="45"/>
      <c r="G171" s="44"/>
      <c r="H171" s="44"/>
      <c r="I171" s="44"/>
      <c r="J171" s="46"/>
      <c r="K171" s="47"/>
      <c r="L171" s="44"/>
      <c r="M171" s="44"/>
      <c r="N171" s="43"/>
      <c r="O171" s="44"/>
      <c r="P171" s="48"/>
      <c r="Q171" s="48"/>
      <c r="R171" s="48"/>
      <c r="S171" s="48"/>
      <c r="T171" s="49"/>
      <c r="U171" s="48"/>
      <c r="V171" s="48"/>
      <c r="W171" s="48"/>
      <c r="X171" s="97"/>
      <c r="Y171" s="48"/>
      <c r="Z171" s="97"/>
      <c r="AA171" s="48"/>
      <c r="AB171" s="97"/>
      <c r="AC171" s="48"/>
      <c r="AD171" s="97"/>
      <c r="AE171" s="49"/>
      <c r="AF171" s="49"/>
      <c r="AG171" s="4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8"/>
      <c r="BW171" s="98"/>
      <c r="BX171" s="98"/>
      <c r="BY171" s="98"/>
      <c r="BZ171" s="98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  <c r="CQ171" s="98"/>
      <c r="CR171" s="98"/>
      <c r="CS171" s="98"/>
      <c r="CT171" s="98"/>
      <c r="CU171" s="98"/>
      <c r="CV171" s="98"/>
      <c r="CW171" s="98"/>
      <c r="CX171" s="98"/>
      <c r="CY171" s="98"/>
      <c r="CZ171" s="98"/>
      <c r="DA171" s="98"/>
      <c r="DB171" s="98"/>
      <c r="DC171" s="98"/>
      <c r="DD171" s="98"/>
      <c r="DE171" s="98"/>
      <c r="DF171" s="98"/>
      <c r="DG171" s="98"/>
      <c r="DH171" s="98"/>
      <c r="DI171" s="98"/>
      <c r="DJ171" s="51"/>
      <c r="DK171" s="51"/>
      <c r="DL171" s="51"/>
      <c r="DM171" s="51"/>
      <c r="DN171" s="51"/>
      <c r="DO171" s="51"/>
      <c r="DP171" s="51"/>
      <c r="DQ171" s="51"/>
      <c r="DR171" s="51"/>
      <c r="DS171" s="51"/>
      <c r="DT171" s="51"/>
      <c r="DU171" s="51"/>
      <c r="DV171" s="51"/>
      <c r="DW171" s="51"/>
      <c r="DX171" s="51"/>
      <c r="DY171" s="51"/>
      <c r="DZ171" s="51"/>
      <c r="EA171" s="51"/>
      <c r="EB171" s="51"/>
      <c r="EC171" s="51"/>
      <c r="ED171" s="51"/>
      <c r="EE171" s="51"/>
      <c r="EF171" s="51"/>
      <c r="EG171" s="51"/>
      <c r="EH171" s="51"/>
      <c r="EI171" s="51"/>
      <c r="EJ171" s="51"/>
      <c r="EK171" s="51"/>
    </row>
    <row r="172" spans="1:141" s="52" customFormat="1" x14ac:dyDescent="0.2">
      <c r="A172" s="78"/>
      <c r="B172" s="42"/>
      <c r="C172" s="42"/>
      <c r="D172" s="44"/>
      <c r="E172" s="45"/>
      <c r="F172" s="45"/>
      <c r="G172" s="44"/>
      <c r="H172" s="44"/>
      <c r="I172" s="44"/>
      <c r="J172" s="46"/>
      <c r="K172" s="47"/>
      <c r="L172" s="44"/>
      <c r="M172" s="44"/>
      <c r="N172" s="43"/>
      <c r="O172" s="44"/>
      <c r="P172" s="48"/>
      <c r="Q172" s="48"/>
      <c r="R172" s="48"/>
      <c r="S172" s="48"/>
      <c r="T172" s="49"/>
      <c r="U172" s="48"/>
      <c r="V172" s="48"/>
      <c r="W172" s="48"/>
      <c r="X172" s="97"/>
      <c r="Y172" s="48"/>
      <c r="Z172" s="97"/>
      <c r="AA172" s="48"/>
      <c r="AB172" s="97"/>
      <c r="AC172" s="48"/>
      <c r="AD172" s="97"/>
      <c r="AE172" s="49"/>
      <c r="AF172" s="49"/>
      <c r="AG172" s="4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8"/>
      <c r="BW172" s="98"/>
      <c r="BX172" s="98"/>
      <c r="BY172" s="98"/>
      <c r="BZ172" s="98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  <c r="CQ172" s="98"/>
      <c r="CR172" s="98"/>
      <c r="CS172" s="98"/>
      <c r="CT172" s="98"/>
      <c r="CU172" s="98"/>
      <c r="CV172" s="98"/>
      <c r="CW172" s="98"/>
      <c r="CX172" s="98"/>
      <c r="CY172" s="98"/>
      <c r="CZ172" s="98"/>
      <c r="DA172" s="98"/>
      <c r="DB172" s="98"/>
      <c r="DC172" s="98"/>
      <c r="DD172" s="98"/>
      <c r="DE172" s="98"/>
      <c r="DF172" s="98"/>
      <c r="DG172" s="98"/>
      <c r="DH172" s="98"/>
      <c r="DI172" s="98"/>
      <c r="DJ172" s="51"/>
      <c r="DK172" s="51"/>
      <c r="DL172" s="51"/>
      <c r="DM172" s="51"/>
      <c r="DN172" s="51"/>
      <c r="DO172" s="51"/>
      <c r="DP172" s="51"/>
      <c r="DQ172" s="51"/>
      <c r="DR172" s="51"/>
      <c r="DS172" s="51"/>
      <c r="DT172" s="51"/>
      <c r="DU172" s="51"/>
      <c r="DV172" s="51"/>
      <c r="DW172" s="51"/>
      <c r="DX172" s="51"/>
      <c r="DY172" s="51"/>
      <c r="DZ172" s="51"/>
      <c r="EA172" s="51"/>
      <c r="EB172" s="51"/>
      <c r="EC172" s="51"/>
      <c r="ED172" s="51"/>
      <c r="EE172" s="51"/>
      <c r="EF172" s="51"/>
      <c r="EG172" s="51"/>
      <c r="EH172" s="51"/>
      <c r="EI172" s="51"/>
      <c r="EJ172" s="51"/>
      <c r="EK172" s="51"/>
    </row>
    <row r="173" spans="1:141" s="52" customFormat="1" x14ac:dyDescent="0.2">
      <c r="A173" s="78"/>
      <c r="B173" s="42"/>
      <c r="C173" s="42"/>
      <c r="D173" s="44"/>
      <c r="E173" s="45"/>
      <c r="F173" s="45"/>
      <c r="G173" s="44"/>
      <c r="H173" s="44"/>
      <c r="I173" s="44"/>
      <c r="J173" s="46"/>
      <c r="K173" s="47"/>
      <c r="L173" s="44"/>
      <c r="M173" s="44"/>
      <c r="N173" s="43"/>
      <c r="O173" s="44"/>
      <c r="P173" s="48"/>
      <c r="Q173" s="48"/>
      <c r="R173" s="48"/>
      <c r="S173" s="48"/>
      <c r="T173" s="49"/>
      <c r="U173" s="48"/>
      <c r="V173" s="48"/>
      <c r="W173" s="48"/>
      <c r="X173" s="97"/>
      <c r="Y173" s="48"/>
      <c r="Z173" s="97"/>
      <c r="AA173" s="48"/>
      <c r="AB173" s="97"/>
      <c r="AC173" s="48"/>
      <c r="AD173" s="97"/>
      <c r="AE173" s="49"/>
      <c r="AF173" s="49"/>
      <c r="AG173" s="4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98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51"/>
      <c r="DK173" s="51"/>
      <c r="DL173" s="51"/>
      <c r="DM173" s="51"/>
      <c r="DN173" s="51"/>
      <c r="DO173" s="51"/>
      <c r="DP173" s="51"/>
      <c r="DQ173" s="51"/>
      <c r="DR173" s="51"/>
      <c r="DS173" s="51"/>
      <c r="DT173" s="51"/>
      <c r="DU173" s="51"/>
      <c r="DV173" s="51"/>
      <c r="DW173" s="51"/>
      <c r="DX173" s="51"/>
      <c r="DY173" s="51"/>
      <c r="DZ173" s="51"/>
      <c r="EA173" s="51"/>
      <c r="EB173" s="51"/>
      <c r="EC173" s="51"/>
      <c r="ED173" s="51"/>
      <c r="EE173" s="51"/>
      <c r="EF173" s="51"/>
      <c r="EG173" s="51"/>
      <c r="EH173" s="51"/>
      <c r="EI173" s="51"/>
      <c r="EJ173" s="51"/>
      <c r="EK173" s="51"/>
    </row>
    <row r="174" spans="1:141" s="52" customFormat="1" x14ac:dyDescent="0.2">
      <c r="A174" s="78"/>
      <c r="B174" s="42"/>
      <c r="C174" s="42"/>
      <c r="D174" s="44"/>
      <c r="E174" s="45"/>
      <c r="F174" s="45"/>
      <c r="G174" s="44"/>
      <c r="H174" s="44"/>
      <c r="I174" s="44"/>
      <c r="J174" s="46"/>
      <c r="K174" s="47"/>
      <c r="L174" s="44"/>
      <c r="M174" s="44"/>
      <c r="N174" s="43"/>
      <c r="O174" s="44"/>
      <c r="P174" s="48"/>
      <c r="Q174" s="48"/>
      <c r="R174" s="48"/>
      <c r="S174" s="48"/>
      <c r="T174" s="49"/>
      <c r="U174" s="48"/>
      <c r="V174" s="48"/>
      <c r="W174" s="48"/>
      <c r="X174" s="97"/>
      <c r="Y174" s="48"/>
      <c r="Z174" s="97"/>
      <c r="AA174" s="48"/>
      <c r="AB174" s="97"/>
      <c r="AC174" s="48"/>
      <c r="AD174" s="48"/>
      <c r="AE174" s="49"/>
      <c r="AF174" s="49"/>
      <c r="AG174" s="4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98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51"/>
      <c r="DK174" s="51"/>
      <c r="DL174" s="51"/>
      <c r="DM174" s="51"/>
      <c r="DN174" s="51"/>
      <c r="DO174" s="51"/>
      <c r="DP174" s="51"/>
      <c r="DQ174" s="51"/>
      <c r="DR174" s="51"/>
      <c r="DS174" s="51"/>
      <c r="DT174" s="51"/>
      <c r="DU174" s="51"/>
      <c r="DV174" s="51"/>
      <c r="DW174" s="51"/>
      <c r="DX174" s="51"/>
      <c r="DY174" s="51"/>
      <c r="DZ174" s="51"/>
      <c r="EA174" s="51"/>
      <c r="EB174" s="51"/>
      <c r="EC174" s="51"/>
      <c r="ED174" s="51"/>
      <c r="EE174" s="51"/>
      <c r="EF174" s="51"/>
      <c r="EG174" s="51"/>
      <c r="EH174" s="51"/>
      <c r="EI174" s="51"/>
      <c r="EJ174" s="51"/>
      <c r="EK174" s="51"/>
    </row>
    <row r="175" spans="1:141" s="52" customFormat="1" x14ac:dyDescent="0.2">
      <c r="A175" s="78"/>
      <c r="B175" s="42"/>
      <c r="C175" s="42"/>
      <c r="D175" s="44"/>
      <c r="E175" s="45"/>
      <c r="F175" s="45"/>
      <c r="G175" s="44"/>
      <c r="H175" s="44"/>
      <c r="I175" s="44"/>
      <c r="J175" s="46"/>
      <c r="K175" s="47"/>
      <c r="L175" s="44"/>
      <c r="M175" s="44"/>
      <c r="N175" s="43"/>
      <c r="O175" s="44"/>
      <c r="P175" s="48"/>
      <c r="Q175" s="48"/>
      <c r="R175" s="48"/>
      <c r="S175" s="48"/>
      <c r="T175" s="49"/>
      <c r="U175" s="48"/>
      <c r="V175" s="48"/>
      <c r="W175" s="48"/>
      <c r="X175" s="97"/>
      <c r="Y175" s="48"/>
      <c r="Z175" s="97"/>
      <c r="AA175" s="48"/>
      <c r="AB175" s="97"/>
      <c r="AC175" s="48"/>
      <c r="AD175" s="48"/>
      <c r="AE175" s="49"/>
      <c r="AF175" s="49"/>
      <c r="AG175" s="4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8"/>
      <c r="AT175" s="98"/>
      <c r="AU175" s="98"/>
      <c r="AV175" s="98"/>
      <c r="AW175" s="98"/>
      <c r="AX175" s="98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8"/>
      <c r="BK175" s="98"/>
      <c r="BL175" s="98"/>
      <c r="BM175" s="98"/>
      <c r="BN175" s="98"/>
      <c r="BO175" s="98"/>
      <c r="BP175" s="98"/>
      <c r="BQ175" s="98"/>
      <c r="BR175" s="98"/>
      <c r="BS175" s="98"/>
      <c r="BT175" s="98"/>
      <c r="BU175" s="98"/>
      <c r="BV175" s="98"/>
      <c r="BW175" s="98"/>
      <c r="BX175" s="98"/>
      <c r="BY175" s="98"/>
      <c r="BZ175" s="98"/>
      <c r="CA175" s="98"/>
      <c r="CB175" s="98"/>
      <c r="CC175" s="98"/>
      <c r="CD175" s="98"/>
      <c r="CE175" s="98"/>
      <c r="CF175" s="98"/>
      <c r="CG175" s="98"/>
      <c r="CH175" s="98"/>
      <c r="CI175" s="98"/>
      <c r="CJ175" s="98"/>
      <c r="CK175" s="98"/>
      <c r="CL175" s="98"/>
      <c r="CM175" s="98"/>
      <c r="CN175" s="98"/>
      <c r="CO175" s="98"/>
      <c r="CP175" s="98"/>
      <c r="CQ175" s="98"/>
      <c r="CR175" s="98"/>
      <c r="CS175" s="98"/>
      <c r="CT175" s="98"/>
      <c r="CU175" s="98"/>
      <c r="CV175" s="98"/>
      <c r="CW175" s="98"/>
      <c r="CX175" s="98"/>
      <c r="CY175" s="98"/>
      <c r="CZ175" s="98"/>
      <c r="DA175" s="98"/>
      <c r="DB175" s="98"/>
      <c r="DC175" s="98"/>
      <c r="DD175" s="98"/>
      <c r="DE175" s="98"/>
      <c r="DF175" s="98"/>
      <c r="DG175" s="98"/>
      <c r="DH175" s="98"/>
      <c r="DI175" s="98"/>
      <c r="DJ175" s="51"/>
      <c r="DK175" s="51"/>
      <c r="DL175" s="51"/>
      <c r="DM175" s="51"/>
      <c r="DN175" s="51"/>
      <c r="DO175" s="51"/>
      <c r="DP175" s="51"/>
      <c r="DQ175" s="51"/>
      <c r="DR175" s="51"/>
      <c r="DS175" s="51"/>
      <c r="DT175" s="51"/>
      <c r="DU175" s="51"/>
      <c r="DV175" s="51"/>
      <c r="DW175" s="51"/>
      <c r="DX175" s="51"/>
      <c r="DY175" s="51"/>
      <c r="DZ175" s="51"/>
      <c r="EA175" s="51"/>
      <c r="EB175" s="51"/>
      <c r="EC175" s="51"/>
      <c r="ED175" s="51"/>
      <c r="EE175" s="51"/>
      <c r="EF175" s="51"/>
      <c r="EG175" s="51"/>
      <c r="EH175" s="51"/>
      <c r="EI175" s="51"/>
      <c r="EJ175" s="51"/>
      <c r="EK175" s="51"/>
    </row>
    <row r="176" spans="1:141" s="52" customFormat="1" x14ac:dyDescent="0.2">
      <c r="A176" s="78"/>
      <c r="B176" s="42"/>
      <c r="C176" s="42"/>
      <c r="D176" s="44"/>
      <c r="E176" s="53"/>
      <c r="F176" s="45"/>
      <c r="G176" s="44"/>
      <c r="H176" s="44"/>
      <c r="I176" s="44"/>
      <c r="J176" s="46"/>
      <c r="K176" s="47"/>
      <c r="L176" s="44"/>
      <c r="M176" s="44"/>
      <c r="N176" s="43"/>
      <c r="O176" s="44"/>
      <c r="P176" s="48"/>
      <c r="Q176" s="48"/>
      <c r="R176" s="48"/>
      <c r="S176" s="48"/>
      <c r="T176" s="49"/>
      <c r="U176" s="48"/>
      <c r="V176" s="48"/>
      <c r="W176" s="48"/>
      <c r="X176" s="97"/>
      <c r="Y176" s="48"/>
      <c r="Z176" s="97"/>
      <c r="AA176" s="48"/>
      <c r="AB176" s="48"/>
      <c r="AC176" s="48"/>
      <c r="AD176" s="48"/>
      <c r="AE176" s="49"/>
      <c r="AF176" s="49"/>
      <c r="AG176" s="4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8"/>
      <c r="BK176" s="98"/>
      <c r="BL176" s="98"/>
      <c r="BM176" s="98"/>
      <c r="BN176" s="98"/>
      <c r="BO176" s="98"/>
      <c r="BP176" s="98"/>
      <c r="BQ176" s="98"/>
      <c r="BR176" s="98"/>
      <c r="BS176" s="98"/>
      <c r="BT176" s="98"/>
      <c r="BU176" s="98"/>
      <c r="BV176" s="98"/>
      <c r="BW176" s="98"/>
      <c r="BX176" s="98"/>
      <c r="BY176" s="98"/>
      <c r="BZ176" s="98"/>
      <c r="CA176" s="98"/>
      <c r="CB176" s="98"/>
      <c r="CC176" s="98"/>
      <c r="CD176" s="98"/>
      <c r="CE176" s="98"/>
      <c r="CF176" s="98"/>
      <c r="CG176" s="98"/>
      <c r="CH176" s="98"/>
      <c r="CI176" s="98"/>
      <c r="CJ176" s="98"/>
      <c r="CK176" s="98"/>
      <c r="CL176" s="98"/>
      <c r="CM176" s="98"/>
      <c r="CN176" s="98"/>
      <c r="CO176" s="98"/>
      <c r="CP176" s="98"/>
      <c r="CQ176" s="98"/>
      <c r="CR176" s="98"/>
      <c r="CS176" s="98"/>
      <c r="CT176" s="98"/>
      <c r="CU176" s="98"/>
      <c r="CV176" s="98"/>
      <c r="CW176" s="98"/>
      <c r="CX176" s="98"/>
      <c r="CY176" s="98"/>
      <c r="CZ176" s="98"/>
      <c r="DA176" s="98"/>
      <c r="DB176" s="98"/>
      <c r="DC176" s="98"/>
      <c r="DD176" s="98"/>
      <c r="DE176" s="98"/>
      <c r="DF176" s="98"/>
      <c r="DG176" s="98"/>
      <c r="DH176" s="98"/>
      <c r="DI176" s="98"/>
      <c r="DJ176" s="51"/>
      <c r="DK176" s="51"/>
      <c r="DL176" s="51"/>
      <c r="DM176" s="51"/>
      <c r="DN176" s="51"/>
      <c r="DO176" s="51"/>
      <c r="DP176" s="51"/>
      <c r="DQ176" s="51"/>
      <c r="DR176" s="51"/>
      <c r="DS176" s="51"/>
      <c r="DT176" s="51"/>
      <c r="DU176" s="51"/>
      <c r="DV176" s="51"/>
      <c r="DW176" s="51"/>
      <c r="DX176" s="51"/>
      <c r="DY176" s="51"/>
      <c r="DZ176" s="51"/>
      <c r="EA176" s="51"/>
      <c r="EB176" s="51"/>
      <c r="EC176" s="51"/>
      <c r="ED176" s="51"/>
      <c r="EE176" s="51"/>
      <c r="EF176" s="51"/>
      <c r="EG176" s="51"/>
      <c r="EH176" s="51"/>
      <c r="EI176" s="51"/>
      <c r="EJ176" s="51"/>
      <c r="EK176" s="51"/>
    </row>
    <row r="177" spans="1:141" s="52" customFormat="1" x14ac:dyDescent="0.2">
      <c r="A177" s="78"/>
      <c r="B177" s="42"/>
      <c r="C177" s="42"/>
      <c r="D177" s="44"/>
      <c r="E177" s="45"/>
      <c r="F177" s="45"/>
      <c r="G177" s="44"/>
      <c r="H177" s="44"/>
      <c r="I177" s="44"/>
      <c r="J177" s="46"/>
      <c r="K177" s="47"/>
      <c r="L177" s="44"/>
      <c r="M177" s="44"/>
      <c r="N177" s="43"/>
      <c r="O177" s="44"/>
      <c r="P177" s="48"/>
      <c r="Q177" s="48"/>
      <c r="R177" s="48"/>
      <c r="S177" s="48"/>
      <c r="T177" s="49"/>
      <c r="U177" s="48"/>
      <c r="V177" s="48"/>
      <c r="W177" s="48"/>
      <c r="X177" s="97"/>
      <c r="Y177" s="48"/>
      <c r="Z177" s="97"/>
      <c r="AA177" s="48"/>
      <c r="AB177" s="48"/>
      <c r="AC177" s="48"/>
      <c r="AD177" s="48"/>
      <c r="AE177" s="49"/>
      <c r="AF177" s="49"/>
      <c r="AG177" s="4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  <c r="BO177" s="98"/>
      <c r="BP177" s="98"/>
      <c r="BQ177" s="98"/>
      <c r="BR177" s="98"/>
      <c r="BS177" s="98"/>
      <c r="BT177" s="98"/>
      <c r="BU177" s="98"/>
      <c r="BV177" s="98"/>
      <c r="BW177" s="98"/>
      <c r="BX177" s="98"/>
      <c r="BY177" s="98"/>
      <c r="BZ177" s="98"/>
      <c r="CA177" s="98"/>
      <c r="CB177" s="98"/>
      <c r="CC177" s="98"/>
      <c r="CD177" s="98"/>
      <c r="CE177" s="98"/>
      <c r="CF177" s="98"/>
      <c r="CG177" s="98"/>
      <c r="CH177" s="98"/>
      <c r="CI177" s="98"/>
      <c r="CJ177" s="98"/>
      <c r="CK177" s="98"/>
      <c r="CL177" s="98"/>
      <c r="CM177" s="98"/>
      <c r="CN177" s="98"/>
      <c r="CO177" s="98"/>
      <c r="CP177" s="98"/>
      <c r="CQ177" s="98"/>
      <c r="CR177" s="98"/>
      <c r="CS177" s="98"/>
      <c r="CT177" s="98"/>
      <c r="CU177" s="98"/>
      <c r="CV177" s="98"/>
      <c r="CW177" s="98"/>
      <c r="CX177" s="98"/>
      <c r="CY177" s="98"/>
      <c r="CZ177" s="98"/>
      <c r="DA177" s="98"/>
      <c r="DB177" s="98"/>
      <c r="DC177" s="98"/>
      <c r="DD177" s="98"/>
      <c r="DE177" s="98"/>
      <c r="DF177" s="98"/>
      <c r="DG177" s="98"/>
      <c r="DH177" s="98"/>
      <c r="DI177" s="98"/>
      <c r="DJ177" s="51"/>
      <c r="DK177" s="51"/>
      <c r="DL177" s="51"/>
      <c r="DM177" s="51"/>
      <c r="DN177" s="51"/>
      <c r="DO177" s="51"/>
      <c r="DP177" s="51"/>
      <c r="DQ177" s="51"/>
      <c r="DR177" s="51"/>
      <c r="DS177" s="51"/>
      <c r="DT177" s="51"/>
      <c r="DU177" s="51"/>
      <c r="DV177" s="51"/>
      <c r="DW177" s="51"/>
      <c r="DX177" s="51"/>
      <c r="DY177" s="51"/>
      <c r="DZ177" s="51"/>
      <c r="EA177" s="51"/>
      <c r="EB177" s="51"/>
      <c r="EC177" s="51"/>
      <c r="ED177" s="51"/>
      <c r="EE177" s="51"/>
      <c r="EF177" s="51"/>
      <c r="EG177" s="51"/>
      <c r="EH177" s="51"/>
      <c r="EI177" s="51"/>
      <c r="EJ177" s="51"/>
      <c r="EK177" s="51"/>
    </row>
    <row r="178" spans="1:141" s="52" customFormat="1" x14ac:dyDescent="0.2">
      <c r="A178" s="78"/>
      <c r="B178" s="42"/>
      <c r="C178" s="42"/>
      <c r="D178" s="44"/>
      <c r="E178" s="45"/>
      <c r="F178" s="45"/>
      <c r="G178" s="44"/>
      <c r="H178" s="55"/>
      <c r="I178" s="55"/>
      <c r="J178" s="46"/>
      <c r="K178" s="47"/>
      <c r="L178" s="44"/>
      <c r="M178" s="44"/>
      <c r="N178" s="43"/>
      <c r="O178" s="44"/>
      <c r="P178" s="48"/>
      <c r="Q178" s="48"/>
      <c r="R178" s="48"/>
      <c r="S178" s="48"/>
      <c r="T178" s="49"/>
      <c r="U178" s="48"/>
      <c r="V178" s="48"/>
      <c r="W178" s="48"/>
      <c r="X178" s="97"/>
      <c r="Y178" s="48"/>
      <c r="Z178" s="48"/>
      <c r="AA178" s="48"/>
      <c r="AB178" s="97"/>
      <c r="AC178" s="48"/>
      <c r="AD178" s="97"/>
      <c r="AE178" s="49"/>
      <c r="AF178" s="49"/>
      <c r="AG178" s="4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  <c r="BO178" s="98"/>
      <c r="BP178" s="98"/>
      <c r="BQ178" s="98"/>
      <c r="BR178" s="98"/>
      <c r="BS178" s="98"/>
      <c r="BT178" s="98"/>
      <c r="BU178" s="98"/>
      <c r="BV178" s="98"/>
      <c r="BW178" s="98"/>
      <c r="BX178" s="98"/>
      <c r="BY178" s="98"/>
      <c r="BZ178" s="98"/>
      <c r="CA178" s="98"/>
      <c r="CB178" s="98"/>
      <c r="CC178" s="98"/>
      <c r="CD178" s="98"/>
      <c r="CE178" s="98"/>
      <c r="CF178" s="98"/>
      <c r="CG178" s="98"/>
      <c r="CH178" s="98"/>
      <c r="CI178" s="98"/>
      <c r="CJ178" s="98"/>
      <c r="CK178" s="98"/>
      <c r="CL178" s="98"/>
      <c r="CM178" s="98"/>
      <c r="CN178" s="98"/>
      <c r="CO178" s="98"/>
      <c r="CP178" s="98"/>
      <c r="CQ178" s="98"/>
      <c r="CR178" s="98"/>
      <c r="CS178" s="98"/>
      <c r="CT178" s="98"/>
      <c r="CU178" s="98"/>
      <c r="CV178" s="98"/>
      <c r="CW178" s="98"/>
      <c r="CX178" s="98"/>
      <c r="CY178" s="98"/>
      <c r="CZ178" s="98"/>
      <c r="DA178" s="98"/>
      <c r="DB178" s="98"/>
      <c r="DC178" s="98"/>
      <c r="DD178" s="98"/>
      <c r="DE178" s="98"/>
      <c r="DF178" s="98"/>
      <c r="DG178" s="98"/>
      <c r="DH178" s="98"/>
      <c r="DI178" s="98"/>
      <c r="DJ178" s="51"/>
      <c r="DK178" s="51"/>
      <c r="DL178" s="51"/>
      <c r="DM178" s="51"/>
      <c r="DN178" s="51"/>
      <c r="DO178" s="51"/>
      <c r="DP178" s="51"/>
      <c r="DQ178" s="51"/>
      <c r="DR178" s="51"/>
      <c r="DS178" s="51"/>
      <c r="DT178" s="51"/>
      <c r="DU178" s="51"/>
      <c r="DV178" s="51"/>
      <c r="DW178" s="51"/>
      <c r="DX178" s="51"/>
      <c r="DY178" s="51"/>
      <c r="DZ178" s="51"/>
      <c r="EA178" s="51"/>
      <c r="EB178" s="51"/>
      <c r="EC178" s="51"/>
      <c r="ED178" s="51"/>
      <c r="EE178" s="51"/>
      <c r="EF178" s="51"/>
      <c r="EG178" s="51"/>
      <c r="EH178" s="51"/>
      <c r="EI178" s="51"/>
      <c r="EJ178" s="51"/>
      <c r="EK178" s="51"/>
    </row>
    <row r="179" spans="1:141" s="52" customFormat="1" x14ac:dyDescent="0.2">
      <c r="A179" s="78"/>
      <c r="B179" s="42"/>
      <c r="C179" s="42"/>
      <c r="D179" s="44"/>
      <c r="E179" s="45"/>
      <c r="F179" s="45"/>
      <c r="G179" s="44"/>
      <c r="H179" s="55"/>
      <c r="I179" s="55"/>
      <c r="J179" s="46"/>
      <c r="K179" s="47"/>
      <c r="L179" s="44"/>
      <c r="M179" s="44"/>
      <c r="N179" s="43"/>
      <c r="O179" s="44"/>
      <c r="P179" s="48"/>
      <c r="Q179" s="48"/>
      <c r="R179" s="48"/>
      <c r="S179" s="48"/>
      <c r="T179" s="49"/>
      <c r="U179" s="48"/>
      <c r="V179" s="48"/>
      <c r="W179" s="48"/>
      <c r="X179" s="97"/>
      <c r="Y179" s="48"/>
      <c r="Z179" s="48"/>
      <c r="AA179" s="48"/>
      <c r="AB179" s="97"/>
      <c r="AC179" s="48"/>
      <c r="AD179" s="97"/>
      <c r="AE179" s="49"/>
      <c r="AF179" s="49"/>
      <c r="AG179" s="48"/>
      <c r="AH179" s="98"/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M179" s="98"/>
      <c r="BN179" s="98"/>
      <c r="BO179" s="98"/>
      <c r="BP179" s="98"/>
      <c r="BQ179" s="98"/>
      <c r="BR179" s="98"/>
      <c r="BS179" s="98"/>
      <c r="BT179" s="98"/>
      <c r="BU179" s="98"/>
      <c r="BV179" s="98"/>
      <c r="BW179" s="98"/>
      <c r="BX179" s="98"/>
      <c r="BY179" s="98"/>
      <c r="BZ179" s="98"/>
      <c r="CA179" s="98"/>
      <c r="CB179" s="98"/>
      <c r="CC179" s="98"/>
      <c r="CD179" s="98"/>
      <c r="CE179" s="98"/>
      <c r="CF179" s="98"/>
      <c r="CG179" s="98"/>
      <c r="CH179" s="98"/>
      <c r="CI179" s="98"/>
      <c r="CJ179" s="98"/>
      <c r="CK179" s="98"/>
      <c r="CL179" s="98"/>
      <c r="CM179" s="98"/>
      <c r="CN179" s="98"/>
      <c r="CO179" s="98"/>
      <c r="CP179" s="98"/>
      <c r="CQ179" s="98"/>
      <c r="CR179" s="98"/>
      <c r="CS179" s="98"/>
      <c r="CT179" s="98"/>
      <c r="CU179" s="98"/>
      <c r="CV179" s="98"/>
      <c r="CW179" s="98"/>
      <c r="CX179" s="98"/>
      <c r="CY179" s="98"/>
      <c r="CZ179" s="98"/>
      <c r="DA179" s="98"/>
      <c r="DB179" s="98"/>
      <c r="DC179" s="98"/>
      <c r="DD179" s="98"/>
      <c r="DE179" s="98"/>
      <c r="DF179" s="98"/>
      <c r="DG179" s="98"/>
      <c r="DH179" s="98"/>
      <c r="DI179" s="98"/>
      <c r="DJ179" s="51"/>
      <c r="DK179" s="51"/>
      <c r="DL179" s="51"/>
      <c r="DM179" s="51"/>
      <c r="DN179" s="51"/>
      <c r="DO179" s="51"/>
      <c r="DP179" s="51"/>
      <c r="DQ179" s="51"/>
      <c r="DR179" s="51"/>
      <c r="DS179" s="51"/>
      <c r="DT179" s="51"/>
      <c r="DU179" s="51"/>
      <c r="DV179" s="51"/>
      <c r="DW179" s="51"/>
      <c r="DX179" s="51"/>
      <c r="DY179" s="51"/>
      <c r="DZ179" s="51"/>
      <c r="EA179" s="51"/>
      <c r="EB179" s="51"/>
      <c r="EC179" s="51"/>
      <c r="ED179" s="51"/>
      <c r="EE179" s="51"/>
      <c r="EF179" s="51"/>
      <c r="EG179" s="51"/>
      <c r="EH179" s="51"/>
      <c r="EI179" s="51"/>
      <c r="EJ179" s="51"/>
      <c r="EK179" s="51"/>
    </row>
    <row r="180" spans="1:141" s="52" customFormat="1" x14ac:dyDescent="0.2">
      <c r="A180" s="78"/>
      <c r="B180" s="42"/>
      <c r="C180" s="42"/>
      <c r="D180" s="44"/>
      <c r="E180" s="45"/>
      <c r="F180" s="45"/>
      <c r="G180" s="44"/>
      <c r="H180" s="55"/>
      <c r="I180" s="55"/>
      <c r="J180" s="92"/>
      <c r="K180" s="60"/>
      <c r="L180" s="93"/>
      <c r="M180" s="93"/>
      <c r="N180" s="94"/>
      <c r="O180" s="93"/>
      <c r="P180" s="95"/>
      <c r="Q180" s="95"/>
      <c r="R180" s="95"/>
      <c r="S180" s="95"/>
      <c r="T180" s="96"/>
      <c r="U180" s="95"/>
      <c r="V180" s="95"/>
      <c r="W180" s="95"/>
      <c r="X180" s="50"/>
      <c r="Y180" s="95"/>
      <c r="Z180" s="95"/>
      <c r="AA180" s="95"/>
      <c r="AB180" s="50"/>
      <c r="AC180" s="95"/>
      <c r="AD180" s="50"/>
      <c r="AE180" s="96"/>
      <c r="AF180" s="96"/>
      <c r="AG180" s="95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  <c r="DR180" s="51"/>
      <c r="DS180" s="51"/>
      <c r="DT180" s="51"/>
      <c r="DU180" s="51"/>
      <c r="DV180" s="51"/>
      <c r="DW180" s="51"/>
      <c r="DX180" s="51"/>
      <c r="DY180" s="51"/>
      <c r="DZ180" s="51"/>
      <c r="EA180" s="51"/>
      <c r="EB180" s="51"/>
      <c r="EC180" s="51"/>
      <c r="ED180" s="51"/>
      <c r="EE180" s="51"/>
      <c r="EF180" s="51"/>
      <c r="EG180" s="51"/>
      <c r="EH180" s="51"/>
      <c r="EI180" s="51"/>
      <c r="EJ180" s="51"/>
      <c r="EK180" s="51"/>
    </row>
    <row r="181" spans="1:141" s="52" customFormat="1" x14ac:dyDescent="0.2">
      <c r="A181" s="78"/>
      <c r="B181" s="42"/>
      <c r="C181" s="42"/>
      <c r="D181" s="44"/>
      <c r="E181" s="45"/>
      <c r="F181" s="45"/>
      <c r="G181" s="44"/>
      <c r="H181" s="44"/>
      <c r="I181" s="44"/>
      <c r="J181" s="46"/>
      <c r="K181" s="47"/>
      <c r="L181" s="44"/>
      <c r="M181" s="44"/>
      <c r="N181" s="43"/>
      <c r="O181" s="44"/>
      <c r="P181" s="48"/>
      <c r="Q181" s="48"/>
      <c r="R181" s="48"/>
      <c r="S181" s="48"/>
      <c r="T181" s="49"/>
      <c r="U181" s="48"/>
      <c r="V181" s="48"/>
      <c r="W181" s="48"/>
      <c r="X181" s="50"/>
      <c r="Y181" s="48"/>
      <c r="Z181" s="54"/>
      <c r="AA181" s="48"/>
      <c r="AB181" s="50"/>
      <c r="AC181" s="48"/>
      <c r="AD181" s="50"/>
      <c r="AE181" s="49"/>
      <c r="AF181" s="49"/>
      <c r="AG181" s="48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  <c r="DR181" s="51"/>
      <c r="DS181" s="51"/>
      <c r="DT181" s="51"/>
      <c r="DU181" s="51"/>
      <c r="DV181" s="51"/>
      <c r="DW181" s="51"/>
      <c r="DX181" s="51"/>
      <c r="DY181" s="51"/>
      <c r="DZ181" s="51"/>
      <c r="EA181" s="51"/>
      <c r="EB181" s="51"/>
      <c r="EC181" s="51"/>
      <c r="ED181" s="51"/>
      <c r="EE181" s="51"/>
      <c r="EF181" s="51"/>
      <c r="EG181" s="51"/>
      <c r="EH181" s="51"/>
      <c r="EI181" s="51"/>
      <c r="EJ181" s="51"/>
      <c r="EK181" s="51"/>
    </row>
    <row r="182" spans="1:141" s="52" customFormat="1" x14ac:dyDescent="0.2">
      <c r="A182" s="78"/>
      <c r="B182" s="42"/>
      <c r="C182" s="42"/>
      <c r="D182" s="44"/>
      <c r="E182" s="45"/>
      <c r="F182" s="45"/>
      <c r="G182" s="44"/>
      <c r="H182" s="44"/>
      <c r="I182" s="44"/>
      <c r="J182" s="46"/>
      <c r="K182" s="47"/>
      <c r="L182" s="44"/>
      <c r="M182" s="44"/>
      <c r="N182" s="43"/>
      <c r="O182" s="44"/>
      <c r="P182" s="48"/>
      <c r="Q182" s="48"/>
      <c r="R182" s="48"/>
      <c r="S182" s="48"/>
      <c r="T182" s="49"/>
      <c r="U182" s="48"/>
      <c r="V182" s="48"/>
      <c r="W182" s="48"/>
      <c r="X182" s="50"/>
      <c r="Y182" s="48"/>
      <c r="Z182" s="50"/>
      <c r="AA182" s="48"/>
      <c r="AB182" s="50"/>
      <c r="AC182" s="48"/>
      <c r="AD182" s="50"/>
      <c r="AE182" s="49"/>
      <c r="AF182" s="49"/>
      <c r="AG182" s="48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  <c r="DR182" s="51"/>
      <c r="DS182" s="51"/>
      <c r="DT182" s="51"/>
      <c r="DU182" s="51"/>
      <c r="DV182" s="51"/>
      <c r="DW182" s="51"/>
      <c r="DX182" s="51"/>
      <c r="DY182" s="51"/>
      <c r="DZ182" s="51"/>
      <c r="EA182" s="51"/>
      <c r="EB182" s="51"/>
      <c r="EC182" s="51"/>
      <c r="ED182" s="51"/>
      <c r="EE182" s="51"/>
      <c r="EF182" s="51"/>
      <c r="EG182" s="51"/>
      <c r="EH182" s="51"/>
      <c r="EI182" s="51"/>
      <c r="EJ182" s="51"/>
      <c r="EK182" s="51"/>
    </row>
    <row r="183" spans="1:141" s="52" customFormat="1" x14ac:dyDescent="0.2">
      <c r="A183" s="78"/>
      <c r="B183" s="42"/>
      <c r="C183" s="42"/>
      <c r="D183" s="44"/>
      <c r="E183" s="45"/>
      <c r="F183" s="45"/>
      <c r="G183" s="44"/>
      <c r="H183" s="44"/>
      <c r="I183" s="44"/>
      <c r="J183" s="46"/>
      <c r="K183" s="47"/>
      <c r="L183" s="44"/>
      <c r="M183" s="44"/>
      <c r="N183" s="43"/>
      <c r="O183" s="44"/>
      <c r="P183" s="48"/>
      <c r="Q183" s="48"/>
      <c r="R183" s="48"/>
      <c r="S183" s="48"/>
      <c r="T183" s="49"/>
      <c r="U183" s="48"/>
      <c r="V183" s="48"/>
      <c r="W183" s="48"/>
      <c r="X183" s="50"/>
      <c r="Y183" s="48"/>
      <c r="Z183" s="50"/>
      <c r="AA183" s="48"/>
      <c r="AB183" s="50"/>
      <c r="AC183" s="48"/>
      <c r="AD183" s="50"/>
      <c r="AE183" s="49"/>
      <c r="AF183" s="49"/>
      <c r="AG183" s="48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  <c r="DR183" s="51"/>
      <c r="DS183" s="51"/>
      <c r="DT183" s="51"/>
      <c r="DU183" s="51"/>
      <c r="DV183" s="51"/>
      <c r="DW183" s="51"/>
      <c r="DX183" s="51"/>
      <c r="DY183" s="51"/>
      <c r="DZ183" s="51"/>
      <c r="EA183" s="51"/>
      <c r="EB183" s="51"/>
      <c r="EC183" s="51"/>
      <c r="ED183" s="51"/>
      <c r="EE183" s="51"/>
      <c r="EF183" s="51"/>
      <c r="EG183" s="51"/>
      <c r="EH183" s="51"/>
      <c r="EI183" s="51"/>
      <c r="EJ183" s="51"/>
      <c r="EK183" s="51"/>
    </row>
    <row r="184" spans="1:141" s="52" customFormat="1" x14ac:dyDescent="0.2">
      <c r="A184" s="78"/>
      <c r="B184" s="42"/>
      <c r="C184" s="42"/>
      <c r="D184" s="44"/>
      <c r="E184" s="45"/>
      <c r="F184" s="45"/>
      <c r="G184" s="44"/>
      <c r="H184" s="44"/>
      <c r="I184" s="44"/>
      <c r="J184" s="46"/>
      <c r="K184" s="47"/>
      <c r="L184" s="44"/>
      <c r="M184" s="44"/>
      <c r="N184" s="43"/>
      <c r="O184" s="44"/>
      <c r="P184" s="48"/>
      <c r="Q184" s="48"/>
      <c r="R184" s="48"/>
      <c r="S184" s="48"/>
      <c r="T184" s="49"/>
      <c r="U184" s="48"/>
      <c r="V184" s="48"/>
      <c r="W184" s="48"/>
      <c r="X184" s="48"/>
      <c r="Y184" s="48"/>
      <c r="Z184" s="50"/>
      <c r="AA184" s="48"/>
      <c r="AB184" s="48"/>
      <c r="AC184" s="48"/>
      <c r="AD184" s="50"/>
      <c r="AE184" s="49"/>
      <c r="AF184" s="49"/>
      <c r="AG184" s="48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  <c r="DR184" s="51"/>
      <c r="DS184" s="51"/>
      <c r="DT184" s="51"/>
      <c r="DU184" s="51"/>
      <c r="DV184" s="51"/>
      <c r="DW184" s="51"/>
      <c r="DX184" s="51"/>
      <c r="DY184" s="51"/>
      <c r="DZ184" s="51"/>
      <c r="EA184" s="51"/>
      <c r="EB184" s="51"/>
      <c r="EC184" s="51"/>
      <c r="ED184" s="51"/>
      <c r="EE184" s="51"/>
      <c r="EF184" s="51"/>
      <c r="EG184" s="51"/>
      <c r="EH184" s="51"/>
      <c r="EI184" s="51"/>
      <c r="EJ184" s="51"/>
      <c r="EK184" s="51"/>
    </row>
    <row r="185" spans="1:141" s="52" customFormat="1" x14ac:dyDescent="0.2">
      <c r="A185" s="78"/>
      <c r="B185" s="42"/>
      <c r="C185" s="42"/>
      <c r="D185" s="44"/>
      <c r="E185" s="45"/>
      <c r="F185" s="45"/>
      <c r="G185" s="44"/>
      <c r="H185" s="44"/>
      <c r="I185" s="44"/>
      <c r="J185" s="46"/>
      <c r="K185" s="47"/>
      <c r="L185" s="44"/>
      <c r="M185" s="44"/>
      <c r="N185" s="43"/>
      <c r="O185" s="44"/>
      <c r="P185" s="48"/>
      <c r="Q185" s="48"/>
      <c r="R185" s="48"/>
      <c r="S185" s="48"/>
      <c r="T185" s="49"/>
      <c r="U185" s="48"/>
      <c r="V185" s="48"/>
      <c r="W185" s="48"/>
      <c r="X185" s="54"/>
      <c r="Y185" s="48"/>
      <c r="Z185" s="50"/>
      <c r="AA185" s="48"/>
      <c r="AB185" s="48"/>
      <c r="AC185" s="48"/>
      <c r="AD185" s="50"/>
      <c r="AE185" s="49"/>
      <c r="AF185" s="49"/>
      <c r="AG185" s="48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  <c r="DR185" s="51"/>
      <c r="DS185" s="51"/>
      <c r="DT185" s="51"/>
      <c r="DU185" s="51"/>
      <c r="DV185" s="51"/>
      <c r="DW185" s="51"/>
      <c r="DX185" s="51"/>
      <c r="DY185" s="51"/>
      <c r="DZ185" s="51"/>
      <c r="EA185" s="51"/>
      <c r="EB185" s="51"/>
      <c r="EC185" s="51"/>
      <c r="ED185" s="51"/>
      <c r="EE185" s="51"/>
      <c r="EF185" s="51"/>
      <c r="EG185" s="51"/>
      <c r="EH185" s="51"/>
      <c r="EI185" s="51"/>
      <c r="EJ185" s="51"/>
      <c r="EK185" s="51"/>
    </row>
    <row r="186" spans="1:141" s="52" customFormat="1" x14ac:dyDescent="0.2">
      <c r="A186" s="78"/>
      <c r="B186" s="42"/>
      <c r="C186" s="42"/>
      <c r="D186" s="44"/>
      <c r="E186" s="45"/>
      <c r="F186" s="45"/>
      <c r="G186" s="44"/>
      <c r="H186" s="44"/>
      <c r="I186" s="44"/>
      <c r="J186" s="46"/>
      <c r="K186" s="47"/>
      <c r="L186" s="44"/>
      <c r="M186" s="44"/>
      <c r="N186" s="43"/>
      <c r="O186" s="44"/>
      <c r="P186" s="48"/>
      <c r="Q186" s="48"/>
      <c r="R186" s="48"/>
      <c r="S186" s="48"/>
      <c r="T186" s="49"/>
      <c r="U186" s="48"/>
      <c r="V186" s="48"/>
      <c r="W186" s="48"/>
      <c r="X186" s="50"/>
      <c r="Y186" s="48"/>
      <c r="Z186" s="48"/>
      <c r="AA186" s="48"/>
      <c r="AB186" s="48"/>
      <c r="AC186" s="48"/>
      <c r="AD186" s="48"/>
      <c r="AE186" s="49"/>
      <c r="AF186" s="49"/>
      <c r="AG186" s="48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  <c r="DR186" s="51"/>
      <c r="DS186" s="51"/>
      <c r="DT186" s="51"/>
      <c r="DU186" s="51"/>
      <c r="DV186" s="51"/>
      <c r="DW186" s="51"/>
      <c r="DX186" s="51"/>
      <c r="DY186" s="51"/>
      <c r="DZ186" s="51"/>
      <c r="EA186" s="51"/>
      <c r="EB186" s="51"/>
      <c r="EC186" s="51"/>
      <c r="ED186" s="51"/>
      <c r="EE186" s="51"/>
      <c r="EF186" s="51"/>
      <c r="EG186" s="51"/>
      <c r="EH186" s="51"/>
      <c r="EI186" s="51"/>
      <c r="EJ186" s="51"/>
      <c r="EK186" s="51"/>
    </row>
    <row r="187" spans="1:141" s="52" customFormat="1" x14ac:dyDescent="0.2">
      <c r="A187" s="78"/>
      <c r="B187" s="42"/>
      <c r="C187" s="42"/>
      <c r="D187" s="44"/>
      <c r="E187" s="45"/>
      <c r="F187" s="45"/>
      <c r="G187" s="44"/>
      <c r="H187" s="44"/>
      <c r="I187" s="44"/>
      <c r="J187" s="46"/>
      <c r="K187" s="47"/>
      <c r="L187" s="44"/>
      <c r="M187" s="44"/>
      <c r="N187" s="43"/>
      <c r="O187" s="44"/>
      <c r="P187" s="48"/>
      <c r="Q187" s="48"/>
      <c r="R187" s="48"/>
      <c r="S187" s="48"/>
      <c r="T187" s="49"/>
      <c r="U187" s="48"/>
      <c r="V187" s="48"/>
      <c r="W187" s="48"/>
      <c r="X187" s="50"/>
      <c r="Y187" s="48"/>
      <c r="Z187" s="54"/>
      <c r="AA187" s="48"/>
      <c r="AB187" s="54"/>
      <c r="AC187" s="48"/>
      <c r="AD187" s="54"/>
      <c r="AE187" s="49"/>
      <c r="AF187" s="49"/>
      <c r="AG187" s="48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  <c r="DR187" s="51"/>
      <c r="DS187" s="51"/>
      <c r="DT187" s="51"/>
      <c r="DU187" s="51"/>
      <c r="DV187" s="51"/>
      <c r="DW187" s="51"/>
      <c r="DX187" s="51"/>
      <c r="DY187" s="51"/>
      <c r="DZ187" s="51"/>
      <c r="EA187" s="51"/>
      <c r="EB187" s="51"/>
      <c r="EC187" s="51"/>
      <c r="ED187" s="51"/>
      <c r="EE187" s="51"/>
      <c r="EF187" s="51"/>
      <c r="EG187" s="51"/>
      <c r="EH187" s="51"/>
      <c r="EI187" s="51"/>
      <c r="EJ187" s="51"/>
      <c r="EK187" s="51"/>
    </row>
    <row r="188" spans="1:141" s="52" customFormat="1" x14ac:dyDescent="0.2">
      <c r="A188" s="78"/>
      <c r="B188" s="42"/>
      <c r="C188" s="42"/>
      <c r="D188" s="44"/>
      <c r="E188" s="53"/>
      <c r="F188" s="45"/>
      <c r="G188" s="44"/>
      <c r="H188" s="44"/>
      <c r="I188" s="44"/>
      <c r="J188" s="46"/>
      <c r="K188" s="47"/>
      <c r="L188" s="44"/>
      <c r="M188" s="44"/>
      <c r="N188" s="43"/>
      <c r="O188" s="44"/>
      <c r="P188" s="48"/>
      <c r="Q188" s="48"/>
      <c r="R188" s="48"/>
      <c r="S188" s="48"/>
      <c r="T188" s="49"/>
      <c r="U188" s="48"/>
      <c r="V188" s="48"/>
      <c r="W188" s="48"/>
      <c r="X188" s="50"/>
      <c r="Y188" s="48"/>
      <c r="Z188" s="50"/>
      <c r="AA188" s="48"/>
      <c r="AB188" s="50"/>
      <c r="AC188" s="48"/>
      <c r="AD188" s="50"/>
      <c r="AE188" s="49"/>
      <c r="AF188" s="49"/>
      <c r="AG188" s="48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  <c r="DR188" s="51"/>
      <c r="DS188" s="51"/>
      <c r="DT188" s="51"/>
      <c r="DU188" s="51"/>
      <c r="DV188" s="51"/>
      <c r="DW188" s="51"/>
      <c r="DX188" s="51"/>
      <c r="DY188" s="51"/>
      <c r="DZ188" s="51"/>
      <c r="EA188" s="51"/>
      <c r="EB188" s="51"/>
      <c r="EC188" s="51"/>
      <c r="ED188" s="51"/>
      <c r="EE188" s="51"/>
      <c r="EF188" s="51"/>
      <c r="EG188" s="51"/>
      <c r="EH188" s="51"/>
      <c r="EI188" s="51"/>
      <c r="EJ188" s="51"/>
      <c r="EK188" s="51"/>
    </row>
    <row r="189" spans="1:141" s="52" customFormat="1" x14ac:dyDescent="0.2">
      <c r="A189" s="78"/>
      <c r="B189" s="42"/>
      <c r="C189" s="42"/>
      <c r="D189" s="44"/>
      <c r="E189" s="53"/>
      <c r="F189" s="45"/>
      <c r="G189" s="44"/>
      <c r="H189" s="44"/>
      <c r="I189" s="44"/>
      <c r="J189" s="46"/>
      <c r="K189" s="47"/>
      <c r="L189" s="44"/>
      <c r="M189" s="44"/>
      <c r="N189" s="43"/>
      <c r="O189" s="44"/>
      <c r="P189" s="48"/>
      <c r="Q189" s="48"/>
      <c r="R189" s="48"/>
      <c r="S189" s="48"/>
      <c r="T189" s="49"/>
      <c r="U189" s="48"/>
      <c r="V189" s="48"/>
      <c r="W189" s="48"/>
      <c r="X189" s="50"/>
      <c r="Y189" s="48"/>
      <c r="Z189" s="50"/>
      <c r="AA189" s="48"/>
      <c r="AB189" s="50"/>
      <c r="AC189" s="48"/>
      <c r="AD189" s="50"/>
      <c r="AE189" s="49"/>
      <c r="AF189" s="49"/>
      <c r="AG189" s="48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  <c r="DR189" s="51"/>
      <c r="DS189" s="51"/>
      <c r="DT189" s="51"/>
      <c r="DU189" s="51"/>
      <c r="DV189" s="51"/>
      <c r="DW189" s="51"/>
      <c r="DX189" s="51"/>
      <c r="DY189" s="51"/>
      <c r="DZ189" s="51"/>
      <c r="EA189" s="51"/>
      <c r="EB189" s="51"/>
      <c r="EC189" s="51"/>
      <c r="ED189" s="51"/>
      <c r="EE189" s="51"/>
      <c r="EF189" s="51"/>
      <c r="EG189" s="51"/>
      <c r="EH189" s="51"/>
      <c r="EI189" s="51"/>
      <c r="EJ189" s="51"/>
      <c r="EK189" s="51"/>
    </row>
    <row r="190" spans="1:141" s="52" customFormat="1" x14ac:dyDescent="0.2">
      <c r="A190" s="78"/>
      <c r="B190" s="42"/>
      <c r="C190" s="42"/>
      <c r="D190" s="44"/>
      <c r="E190" s="53"/>
      <c r="F190" s="45"/>
      <c r="G190" s="44"/>
      <c r="H190" s="55"/>
      <c r="I190" s="55"/>
      <c r="J190" s="46"/>
      <c r="K190" s="47"/>
      <c r="L190" s="44"/>
      <c r="M190" s="44"/>
      <c r="N190" s="43"/>
      <c r="O190" s="44"/>
      <c r="P190" s="48"/>
      <c r="Q190" s="48"/>
      <c r="R190" s="48"/>
      <c r="S190" s="48"/>
      <c r="T190" s="49"/>
      <c r="U190" s="48"/>
      <c r="V190" s="48"/>
      <c r="W190" s="48"/>
      <c r="X190" s="50"/>
      <c r="Y190" s="48"/>
      <c r="Z190" s="50"/>
      <c r="AA190" s="48"/>
      <c r="AB190" s="50"/>
      <c r="AC190" s="48"/>
      <c r="AD190" s="48"/>
      <c r="AE190" s="49"/>
      <c r="AF190" s="49"/>
      <c r="AG190" s="48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  <c r="DR190" s="51"/>
      <c r="DS190" s="51"/>
      <c r="DT190" s="51"/>
      <c r="DU190" s="51"/>
      <c r="DV190" s="51"/>
      <c r="DW190" s="51"/>
      <c r="DX190" s="51"/>
      <c r="DY190" s="51"/>
      <c r="DZ190" s="51"/>
      <c r="EA190" s="51"/>
      <c r="EB190" s="51"/>
      <c r="EC190" s="51"/>
      <c r="ED190" s="51"/>
      <c r="EE190" s="51"/>
      <c r="EF190" s="51"/>
      <c r="EG190" s="51"/>
      <c r="EH190" s="51"/>
      <c r="EI190" s="51"/>
      <c r="EJ190" s="51"/>
      <c r="EK190" s="51"/>
    </row>
    <row r="191" spans="1:141" s="52" customFormat="1" x14ac:dyDescent="0.2">
      <c r="A191" s="78"/>
      <c r="B191" s="42"/>
      <c r="C191" s="42"/>
      <c r="D191" s="44"/>
      <c r="E191" s="53"/>
      <c r="F191" s="45"/>
      <c r="G191" s="44"/>
      <c r="H191" s="44"/>
      <c r="I191" s="44"/>
      <c r="J191" s="46"/>
      <c r="K191" s="47"/>
      <c r="L191" s="44"/>
      <c r="M191" s="44"/>
      <c r="N191" s="43"/>
      <c r="O191" s="44"/>
      <c r="P191" s="48"/>
      <c r="Q191" s="48"/>
      <c r="R191" s="48"/>
      <c r="S191" s="48"/>
      <c r="T191" s="49"/>
      <c r="U191" s="48"/>
      <c r="V191" s="48"/>
      <c r="W191" s="48"/>
      <c r="X191" s="50"/>
      <c r="Y191" s="48"/>
      <c r="Z191" s="50"/>
      <c r="AA191" s="48"/>
      <c r="AB191" s="50"/>
      <c r="AC191" s="48"/>
      <c r="AD191" s="54"/>
      <c r="AE191" s="49"/>
      <c r="AF191" s="49"/>
      <c r="AG191" s="48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  <c r="DR191" s="51"/>
      <c r="DS191" s="51"/>
      <c r="DT191" s="51"/>
      <c r="DU191" s="51"/>
      <c r="DV191" s="51"/>
      <c r="DW191" s="51"/>
      <c r="DX191" s="51"/>
      <c r="DY191" s="51"/>
      <c r="DZ191" s="51"/>
      <c r="EA191" s="51"/>
      <c r="EB191" s="51"/>
      <c r="EC191" s="51"/>
      <c r="ED191" s="51"/>
      <c r="EE191" s="51"/>
      <c r="EF191" s="51"/>
      <c r="EG191" s="51"/>
      <c r="EH191" s="51"/>
      <c r="EI191" s="51"/>
      <c r="EJ191" s="51"/>
      <c r="EK191" s="51"/>
    </row>
    <row r="192" spans="1:141" s="52" customFormat="1" x14ac:dyDescent="0.2">
      <c r="A192" s="78"/>
      <c r="B192" s="42"/>
      <c r="C192" s="42"/>
      <c r="D192" s="44"/>
      <c r="E192" s="53"/>
      <c r="F192" s="45"/>
      <c r="G192" s="44"/>
      <c r="H192" s="44"/>
      <c r="I192" s="44"/>
      <c r="J192" s="46"/>
      <c r="K192" s="47"/>
      <c r="L192" s="44"/>
      <c r="M192" s="44"/>
      <c r="N192" s="43"/>
      <c r="O192" s="44"/>
      <c r="P192" s="48"/>
      <c r="Q192" s="48"/>
      <c r="R192" s="48"/>
      <c r="S192" s="48"/>
      <c r="T192" s="49"/>
      <c r="U192" s="48"/>
      <c r="V192" s="48"/>
      <c r="W192" s="48"/>
      <c r="X192" s="48"/>
      <c r="Y192" s="48"/>
      <c r="Z192" s="50"/>
      <c r="AA192" s="48"/>
      <c r="AB192" s="48"/>
      <c r="AC192" s="48"/>
      <c r="AD192" s="50"/>
      <c r="AE192" s="49"/>
      <c r="AF192" s="49"/>
      <c r="AG192" s="48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  <c r="DR192" s="51"/>
      <c r="DS192" s="51"/>
      <c r="DT192" s="51"/>
      <c r="DU192" s="51"/>
      <c r="DV192" s="51"/>
      <c r="DW192" s="51"/>
      <c r="DX192" s="51"/>
      <c r="DY192" s="51"/>
      <c r="DZ192" s="51"/>
      <c r="EA192" s="51"/>
      <c r="EB192" s="51"/>
      <c r="EC192" s="51"/>
      <c r="ED192" s="51"/>
      <c r="EE192" s="51"/>
      <c r="EF192" s="51"/>
      <c r="EG192" s="51"/>
      <c r="EH192" s="51"/>
      <c r="EI192" s="51"/>
      <c r="EJ192" s="51"/>
      <c r="EK192" s="51"/>
    </row>
    <row r="193" spans="1:141" s="52" customFormat="1" x14ac:dyDescent="0.2">
      <c r="A193" s="78"/>
      <c r="B193" s="42"/>
      <c r="C193" s="42"/>
      <c r="D193" s="44"/>
      <c r="E193" s="53"/>
      <c r="F193" s="45"/>
      <c r="G193" s="44"/>
      <c r="H193" s="44"/>
      <c r="I193" s="44"/>
      <c r="J193" s="46"/>
      <c r="K193" s="47"/>
      <c r="L193" s="44"/>
      <c r="M193" s="44"/>
      <c r="N193" s="43"/>
      <c r="O193" s="44"/>
      <c r="P193" s="48"/>
      <c r="Q193" s="48"/>
      <c r="R193" s="48"/>
      <c r="S193" s="48"/>
      <c r="T193" s="49"/>
      <c r="U193" s="48"/>
      <c r="V193" s="48"/>
      <c r="W193" s="48"/>
      <c r="X193" s="54"/>
      <c r="Y193" s="48"/>
      <c r="Z193" s="50"/>
      <c r="AA193" s="48"/>
      <c r="AB193" s="54"/>
      <c r="AC193" s="48"/>
      <c r="AD193" s="50"/>
      <c r="AE193" s="49"/>
      <c r="AF193" s="49"/>
      <c r="AG193" s="48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  <c r="DR193" s="51"/>
      <c r="DS193" s="51"/>
      <c r="DT193" s="51"/>
      <c r="DU193" s="51"/>
      <c r="DV193" s="51"/>
      <c r="DW193" s="51"/>
      <c r="DX193" s="51"/>
      <c r="DY193" s="51"/>
      <c r="DZ193" s="51"/>
      <c r="EA193" s="51"/>
      <c r="EB193" s="51"/>
      <c r="EC193" s="51"/>
      <c r="ED193" s="51"/>
      <c r="EE193" s="51"/>
      <c r="EF193" s="51"/>
      <c r="EG193" s="51"/>
      <c r="EH193" s="51"/>
      <c r="EI193" s="51"/>
      <c r="EJ193" s="51"/>
      <c r="EK193" s="51"/>
    </row>
    <row r="194" spans="1:141" s="52" customFormat="1" x14ac:dyDescent="0.2">
      <c r="A194" s="78"/>
      <c r="B194" s="42"/>
      <c r="C194" s="42"/>
      <c r="D194" s="44"/>
      <c r="E194" s="53"/>
      <c r="F194" s="45"/>
      <c r="G194" s="44"/>
      <c r="H194" s="44"/>
      <c r="I194" s="44"/>
      <c r="J194" s="46"/>
      <c r="K194" s="47"/>
      <c r="L194" s="44"/>
      <c r="M194" s="44"/>
      <c r="N194" s="43"/>
      <c r="O194" s="44"/>
      <c r="P194" s="48"/>
      <c r="Q194" s="48"/>
      <c r="R194" s="48"/>
      <c r="S194" s="48"/>
      <c r="T194" s="49"/>
      <c r="U194" s="48"/>
      <c r="V194" s="48"/>
      <c r="W194" s="48"/>
      <c r="X194" s="50"/>
      <c r="Y194" s="48"/>
      <c r="Z194" s="48"/>
      <c r="AA194" s="48"/>
      <c r="AB194" s="50"/>
      <c r="AC194" s="48"/>
      <c r="AD194" s="48"/>
      <c r="AE194" s="49"/>
      <c r="AF194" s="49"/>
      <c r="AG194" s="48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  <c r="DR194" s="51"/>
      <c r="DS194" s="51"/>
      <c r="DT194" s="51"/>
      <c r="DU194" s="51"/>
      <c r="DV194" s="51"/>
      <c r="DW194" s="51"/>
      <c r="DX194" s="51"/>
      <c r="DY194" s="51"/>
      <c r="DZ194" s="51"/>
      <c r="EA194" s="51"/>
      <c r="EB194" s="51"/>
      <c r="EC194" s="51"/>
      <c r="ED194" s="51"/>
      <c r="EE194" s="51"/>
      <c r="EF194" s="51"/>
      <c r="EG194" s="51"/>
      <c r="EH194" s="51"/>
      <c r="EI194" s="51"/>
      <c r="EJ194" s="51"/>
      <c r="EK194" s="51"/>
    </row>
    <row r="195" spans="1:141" s="52" customFormat="1" x14ac:dyDescent="0.2">
      <c r="A195" s="78"/>
      <c r="B195" s="42"/>
      <c r="C195" s="42"/>
      <c r="D195" s="44"/>
      <c r="E195" s="53"/>
      <c r="F195" s="45"/>
      <c r="G195" s="44"/>
      <c r="H195" s="44"/>
      <c r="I195" s="44"/>
      <c r="J195" s="46"/>
      <c r="K195" s="47"/>
      <c r="L195" s="44"/>
      <c r="M195" s="44"/>
      <c r="N195" s="43"/>
      <c r="O195" s="44"/>
      <c r="P195" s="48"/>
      <c r="Q195" s="48"/>
      <c r="R195" s="48"/>
      <c r="S195" s="48"/>
      <c r="T195" s="49"/>
      <c r="U195" s="48"/>
      <c r="V195" s="48"/>
      <c r="W195" s="48"/>
      <c r="X195" s="50"/>
      <c r="Y195" s="48"/>
      <c r="Z195" s="54"/>
      <c r="AA195" s="48"/>
      <c r="AB195" s="50"/>
      <c r="AC195" s="48"/>
      <c r="AD195" s="54"/>
      <c r="AE195" s="49"/>
      <c r="AF195" s="49"/>
      <c r="AG195" s="48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  <c r="DR195" s="51"/>
      <c r="DS195" s="51"/>
      <c r="DT195" s="51"/>
      <c r="DU195" s="51"/>
      <c r="DV195" s="51"/>
      <c r="DW195" s="51"/>
      <c r="DX195" s="51"/>
      <c r="DY195" s="51"/>
      <c r="DZ195" s="51"/>
      <c r="EA195" s="51"/>
      <c r="EB195" s="51"/>
      <c r="EC195" s="51"/>
      <c r="ED195" s="51"/>
      <c r="EE195" s="51"/>
      <c r="EF195" s="51"/>
      <c r="EG195" s="51"/>
      <c r="EH195" s="51"/>
      <c r="EI195" s="51"/>
      <c r="EJ195" s="51"/>
      <c r="EK195" s="51"/>
    </row>
    <row r="196" spans="1:141" s="52" customFormat="1" x14ac:dyDescent="0.2">
      <c r="A196" s="78"/>
      <c r="B196" s="42"/>
      <c r="C196" s="42"/>
      <c r="D196" s="44"/>
      <c r="E196" s="53"/>
      <c r="F196" s="45"/>
      <c r="G196" s="44"/>
      <c r="H196" s="44"/>
      <c r="I196" s="44"/>
      <c r="J196" s="46"/>
      <c r="K196" s="47"/>
      <c r="L196" s="44"/>
      <c r="M196" s="44"/>
      <c r="N196" s="43"/>
      <c r="O196" s="44"/>
      <c r="P196" s="48"/>
      <c r="Q196" s="48"/>
      <c r="R196" s="48"/>
      <c r="S196" s="48"/>
      <c r="T196" s="49"/>
      <c r="U196" s="48"/>
      <c r="V196" s="48"/>
      <c r="W196" s="48"/>
      <c r="X196" s="50"/>
      <c r="Y196" s="48"/>
      <c r="Z196" s="50"/>
      <c r="AA196" s="48"/>
      <c r="AB196" s="50"/>
      <c r="AC196" s="48"/>
      <c r="AD196" s="50"/>
      <c r="AE196" s="49"/>
      <c r="AF196" s="49"/>
      <c r="AG196" s="48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  <c r="DR196" s="51"/>
      <c r="DS196" s="51"/>
      <c r="DT196" s="51"/>
      <c r="DU196" s="51"/>
      <c r="DV196" s="51"/>
      <c r="DW196" s="51"/>
      <c r="DX196" s="51"/>
      <c r="DY196" s="51"/>
      <c r="DZ196" s="51"/>
      <c r="EA196" s="51"/>
      <c r="EB196" s="51"/>
      <c r="EC196" s="51"/>
      <c r="ED196" s="51"/>
      <c r="EE196" s="51"/>
      <c r="EF196" s="51"/>
      <c r="EG196" s="51"/>
      <c r="EH196" s="51"/>
      <c r="EI196" s="51"/>
      <c r="EJ196" s="51"/>
      <c r="EK196" s="51"/>
    </row>
    <row r="197" spans="1:141" s="52" customFormat="1" x14ac:dyDescent="0.2">
      <c r="A197" s="78"/>
      <c r="B197" s="42"/>
      <c r="C197" s="42"/>
      <c r="D197" s="44"/>
      <c r="E197" s="53"/>
      <c r="F197" s="45"/>
      <c r="G197" s="44"/>
      <c r="H197" s="44"/>
      <c r="I197" s="44"/>
      <c r="J197" s="46"/>
      <c r="K197" s="47"/>
      <c r="L197" s="44"/>
      <c r="M197" s="44"/>
      <c r="N197" s="43"/>
      <c r="O197" s="44"/>
      <c r="P197" s="48"/>
      <c r="Q197" s="48"/>
      <c r="R197" s="48"/>
      <c r="S197" s="48"/>
      <c r="T197" s="49"/>
      <c r="U197" s="48"/>
      <c r="V197" s="48"/>
      <c r="W197" s="48"/>
      <c r="X197" s="50"/>
      <c r="Y197" s="48"/>
      <c r="Z197" s="50"/>
      <c r="AA197" s="48"/>
      <c r="AB197" s="50"/>
      <c r="AC197" s="48"/>
      <c r="AD197" s="50"/>
      <c r="AE197" s="49"/>
      <c r="AF197" s="49"/>
      <c r="AG197" s="48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  <c r="DR197" s="51"/>
      <c r="DS197" s="51"/>
      <c r="DT197" s="51"/>
      <c r="DU197" s="51"/>
      <c r="DV197" s="51"/>
      <c r="DW197" s="51"/>
      <c r="DX197" s="51"/>
      <c r="DY197" s="51"/>
      <c r="DZ197" s="51"/>
      <c r="EA197" s="51"/>
      <c r="EB197" s="51"/>
      <c r="EC197" s="51"/>
      <c r="ED197" s="51"/>
      <c r="EE197" s="51"/>
      <c r="EF197" s="51"/>
      <c r="EG197" s="51"/>
      <c r="EH197" s="51"/>
      <c r="EI197" s="51"/>
      <c r="EJ197" s="51"/>
      <c r="EK197" s="51"/>
    </row>
    <row r="198" spans="1:141" s="52" customFormat="1" x14ac:dyDescent="0.2">
      <c r="A198" s="78"/>
      <c r="B198" s="42"/>
      <c r="C198" s="42"/>
      <c r="D198" s="44"/>
      <c r="E198" s="53"/>
      <c r="F198" s="45"/>
      <c r="G198" s="44"/>
      <c r="H198" s="44"/>
      <c r="I198" s="44"/>
      <c r="J198" s="46"/>
      <c r="K198" s="47"/>
      <c r="L198" s="44"/>
      <c r="M198" s="44"/>
      <c r="N198" s="43"/>
      <c r="O198" s="44"/>
      <c r="P198" s="48"/>
      <c r="Q198" s="48"/>
      <c r="R198" s="48"/>
      <c r="S198" s="48"/>
      <c r="T198" s="49"/>
      <c r="U198" s="48"/>
      <c r="V198" s="48"/>
      <c r="W198" s="48"/>
      <c r="X198" s="50"/>
      <c r="Y198" s="48"/>
      <c r="Z198" s="50"/>
      <c r="AA198" s="48"/>
      <c r="AB198" s="50"/>
      <c r="AC198" s="48"/>
      <c r="AD198" s="48"/>
      <c r="AE198" s="49"/>
      <c r="AF198" s="49"/>
      <c r="AG198" s="48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  <c r="DR198" s="51"/>
      <c r="DS198" s="51"/>
      <c r="DT198" s="51"/>
      <c r="DU198" s="51"/>
      <c r="DV198" s="51"/>
      <c r="DW198" s="51"/>
      <c r="DX198" s="51"/>
      <c r="DY198" s="51"/>
      <c r="DZ198" s="51"/>
      <c r="EA198" s="51"/>
      <c r="EB198" s="51"/>
      <c r="EC198" s="51"/>
      <c r="ED198" s="51"/>
      <c r="EE198" s="51"/>
      <c r="EF198" s="51"/>
      <c r="EG198" s="51"/>
      <c r="EH198" s="51"/>
      <c r="EI198" s="51"/>
      <c r="EJ198" s="51"/>
      <c r="EK198" s="51"/>
    </row>
    <row r="199" spans="1:141" s="52" customFormat="1" x14ac:dyDescent="0.2">
      <c r="A199" s="78"/>
      <c r="B199" s="42"/>
      <c r="C199" s="42"/>
      <c r="D199" s="44"/>
      <c r="E199" s="53"/>
      <c r="F199" s="45"/>
      <c r="G199" s="44"/>
      <c r="H199" s="44"/>
      <c r="I199" s="44"/>
      <c r="J199" s="46"/>
      <c r="K199" s="47"/>
      <c r="L199" s="44"/>
      <c r="M199" s="44"/>
      <c r="N199" s="43"/>
      <c r="O199" s="44"/>
      <c r="P199" s="48"/>
      <c r="Q199" s="48"/>
      <c r="R199" s="48"/>
      <c r="S199" s="48"/>
      <c r="T199" s="49"/>
      <c r="U199" s="48"/>
      <c r="V199" s="48"/>
      <c r="W199" s="48"/>
      <c r="X199" s="50"/>
      <c r="Y199" s="48"/>
      <c r="Z199" s="50"/>
      <c r="AA199" s="48"/>
      <c r="AB199" s="50"/>
      <c r="AC199" s="48"/>
      <c r="AD199" s="54"/>
      <c r="AE199" s="49"/>
      <c r="AF199" s="49"/>
      <c r="AG199" s="48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  <c r="DR199" s="51"/>
      <c r="DS199" s="51"/>
      <c r="DT199" s="51"/>
      <c r="DU199" s="51"/>
      <c r="DV199" s="51"/>
      <c r="DW199" s="51"/>
      <c r="DX199" s="51"/>
      <c r="DY199" s="51"/>
      <c r="DZ199" s="51"/>
      <c r="EA199" s="51"/>
      <c r="EB199" s="51"/>
      <c r="EC199" s="51"/>
      <c r="ED199" s="51"/>
      <c r="EE199" s="51"/>
      <c r="EF199" s="51"/>
      <c r="EG199" s="51"/>
      <c r="EH199" s="51"/>
      <c r="EI199" s="51"/>
      <c r="EJ199" s="51"/>
      <c r="EK199" s="51"/>
    </row>
    <row r="200" spans="1:141" s="52" customFormat="1" x14ac:dyDescent="0.2">
      <c r="A200" s="78"/>
      <c r="B200" s="42"/>
      <c r="C200" s="42"/>
      <c r="D200" s="44"/>
      <c r="E200" s="53"/>
      <c r="F200" s="45"/>
      <c r="G200" s="44"/>
      <c r="H200" s="44"/>
      <c r="I200" s="44"/>
      <c r="J200" s="46"/>
      <c r="K200" s="47"/>
      <c r="L200" s="44"/>
      <c r="M200" s="44"/>
      <c r="N200" s="43"/>
      <c r="O200" s="44"/>
      <c r="P200" s="48"/>
      <c r="Q200" s="48"/>
      <c r="R200" s="48"/>
      <c r="S200" s="48"/>
      <c r="T200" s="49"/>
      <c r="U200" s="48"/>
      <c r="V200" s="48"/>
      <c r="W200" s="48"/>
      <c r="X200" s="50"/>
      <c r="Y200" s="48"/>
      <c r="Z200" s="50"/>
      <c r="AA200" s="48"/>
      <c r="AB200" s="50"/>
      <c r="AC200" s="48"/>
      <c r="AD200" s="50"/>
      <c r="AE200" s="49"/>
      <c r="AF200" s="49"/>
      <c r="AG200" s="48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  <c r="DR200" s="51"/>
      <c r="DS200" s="51"/>
      <c r="DT200" s="51"/>
      <c r="DU200" s="51"/>
      <c r="DV200" s="51"/>
      <c r="DW200" s="51"/>
      <c r="DX200" s="51"/>
      <c r="DY200" s="51"/>
      <c r="DZ200" s="51"/>
      <c r="EA200" s="51"/>
      <c r="EB200" s="51"/>
      <c r="EC200" s="51"/>
      <c r="ED200" s="51"/>
      <c r="EE200" s="51"/>
      <c r="EF200" s="51"/>
      <c r="EG200" s="51"/>
      <c r="EH200" s="51"/>
      <c r="EI200" s="51"/>
      <c r="EJ200" s="51"/>
      <c r="EK200" s="51"/>
    </row>
    <row r="201" spans="1:141" s="52" customFormat="1" x14ac:dyDescent="0.2">
      <c r="A201" s="78"/>
      <c r="B201" s="42"/>
      <c r="C201" s="42"/>
      <c r="D201" s="44"/>
      <c r="E201" s="53"/>
      <c r="F201" s="45"/>
      <c r="G201" s="44"/>
      <c r="H201" s="44"/>
      <c r="I201" s="44"/>
      <c r="J201" s="46"/>
      <c r="K201" s="47"/>
      <c r="L201" s="44"/>
      <c r="M201" s="44"/>
      <c r="N201" s="43"/>
      <c r="O201" s="44"/>
      <c r="P201" s="48"/>
      <c r="Q201" s="48"/>
      <c r="R201" s="48"/>
      <c r="S201" s="48"/>
      <c r="T201" s="49"/>
      <c r="U201" s="48"/>
      <c r="V201" s="48"/>
      <c r="W201" s="48"/>
      <c r="X201" s="50"/>
      <c r="Y201" s="48"/>
      <c r="Z201" s="50"/>
      <c r="AA201" s="48"/>
      <c r="AB201" s="50"/>
      <c r="AC201" s="48"/>
      <c r="AD201" s="50"/>
      <c r="AE201" s="49"/>
      <c r="AF201" s="49"/>
      <c r="AG201" s="48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  <c r="DR201" s="51"/>
      <c r="DS201" s="51"/>
      <c r="DT201" s="51"/>
      <c r="DU201" s="51"/>
      <c r="DV201" s="51"/>
      <c r="DW201" s="51"/>
      <c r="DX201" s="51"/>
      <c r="DY201" s="51"/>
      <c r="DZ201" s="51"/>
      <c r="EA201" s="51"/>
      <c r="EB201" s="51"/>
      <c r="EC201" s="51"/>
      <c r="ED201" s="51"/>
      <c r="EE201" s="51"/>
      <c r="EF201" s="51"/>
      <c r="EG201" s="51"/>
      <c r="EH201" s="51"/>
      <c r="EI201" s="51"/>
      <c r="EJ201" s="51"/>
      <c r="EK201" s="51"/>
    </row>
    <row r="202" spans="1:141" s="52" customFormat="1" x14ac:dyDescent="0.2">
      <c r="A202" s="78"/>
      <c r="B202" s="42"/>
      <c r="C202" s="42"/>
      <c r="D202" s="44"/>
      <c r="E202" s="53"/>
      <c r="F202" s="45"/>
      <c r="G202" s="44"/>
      <c r="H202" s="55"/>
      <c r="I202" s="55"/>
      <c r="J202" s="46"/>
      <c r="K202" s="47"/>
      <c r="L202" s="44"/>
      <c r="M202" s="44"/>
      <c r="N202" s="43"/>
      <c r="O202" s="44"/>
      <c r="P202" s="48"/>
      <c r="Q202" s="48"/>
      <c r="R202" s="48"/>
      <c r="S202" s="48"/>
      <c r="T202" s="49"/>
      <c r="U202" s="48"/>
      <c r="V202" s="48"/>
      <c r="W202" s="48"/>
      <c r="X202" s="50"/>
      <c r="Y202" s="48"/>
      <c r="Z202" s="50"/>
      <c r="AA202" s="48"/>
      <c r="AB202" s="50"/>
      <c r="AC202" s="48"/>
      <c r="AD202" s="50"/>
      <c r="AE202" s="49"/>
      <c r="AF202" s="49"/>
      <c r="AG202" s="48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  <c r="DR202" s="51"/>
      <c r="DS202" s="51"/>
      <c r="DT202" s="51"/>
      <c r="DU202" s="51"/>
      <c r="DV202" s="51"/>
      <c r="DW202" s="51"/>
      <c r="DX202" s="51"/>
      <c r="DY202" s="51"/>
      <c r="DZ202" s="51"/>
      <c r="EA202" s="51"/>
      <c r="EB202" s="51"/>
      <c r="EC202" s="51"/>
      <c r="ED202" s="51"/>
      <c r="EE202" s="51"/>
      <c r="EF202" s="51"/>
      <c r="EG202" s="51"/>
      <c r="EH202" s="51"/>
      <c r="EI202" s="51"/>
      <c r="EJ202" s="51"/>
      <c r="EK202" s="51"/>
    </row>
    <row r="203" spans="1:141" s="52" customFormat="1" x14ac:dyDescent="0.2">
      <c r="A203" s="78"/>
      <c r="B203" s="42"/>
      <c r="C203" s="42"/>
      <c r="D203" s="44"/>
      <c r="E203" s="45"/>
      <c r="F203" s="45"/>
      <c r="G203" s="44"/>
      <c r="H203" s="44"/>
      <c r="I203" s="44"/>
      <c r="J203" s="46"/>
      <c r="K203" s="47"/>
      <c r="L203" s="44"/>
      <c r="M203" s="44"/>
      <c r="N203" s="43"/>
      <c r="O203" s="44"/>
      <c r="P203" s="48"/>
      <c r="Q203" s="48"/>
      <c r="R203" s="48"/>
      <c r="S203" s="48"/>
      <c r="T203" s="49"/>
      <c r="U203" s="48"/>
      <c r="V203" s="48"/>
      <c r="W203" s="48"/>
      <c r="X203" s="50"/>
      <c r="Y203" s="48"/>
      <c r="Z203" s="50"/>
      <c r="AA203" s="48"/>
      <c r="AB203" s="50"/>
      <c r="AC203" s="48"/>
      <c r="AD203" s="50"/>
      <c r="AE203" s="49"/>
      <c r="AF203" s="49"/>
      <c r="AG203" s="48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  <c r="DR203" s="51"/>
      <c r="DS203" s="51"/>
      <c r="DT203" s="51"/>
      <c r="DU203" s="51"/>
      <c r="DV203" s="51"/>
      <c r="DW203" s="51"/>
      <c r="DX203" s="51"/>
      <c r="DY203" s="51"/>
      <c r="DZ203" s="51"/>
      <c r="EA203" s="51"/>
      <c r="EB203" s="51"/>
      <c r="EC203" s="51"/>
      <c r="ED203" s="51"/>
      <c r="EE203" s="51"/>
      <c r="EF203" s="51"/>
      <c r="EG203" s="51"/>
      <c r="EH203" s="51"/>
      <c r="EI203" s="51"/>
      <c r="EJ203" s="51"/>
      <c r="EK203" s="51"/>
    </row>
    <row r="204" spans="1:141" s="52" customFormat="1" x14ac:dyDescent="0.2">
      <c r="A204" s="78"/>
      <c r="B204" s="42"/>
      <c r="C204" s="42"/>
      <c r="D204" s="44"/>
      <c r="E204" s="45"/>
      <c r="F204" s="45"/>
      <c r="G204" s="44"/>
      <c r="H204" s="44"/>
      <c r="I204" s="44"/>
      <c r="J204" s="46"/>
      <c r="K204" s="47"/>
      <c r="L204" s="44"/>
      <c r="M204" s="44"/>
      <c r="N204" s="43"/>
      <c r="O204" s="44"/>
      <c r="P204" s="48"/>
      <c r="Q204" s="48"/>
      <c r="R204" s="48"/>
      <c r="S204" s="48"/>
      <c r="T204" s="49"/>
      <c r="U204" s="48"/>
      <c r="V204" s="48"/>
      <c r="W204" s="48"/>
      <c r="X204" s="50"/>
      <c r="Y204" s="48"/>
      <c r="Z204" s="50"/>
      <c r="AA204" s="48"/>
      <c r="AB204" s="50"/>
      <c r="AC204" s="48"/>
      <c r="AD204" s="48"/>
      <c r="AE204" s="49"/>
      <c r="AF204" s="49"/>
      <c r="AG204" s="48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  <c r="DR204" s="51"/>
      <c r="DS204" s="51"/>
      <c r="DT204" s="51"/>
      <c r="DU204" s="51"/>
      <c r="DV204" s="51"/>
      <c r="DW204" s="51"/>
      <c r="DX204" s="51"/>
      <c r="DY204" s="51"/>
      <c r="DZ204" s="51"/>
      <c r="EA204" s="51"/>
      <c r="EB204" s="51"/>
      <c r="EC204" s="51"/>
      <c r="ED204" s="51"/>
      <c r="EE204" s="51"/>
      <c r="EF204" s="51"/>
      <c r="EG204" s="51"/>
      <c r="EH204" s="51"/>
      <c r="EI204" s="51"/>
      <c r="EJ204" s="51"/>
      <c r="EK204" s="51"/>
    </row>
    <row r="205" spans="1:141" s="52" customFormat="1" x14ac:dyDescent="0.2">
      <c r="A205" s="78"/>
      <c r="B205" s="42"/>
      <c r="C205" s="42"/>
      <c r="D205" s="44"/>
      <c r="E205" s="45"/>
      <c r="F205" s="45"/>
      <c r="G205" s="44"/>
      <c r="H205" s="44"/>
      <c r="I205" s="44"/>
      <c r="J205" s="46"/>
      <c r="K205" s="47"/>
      <c r="L205" s="44"/>
      <c r="M205" s="44"/>
      <c r="N205" s="43"/>
      <c r="O205" s="44"/>
      <c r="P205" s="48"/>
      <c r="Q205" s="48"/>
      <c r="R205" s="48"/>
      <c r="S205" s="48"/>
      <c r="T205" s="49"/>
      <c r="U205" s="48"/>
      <c r="V205" s="48"/>
      <c r="W205" s="48"/>
      <c r="X205" s="50"/>
      <c r="Y205" s="48"/>
      <c r="Z205" s="50"/>
      <c r="AA205" s="48"/>
      <c r="AB205" s="50"/>
      <c r="AC205" s="48"/>
      <c r="AD205" s="48"/>
      <c r="AE205" s="49"/>
      <c r="AF205" s="49"/>
      <c r="AG205" s="48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  <c r="DR205" s="51"/>
      <c r="DS205" s="51"/>
      <c r="DT205" s="51"/>
      <c r="DU205" s="51"/>
      <c r="DV205" s="51"/>
      <c r="DW205" s="51"/>
      <c r="DX205" s="51"/>
      <c r="DY205" s="51"/>
      <c r="DZ205" s="51"/>
      <c r="EA205" s="51"/>
      <c r="EB205" s="51"/>
      <c r="EC205" s="51"/>
      <c r="ED205" s="51"/>
      <c r="EE205" s="51"/>
      <c r="EF205" s="51"/>
      <c r="EG205" s="51"/>
      <c r="EH205" s="51"/>
      <c r="EI205" s="51"/>
      <c r="EJ205" s="51"/>
      <c r="EK205" s="51"/>
    </row>
    <row r="206" spans="1:141" s="52" customFormat="1" x14ac:dyDescent="0.2">
      <c r="A206" s="78"/>
      <c r="B206" s="42"/>
      <c r="C206" s="42"/>
      <c r="D206" s="44"/>
      <c r="E206" s="53"/>
      <c r="F206" s="45"/>
      <c r="G206" s="44"/>
      <c r="H206" s="55"/>
      <c r="I206" s="55"/>
      <c r="J206" s="46"/>
      <c r="K206" s="47"/>
      <c r="L206" s="44"/>
      <c r="M206" s="44"/>
      <c r="N206" s="43"/>
      <c r="O206" s="44"/>
      <c r="P206" s="48"/>
      <c r="Q206" s="48"/>
      <c r="R206" s="48"/>
      <c r="S206" s="48"/>
      <c r="T206" s="49"/>
      <c r="U206" s="48"/>
      <c r="V206" s="48"/>
      <c r="W206" s="48"/>
      <c r="X206" s="50"/>
      <c r="Y206" s="48"/>
      <c r="Z206" s="48"/>
      <c r="AA206" s="48"/>
      <c r="AB206" s="50"/>
      <c r="AC206" s="48"/>
      <c r="AD206" s="48"/>
      <c r="AE206" s="49"/>
      <c r="AF206" s="49"/>
      <c r="AG206" s="48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  <c r="DR206" s="51"/>
      <c r="DS206" s="51"/>
      <c r="DT206" s="51"/>
      <c r="DU206" s="51"/>
      <c r="DV206" s="51"/>
      <c r="DW206" s="51"/>
      <c r="DX206" s="51"/>
      <c r="DY206" s="51"/>
      <c r="DZ206" s="51"/>
      <c r="EA206" s="51"/>
      <c r="EB206" s="51"/>
      <c r="EC206" s="51"/>
      <c r="ED206" s="51"/>
      <c r="EE206" s="51"/>
      <c r="EF206" s="51"/>
      <c r="EG206" s="51"/>
      <c r="EH206" s="51"/>
      <c r="EI206" s="51"/>
      <c r="EJ206" s="51"/>
      <c r="EK206" s="51"/>
    </row>
    <row r="207" spans="1:141" s="52" customFormat="1" x14ac:dyDescent="0.2">
      <c r="A207" s="78"/>
      <c r="B207" s="42"/>
      <c r="C207" s="42"/>
      <c r="D207" s="44"/>
      <c r="E207" s="53"/>
      <c r="F207" s="45"/>
      <c r="G207" s="44"/>
      <c r="H207" s="44"/>
      <c r="I207" s="44"/>
      <c r="J207" s="46"/>
      <c r="K207" s="47"/>
      <c r="L207" s="44"/>
      <c r="M207" s="44"/>
      <c r="N207" s="43"/>
      <c r="O207" s="44"/>
      <c r="P207" s="48"/>
      <c r="Q207" s="48"/>
      <c r="R207" s="48"/>
      <c r="S207" s="48"/>
      <c r="T207" s="49"/>
      <c r="U207" s="48"/>
      <c r="V207" s="48"/>
      <c r="W207" s="48"/>
      <c r="X207" s="50"/>
      <c r="Y207" s="48"/>
      <c r="Z207" s="48"/>
      <c r="AA207" s="48"/>
      <c r="AB207" s="50"/>
      <c r="AC207" s="48"/>
      <c r="AD207" s="54"/>
      <c r="AE207" s="49"/>
      <c r="AF207" s="49"/>
      <c r="AG207" s="48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  <c r="DR207" s="51"/>
      <c r="DS207" s="51"/>
      <c r="DT207" s="51"/>
      <c r="DU207" s="51"/>
      <c r="DV207" s="51"/>
      <c r="DW207" s="51"/>
      <c r="DX207" s="51"/>
      <c r="DY207" s="51"/>
      <c r="DZ207" s="51"/>
      <c r="EA207" s="51"/>
      <c r="EB207" s="51"/>
      <c r="EC207" s="51"/>
      <c r="ED207" s="51"/>
      <c r="EE207" s="51"/>
      <c r="EF207" s="51"/>
      <c r="EG207" s="51"/>
      <c r="EH207" s="51"/>
      <c r="EI207" s="51"/>
      <c r="EJ207" s="51"/>
      <c r="EK207" s="51"/>
    </row>
    <row r="208" spans="1:141" s="52" customFormat="1" x14ac:dyDescent="0.2">
      <c r="A208" s="78"/>
      <c r="B208" s="42"/>
      <c r="C208" s="42"/>
      <c r="D208" s="44"/>
      <c r="E208" s="53"/>
      <c r="F208" s="45"/>
      <c r="G208" s="44"/>
      <c r="H208" s="44"/>
      <c r="I208" s="44"/>
      <c r="J208" s="46"/>
      <c r="K208" s="47"/>
      <c r="L208" s="44"/>
      <c r="M208" s="44"/>
      <c r="N208" s="43"/>
      <c r="O208" s="44"/>
      <c r="P208" s="48"/>
      <c r="Q208" s="48"/>
      <c r="R208" s="48"/>
      <c r="S208" s="48"/>
      <c r="T208" s="49"/>
      <c r="U208" s="48"/>
      <c r="V208" s="48"/>
      <c r="W208" s="48"/>
      <c r="X208" s="50"/>
      <c r="Y208" s="48"/>
      <c r="Z208" s="48"/>
      <c r="AA208" s="48"/>
      <c r="AB208" s="48"/>
      <c r="AC208" s="48"/>
      <c r="AD208" s="50"/>
      <c r="AE208" s="49"/>
      <c r="AF208" s="49"/>
      <c r="AG208" s="48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  <c r="DR208" s="51"/>
      <c r="DS208" s="51"/>
      <c r="DT208" s="51"/>
      <c r="DU208" s="51"/>
      <c r="DV208" s="51"/>
      <c r="DW208" s="51"/>
      <c r="DX208" s="51"/>
      <c r="DY208" s="51"/>
      <c r="DZ208" s="51"/>
      <c r="EA208" s="51"/>
      <c r="EB208" s="51"/>
      <c r="EC208" s="51"/>
      <c r="ED208" s="51"/>
      <c r="EE208" s="51"/>
      <c r="EF208" s="51"/>
      <c r="EG208" s="51"/>
      <c r="EH208" s="51"/>
      <c r="EI208" s="51"/>
      <c r="EJ208" s="51"/>
      <c r="EK208" s="51"/>
    </row>
    <row r="209" spans="1:141" s="52" customFormat="1" x14ac:dyDescent="0.2">
      <c r="A209" s="78"/>
      <c r="B209" s="42"/>
      <c r="C209" s="42"/>
      <c r="D209" s="44"/>
      <c r="E209" s="53"/>
      <c r="F209" s="45"/>
      <c r="G209" s="44"/>
      <c r="H209" s="44"/>
      <c r="I209" s="44"/>
      <c r="J209" s="46"/>
      <c r="K209" s="47"/>
      <c r="L209" s="44"/>
      <c r="M209" s="44"/>
      <c r="N209" s="43"/>
      <c r="O209" s="44"/>
      <c r="P209" s="48"/>
      <c r="Q209" s="48"/>
      <c r="R209" s="48"/>
      <c r="S209" s="48"/>
      <c r="T209" s="49"/>
      <c r="U209" s="48"/>
      <c r="V209" s="48"/>
      <c r="W209" s="48"/>
      <c r="X209" s="50"/>
      <c r="Y209" s="48"/>
      <c r="Z209" s="54"/>
      <c r="AA209" s="48"/>
      <c r="AB209" s="48"/>
      <c r="AC209" s="48"/>
      <c r="AD209" s="50"/>
      <c r="AE209" s="49"/>
      <c r="AF209" s="49"/>
      <c r="AG209" s="48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  <c r="DR209" s="51"/>
      <c r="DS209" s="51"/>
      <c r="DT209" s="51"/>
      <c r="DU209" s="51"/>
      <c r="DV209" s="51"/>
      <c r="DW209" s="51"/>
      <c r="DX209" s="51"/>
      <c r="DY209" s="51"/>
      <c r="DZ209" s="51"/>
      <c r="EA209" s="51"/>
      <c r="EB209" s="51"/>
      <c r="EC209" s="51"/>
      <c r="ED209" s="51"/>
      <c r="EE209" s="51"/>
      <c r="EF209" s="51"/>
      <c r="EG209" s="51"/>
      <c r="EH209" s="51"/>
      <c r="EI209" s="51"/>
      <c r="EJ209" s="51"/>
      <c r="EK209" s="51"/>
    </row>
    <row r="210" spans="1:141" s="52" customFormat="1" x14ac:dyDescent="0.2">
      <c r="A210" s="78"/>
      <c r="B210" s="42"/>
      <c r="C210" s="42"/>
      <c r="D210" s="44"/>
      <c r="E210" s="53"/>
      <c r="F210" s="45"/>
      <c r="G210" s="44"/>
      <c r="H210" s="44"/>
      <c r="I210" s="44"/>
      <c r="J210" s="46"/>
      <c r="K210" s="47"/>
      <c r="L210" s="44"/>
      <c r="M210" s="44"/>
      <c r="N210" s="43"/>
      <c r="O210" s="44"/>
      <c r="P210" s="48"/>
      <c r="Q210" s="48"/>
      <c r="R210" s="48"/>
      <c r="S210" s="48"/>
      <c r="T210" s="49"/>
      <c r="U210" s="48"/>
      <c r="V210" s="48"/>
      <c r="W210" s="48"/>
      <c r="X210" s="48"/>
      <c r="Y210" s="48"/>
      <c r="Z210" s="50"/>
      <c r="AA210" s="48"/>
      <c r="AB210" s="48"/>
      <c r="AC210" s="48"/>
      <c r="AD210" s="48"/>
      <c r="AE210" s="49"/>
      <c r="AF210" s="49"/>
      <c r="AG210" s="48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  <c r="DR210" s="51"/>
      <c r="DS210" s="51"/>
      <c r="DT210" s="51"/>
      <c r="DU210" s="51"/>
      <c r="DV210" s="51"/>
      <c r="DW210" s="51"/>
      <c r="DX210" s="51"/>
      <c r="DY210" s="51"/>
      <c r="DZ210" s="51"/>
      <c r="EA210" s="51"/>
      <c r="EB210" s="51"/>
      <c r="EC210" s="51"/>
      <c r="ED210" s="51"/>
      <c r="EE210" s="51"/>
      <c r="EF210" s="51"/>
      <c r="EG210" s="51"/>
      <c r="EH210" s="51"/>
      <c r="EI210" s="51"/>
      <c r="EJ210" s="51"/>
      <c r="EK210" s="51"/>
    </row>
    <row r="211" spans="1:141" s="52" customFormat="1" x14ac:dyDescent="0.2">
      <c r="A211" s="78"/>
      <c r="B211" s="42"/>
      <c r="C211" s="42"/>
      <c r="D211" s="44"/>
      <c r="E211" s="53"/>
      <c r="F211" s="45"/>
      <c r="G211" s="44"/>
      <c r="H211" s="44"/>
      <c r="I211" s="44"/>
      <c r="J211" s="46"/>
      <c r="K211" s="47"/>
      <c r="L211" s="44"/>
      <c r="M211" s="44"/>
      <c r="N211" s="43"/>
      <c r="O211" s="44"/>
      <c r="P211" s="48"/>
      <c r="Q211" s="48"/>
      <c r="R211" s="48"/>
      <c r="S211" s="48"/>
      <c r="T211" s="49"/>
      <c r="U211" s="48"/>
      <c r="V211" s="48"/>
      <c r="W211" s="48"/>
      <c r="X211" s="54"/>
      <c r="Y211" s="48"/>
      <c r="Z211" s="50"/>
      <c r="AA211" s="48"/>
      <c r="AB211" s="54"/>
      <c r="AC211" s="54"/>
      <c r="AD211" s="54"/>
      <c r="AE211" s="49"/>
      <c r="AF211" s="49"/>
      <c r="AG211" s="54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  <c r="DR211" s="51"/>
      <c r="DS211" s="51"/>
      <c r="DT211" s="51"/>
      <c r="DU211" s="51"/>
      <c r="DV211" s="51"/>
      <c r="DW211" s="51"/>
      <c r="DX211" s="51"/>
      <c r="DY211" s="51"/>
      <c r="DZ211" s="51"/>
      <c r="EA211" s="51"/>
      <c r="EB211" s="51"/>
      <c r="EC211" s="51"/>
      <c r="ED211" s="51"/>
      <c r="EE211" s="51"/>
      <c r="EF211" s="51"/>
      <c r="EG211" s="51"/>
      <c r="EH211" s="51"/>
      <c r="EI211" s="51"/>
      <c r="EJ211" s="51"/>
      <c r="EK211" s="51"/>
    </row>
    <row r="212" spans="1:141" s="52" customFormat="1" x14ac:dyDescent="0.2">
      <c r="A212" s="78"/>
      <c r="B212" s="42"/>
      <c r="C212" s="42"/>
      <c r="D212" s="44"/>
      <c r="E212" s="53"/>
      <c r="F212" s="45"/>
      <c r="G212" s="44"/>
      <c r="H212" s="44"/>
      <c r="I212" s="44"/>
      <c r="J212" s="46"/>
      <c r="K212" s="47"/>
      <c r="L212" s="44"/>
      <c r="M212" s="44"/>
      <c r="N212" s="43"/>
      <c r="O212" s="44"/>
      <c r="P212" s="48"/>
      <c r="Q212" s="48"/>
      <c r="R212" s="48"/>
      <c r="S212" s="48"/>
      <c r="T212" s="49"/>
      <c r="U212" s="48"/>
      <c r="V212" s="48"/>
      <c r="W212" s="48"/>
      <c r="X212" s="50"/>
      <c r="Y212" s="48"/>
      <c r="Z212" s="50"/>
      <c r="AA212" s="48"/>
      <c r="AB212" s="50"/>
      <c r="AC212" s="50"/>
      <c r="AD212" s="50"/>
      <c r="AE212" s="49"/>
      <c r="AF212" s="49"/>
      <c r="AG212" s="50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  <c r="DR212" s="51"/>
      <c r="DS212" s="51"/>
      <c r="DT212" s="51"/>
      <c r="DU212" s="51"/>
      <c r="DV212" s="51"/>
      <c r="DW212" s="51"/>
      <c r="DX212" s="51"/>
      <c r="DY212" s="51"/>
      <c r="DZ212" s="51"/>
      <c r="EA212" s="51"/>
      <c r="EB212" s="51"/>
      <c r="EC212" s="51"/>
      <c r="ED212" s="51"/>
      <c r="EE212" s="51"/>
      <c r="EF212" s="51"/>
      <c r="EG212" s="51"/>
      <c r="EH212" s="51"/>
      <c r="EI212" s="51"/>
      <c r="EJ212" s="51"/>
      <c r="EK212" s="51"/>
    </row>
    <row r="213" spans="1:141" s="52" customFormat="1" x14ac:dyDescent="0.2">
      <c r="A213" s="78"/>
      <c r="B213" s="42"/>
      <c r="C213" s="42"/>
      <c r="D213" s="44"/>
      <c r="E213" s="53"/>
      <c r="F213" s="45"/>
      <c r="G213" s="44"/>
      <c r="H213" s="44"/>
      <c r="I213" s="44"/>
      <c r="J213" s="46"/>
      <c r="K213" s="47"/>
      <c r="L213" s="44"/>
      <c r="M213" s="44"/>
      <c r="N213" s="43"/>
      <c r="O213" s="44"/>
      <c r="P213" s="48"/>
      <c r="Q213" s="48"/>
      <c r="R213" s="48"/>
      <c r="S213" s="48"/>
      <c r="T213" s="49"/>
      <c r="U213" s="48"/>
      <c r="V213" s="48"/>
      <c r="W213" s="48"/>
      <c r="X213" s="50"/>
      <c r="Y213" s="48"/>
      <c r="Z213" s="50"/>
      <c r="AA213" s="48"/>
      <c r="AB213" s="50"/>
      <c r="AC213" s="50"/>
      <c r="AD213" s="50"/>
      <c r="AE213" s="49"/>
      <c r="AF213" s="49"/>
      <c r="AG213" s="50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  <c r="DR213" s="51"/>
      <c r="DS213" s="51"/>
      <c r="DT213" s="51"/>
      <c r="DU213" s="51"/>
      <c r="DV213" s="51"/>
      <c r="DW213" s="51"/>
      <c r="DX213" s="51"/>
      <c r="DY213" s="51"/>
      <c r="DZ213" s="51"/>
      <c r="EA213" s="51"/>
      <c r="EB213" s="51"/>
      <c r="EC213" s="51"/>
      <c r="ED213" s="51"/>
      <c r="EE213" s="51"/>
      <c r="EF213" s="51"/>
      <c r="EG213" s="51"/>
      <c r="EH213" s="51"/>
      <c r="EI213" s="51"/>
      <c r="EJ213" s="51"/>
      <c r="EK213" s="51"/>
    </row>
    <row r="214" spans="1:141" s="52" customFormat="1" x14ac:dyDescent="0.2">
      <c r="A214" s="78"/>
      <c r="B214" s="42"/>
      <c r="C214" s="42"/>
      <c r="D214" s="44"/>
      <c r="E214" s="53"/>
      <c r="F214" s="45"/>
      <c r="G214" s="44"/>
      <c r="H214" s="44"/>
      <c r="I214" s="44"/>
      <c r="J214" s="46"/>
      <c r="K214" s="47"/>
      <c r="L214" s="44"/>
      <c r="M214" s="44"/>
      <c r="N214" s="43"/>
      <c r="O214" s="44"/>
      <c r="P214" s="48"/>
      <c r="Q214" s="48"/>
      <c r="R214" s="48"/>
      <c r="S214" s="48"/>
      <c r="T214" s="49"/>
      <c r="U214" s="48"/>
      <c r="V214" s="48"/>
      <c r="W214" s="48"/>
      <c r="X214" s="50"/>
      <c r="Y214" s="48"/>
      <c r="Z214" s="50"/>
      <c r="AA214" s="48"/>
      <c r="AB214" s="48"/>
      <c r="AC214" s="48"/>
      <c r="AD214" s="50"/>
      <c r="AE214" s="49"/>
      <c r="AF214" s="49"/>
      <c r="AG214" s="48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  <c r="DR214" s="51"/>
      <c r="DS214" s="51"/>
      <c r="DT214" s="51"/>
      <c r="DU214" s="51"/>
      <c r="DV214" s="51"/>
      <c r="DW214" s="51"/>
      <c r="DX214" s="51"/>
      <c r="DY214" s="51"/>
      <c r="DZ214" s="51"/>
      <c r="EA214" s="51"/>
      <c r="EB214" s="51"/>
      <c r="EC214" s="51"/>
      <c r="ED214" s="51"/>
      <c r="EE214" s="51"/>
      <c r="EF214" s="51"/>
      <c r="EG214" s="51"/>
      <c r="EH214" s="51"/>
      <c r="EI214" s="51"/>
      <c r="EJ214" s="51"/>
      <c r="EK214" s="51"/>
    </row>
    <row r="215" spans="1:141" s="52" customFormat="1" x14ac:dyDescent="0.2">
      <c r="A215" s="78"/>
      <c r="B215" s="42"/>
      <c r="C215" s="42"/>
      <c r="D215" s="44"/>
      <c r="E215" s="53"/>
      <c r="F215" s="45"/>
      <c r="G215" s="44"/>
      <c r="H215" s="44"/>
      <c r="I215" s="44"/>
      <c r="J215" s="46"/>
      <c r="K215" s="47"/>
      <c r="L215" s="44"/>
      <c r="M215" s="44"/>
      <c r="N215" s="43"/>
      <c r="O215" s="44"/>
      <c r="P215" s="48"/>
      <c r="Q215" s="48"/>
      <c r="R215" s="48"/>
      <c r="S215" s="48"/>
      <c r="T215" s="49"/>
      <c r="U215" s="48"/>
      <c r="V215" s="48"/>
      <c r="W215" s="48"/>
      <c r="X215" s="50"/>
      <c r="Y215" s="48"/>
      <c r="Z215" s="50"/>
      <c r="AA215" s="48"/>
      <c r="AB215" s="54"/>
      <c r="AC215" s="48"/>
      <c r="AD215" s="50"/>
      <c r="AE215" s="49"/>
      <c r="AF215" s="49"/>
      <c r="AG215" s="48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  <c r="DR215" s="51"/>
      <c r="DS215" s="51"/>
      <c r="DT215" s="51"/>
      <c r="DU215" s="51"/>
      <c r="DV215" s="51"/>
      <c r="DW215" s="51"/>
      <c r="DX215" s="51"/>
      <c r="DY215" s="51"/>
      <c r="DZ215" s="51"/>
      <c r="EA215" s="51"/>
      <c r="EB215" s="51"/>
      <c r="EC215" s="51"/>
      <c r="ED215" s="51"/>
      <c r="EE215" s="51"/>
      <c r="EF215" s="51"/>
      <c r="EG215" s="51"/>
      <c r="EH215" s="51"/>
      <c r="EI215" s="51"/>
      <c r="EJ215" s="51"/>
      <c r="EK215" s="51"/>
    </row>
    <row r="216" spans="1:141" s="52" customFormat="1" x14ac:dyDescent="0.2">
      <c r="A216" s="78"/>
      <c r="B216" s="42"/>
      <c r="C216" s="42"/>
      <c r="D216" s="44"/>
      <c r="E216" s="53"/>
      <c r="F216" s="45"/>
      <c r="G216" s="44"/>
      <c r="H216" s="44"/>
      <c r="I216" s="44"/>
      <c r="J216" s="46"/>
      <c r="K216" s="47"/>
      <c r="L216" s="44"/>
      <c r="M216" s="44"/>
      <c r="N216" s="43"/>
      <c r="O216" s="44"/>
      <c r="P216" s="48"/>
      <c r="Q216" s="48"/>
      <c r="R216" s="48"/>
      <c r="S216" s="48"/>
      <c r="T216" s="49"/>
      <c r="U216" s="48"/>
      <c r="V216" s="48"/>
      <c r="W216" s="48"/>
      <c r="X216" s="50"/>
      <c r="Y216" s="48"/>
      <c r="Z216" s="50"/>
      <c r="AA216" s="48"/>
      <c r="AB216" s="50"/>
      <c r="AC216" s="48"/>
      <c r="AD216" s="50"/>
      <c r="AE216" s="49"/>
      <c r="AF216" s="49"/>
      <c r="AG216" s="48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  <c r="DR216" s="51"/>
      <c r="DS216" s="51"/>
      <c r="DT216" s="51"/>
      <c r="DU216" s="51"/>
      <c r="DV216" s="51"/>
      <c r="DW216" s="51"/>
      <c r="DX216" s="51"/>
      <c r="DY216" s="51"/>
      <c r="DZ216" s="51"/>
      <c r="EA216" s="51"/>
      <c r="EB216" s="51"/>
      <c r="EC216" s="51"/>
      <c r="ED216" s="51"/>
      <c r="EE216" s="51"/>
      <c r="EF216" s="51"/>
      <c r="EG216" s="51"/>
      <c r="EH216" s="51"/>
      <c r="EI216" s="51"/>
      <c r="EJ216" s="51"/>
      <c r="EK216" s="51"/>
    </row>
    <row r="217" spans="1:141" s="52" customFormat="1" x14ac:dyDescent="0.2">
      <c r="A217" s="78"/>
      <c r="B217" s="42"/>
      <c r="C217" s="42"/>
      <c r="D217" s="44"/>
      <c r="E217" s="53"/>
      <c r="F217" s="45"/>
      <c r="G217" s="44"/>
      <c r="H217" s="44"/>
      <c r="I217" s="44"/>
      <c r="J217" s="46"/>
      <c r="K217" s="47"/>
      <c r="L217" s="44"/>
      <c r="M217" s="44"/>
      <c r="N217" s="43"/>
      <c r="O217" s="44"/>
      <c r="P217" s="48"/>
      <c r="Q217" s="48"/>
      <c r="R217" s="48"/>
      <c r="S217" s="48"/>
      <c r="T217" s="49"/>
      <c r="U217" s="48"/>
      <c r="V217" s="48"/>
      <c r="W217" s="48"/>
      <c r="X217" s="50"/>
      <c r="Y217" s="48"/>
      <c r="Z217" s="50"/>
      <c r="AA217" s="48"/>
      <c r="AB217" s="50"/>
      <c r="AC217" s="48"/>
      <c r="AD217" s="50"/>
      <c r="AE217" s="49"/>
      <c r="AF217" s="49"/>
      <c r="AG217" s="48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  <c r="DR217" s="51"/>
      <c r="DS217" s="51"/>
      <c r="DT217" s="51"/>
      <c r="DU217" s="51"/>
      <c r="DV217" s="51"/>
      <c r="DW217" s="51"/>
      <c r="DX217" s="51"/>
      <c r="DY217" s="51"/>
      <c r="DZ217" s="51"/>
      <c r="EA217" s="51"/>
      <c r="EB217" s="51"/>
      <c r="EC217" s="51"/>
      <c r="ED217" s="51"/>
      <c r="EE217" s="51"/>
      <c r="EF217" s="51"/>
      <c r="EG217" s="51"/>
      <c r="EH217" s="51"/>
      <c r="EI217" s="51"/>
      <c r="EJ217" s="51"/>
      <c r="EK217" s="51"/>
    </row>
    <row r="218" spans="1:141" s="52" customFormat="1" x14ac:dyDescent="0.2">
      <c r="A218" s="78"/>
      <c r="B218" s="42"/>
      <c r="C218" s="42"/>
      <c r="D218" s="44"/>
      <c r="E218" s="53"/>
      <c r="F218" s="45"/>
      <c r="G218" s="44"/>
      <c r="H218" s="55"/>
      <c r="I218" s="55"/>
      <c r="J218" s="46"/>
      <c r="K218" s="47"/>
      <c r="L218" s="44"/>
      <c r="M218" s="44"/>
      <c r="N218" s="43"/>
      <c r="O218" s="44"/>
      <c r="P218" s="48"/>
      <c r="Q218" s="48"/>
      <c r="R218" s="48"/>
      <c r="S218" s="48"/>
      <c r="T218" s="49"/>
      <c r="U218" s="48"/>
      <c r="V218" s="48"/>
      <c r="W218" s="48"/>
      <c r="X218" s="48"/>
      <c r="Y218" s="48"/>
      <c r="Z218" s="50"/>
      <c r="AA218" s="48"/>
      <c r="AB218" s="50"/>
      <c r="AC218" s="48"/>
      <c r="AD218" s="50"/>
      <c r="AE218" s="49"/>
      <c r="AF218" s="49"/>
      <c r="AG218" s="48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  <c r="DR218" s="51"/>
      <c r="DS218" s="51"/>
      <c r="DT218" s="51"/>
      <c r="DU218" s="51"/>
      <c r="DV218" s="51"/>
      <c r="DW218" s="51"/>
      <c r="DX218" s="51"/>
      <c r="DY218" s="51"/>
      <c r="DZ218" s="51"/>
      <c r="EA218" s="51"/>
      <c r="EB218" s="51"/>
      <c r="EC218" s="51"/>
      <c r="ED218" s="51"/>
      <c r="EE218" s="51"/>
      <c r="EF218" s="51"/>
      <c r="EG218" s="51"/>
      <c r="EH218" s="51"/>
      <c r="EI218" s="51"/>
      <c r="EJ218" s="51"/>
      <c r="EK218" s="51"/>
    </row>
    <row r="219" spans="1:141" s="52" customFormat="1" x14ac:dyDescent="0.2">
      <c r="A219" s="78"/>
      <c r="B219" s="42"/>
      <c r="C219" s="42"/>
      <c r="D219" s="44"/>
      <c r="E219" s="53"/>
      <c r="F219" s="45"/>
      <c r="G219" s="44"/>
      <c r="H219" s="55"/>
      <c r="I219" s="55"/>
      <c r="J219" s="46"/>
      <c r="K219" s="47"/>
      <c r="L219" s="44"/>
      <c r="M219" s="44"/>
      <c r="N219" s="43"/>
      <c r="O219" s="44"/>
      <c r="P219" s="48"/>
      <c r="Q219" s="48"/>
      <c r="R219" s="48"/>
      <c r="S219" s="48"/>
      <c r="T219" s="49"/>
      <c r="U219" s="48"/>
      <c r="V219" s="48"/>
      <c r="W219" s="48"/>
      <c r="X219" s="54"/>
      <c r="Y219" s="48"/>
      <c r="Z219" s="50"/>
      <c r="AA219" s="48"/>
      <c r="AB219" s="50"/>
      <c r="AC219" s="48"/>
      <c r="AD219" s="50"/>
      <c r="AE219" s="49"/>
      <c r="AF219" s="49"/>
      <c r="AG219" s="48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  <c r="DR219" s="51"/>
      <c r="DS219" s="51"/>
      <c r="DT219" s="51"/>
      <c r="DU219" s="51"/>
      <c r="DV219" s="51"/>
      <c r="DW219" s="51"/>
      <c r="DX219" s="51"/>
      <c r="DY219" s="51"/>
      <c r="DZ219" s="51"/>
      <c r="EA219" s="51"/>
      <c r="EB219" s="51"/>
      <c r="EC219" s="51"/>
      <c r="ED219" s="51"/>
      <c r="EE219" s="51"/>
      <c r="EF219" s="51"/>
      <c r="EG219" s="51"/>
      <c r="EH219" s="51"/>
      <c r="EI219" s="51"/>
      <c r="EJ219" s="51"/>
      <c r="EK219" s="51"/>
    </row>
    <row r="220" spans="1:141" s="52" customFormat="1" x14ac:dyDescent="0.2">
      <c r="A220" s="78"/>
      <c r="B220" s="42"/>
      <c r="C220" s="42"/>
      <c r="D220" s="44"/>
      <c r="E220" s="53"/>
      <c r="F220" s="45"/>
      <c r="G220" s="44"/>
      <c r="H220" s="55"/>
      <c r="I220" s="55"/>
      <c r="J220" s="46"/>
      <c r="K220" s="47"/>
      <c r="L220" s="44"/>
      <c r="M220" s="44"/>
      <c r="N220" s="43"/>
      <c r="O220" s="44"/>
      <c r="P220" s="48"/>
      <c r="Q220" s="48"/>
      <c r="R220" s="48"/>
      <c r="S220" s="48"/>
      <c r="T220" s="49"/>
      <c r="U220" s="48"/>
      <c r="V220" s="48"/>
      <c r="W220" s="48"/>
      <c r="X220" s="50"/>
      <c r="Y220" s="48"/>
      <c r="Z220" s="48"/>
      <c r="AA220" s="48"/>
      <c r="AB220" s="50"/>
      <c r="AC220" s="48"/>
      <c r="AD220" s="48"/>
      <c r="AE220" s="49"/>
      <c r="AF220" s="49"/>
      <c r="AG220" s="48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  <c r="DR220" s="51"/>
      <c r="DS220" s="51"/>
      <c r="DT220" s="51"/>
      <c r="DU220" s="51"/>
      <c r="DV220" s="51"/>
      <c r="DW220" s="51"/>
      <c r="DX220" s="51"/>
      <c r="DY220" s="51"/>
      <c r="DZ220" s="51"/>
      <c r="EA220" s="51"/>
      <c r="EB220" s="51"/>
      <c r="EC220" s="51"/>
      <c r="ED220" s="51"/>
      <c r="EE220" s="51"/>
      <c r="EF220" s="51"/>
      <c r="EG220" s="51"/>
      <c r="EH220" s="51"/>
      <c r="EI220" s="51"/>
      <c r="EJ220" s="51"/>
      <c r="EK220" s="51"/>
    </row>
    <row r="221" spans="1:141" s="52" customFormat="1" x14ac:dyDescent="0.2">
      <c r="A221" s="78"/>
      <c r="B221" s="42"/>
      <c r="C221" s="42"/>
      <c r="D221" s="44"/>
      <c r="E221" s="53"/>
      <c r="F221" s="45"/>
      <c r="G221" s="44"/>
      <c r="H221" s="44"/>
      <c r="I221" s="44"/>
      <c r="J221" s="46"/>
      <c r="K221" s="47"/>
      <c r="L221" s="44"/>
      <c r="M221" s="44"/>
      <c r="N221" s="43"/>
      <c r="O221" s="44"/>
      <c r="P221" s="48"/>
      <c r="Q221" s="48"/>
      <c r="R221" s="48"/>
      <c r="S221" s="48"/>
      <c r="T221" s="49"/>
      <c r="U221" s="48"/>
      <c r="V221" s="48"/>
      <c r="W221" s="48"/>
      <c r="X221" s="50"/>
      <c r="Y221" s="48"/>
      <c r="Z221" s="54"/>
      <c r="AA221" s="48"/>
      <c r="AB221" s="50"/>
      <c r="AC221" s="48"/>
      <c r="AD221" s="48"/>
      <c r="AE221" s="49"/>
      <c r="AF221" s="49"/>
      <c r="AG221" s="48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  <c r="DR221" s="51"/>
      <c r="DS221" s="51"/>
      <c r="DT221" s="51"/>
      <c r="DU221" s="51"/>
      <c r="DV221" s="51"/>
      <c r="DW221" s="51"/>
      <c r="DX221" s="51"/>
      <c r="DY221" s="51"/>
      <c r="DZ221" s="51"/>
      <c r="EA221" s="51"/>
      <c r="EB221" s="51"/>
      <c r="EC221" s="51"/>
      <c r="ED221" s="51"/>
      <c r="EE221" s="51"/>
      <c r="EF221" s="51"/>
      <c r="EG221" s="51"/>
      <c r="EH221" s="51"/>
      <c r="EI221" s="51"/>
      <c r="EJ221" s="51"/>
      <c r="EK221" s="51"/>
    </row>
    <row r="222" spans="1:141" s="52" customFormat="1" x14ac:dyDescent="0.2">
      <c r="A222" s="78"/>
      <c r="B222" s="42"/>
      <c r="C222" s="42"/>
      <c r="D222" s="44"/>
      <c r="E222" s="53"/>
      <c r="F222" s="45"/>
      <c r="G222" s="44"/>
      <c r="H222" s="44"/>
      <c r="I222" s="44"/>
      <c r="J222" s="46"/>
      <c r="K222" s="47"/>
      <c r="L222" s="44"/>
      <c r="M222" s="44"/>
      <c r="N222" s="43"/>
      <c r="O222" s="44"/>
      <c r="P222" s="48"/>
      <c r="Q222" s="48"/>
      <c r="R222" s="48"/>
      <c r="S222" s="48"/>
      <c r="T222" s="49"/>
      <c r="U222" s="48"/>
      <c r="V222" s="48"/>
      <c r="W222" s="48"/>
      <c r="X222" s="50"/>
      <c r="Y222" s="48"/>
      <c r="Z222" s="50"/>
      <c r="AA222" s="48"/>
      <c r="AB222" s="50"/>
      <c r="AC222" s="48"/>
      <c r="AD222" s="48"/>
      <c r="AE222" s="49"/>
      <c r="AF222" s="49"/>
      <c r="AG222" s="48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  <c r="DR222" s="51"/>
      <c r="DS222" s="51"/>
      <c r="DT222" s="51"/>
      <c r="DU222" s="51"/>
      <c r="DV222" s="51"/>
      <c r="DW222" s="51"/>
      <c r="DX222" s="51"/>
      <c r="DY222" s="51"/>
      <c r="DZ222" s="51"/>
      <c r="EA222" s="51"/>
      <c r="EB222" s="51"/>
      <c r="EC222" s="51"/>
      <c r="ED222" s="51"/>
      <c r="EE222" s="51"/>
      <c r="EF222" s="51"/>
      <c r="EG222" s="51"/>
      <c r="EH222" s="51"/>
      <c r="EI222" s="51"/>
      <c r="EJ222" s="51"/>
      <c r="EK222" s="51"/>
    </row>
    <row r="223" spans="1:141" s="52" customFormat="1" x14ac:dyDescent="0.2">
      <c r="A223" s="78"/>
      <c r="B223" s="42"/>
      <c r="C223" s="42"/>
      <c r="D223" s="44"/>
      <c r="E223" s="45"/>
      <c r="F223" s="45"/>
      <c r="G223" s="44"/>
      <c r="H223" s="44"/>
      <c r="I223" s="44"/>
      <c r="J223" s="46"/>
      <c r="K223" s="47"/>
      <c r="L223" s="44"/>
      <c r="M223" s="44"/>
      <c r="N223" s="43"/>
      <c r="O223" s="44"/>
      <c r="P223" s="48"/>
      <c r="Q223" s="48"/>
      <c r="R223" s="48"/>
      <c r="S223" s="48"/>
      <c r="T223" s="49"/>
      <c r="U223" s="48"/>
      <c r="V223" s="48"/>
      <c r="W223" s="48"/>
      <c r="X223" s="50"/>
      <c r="Y223" s="48"/>
      <c r="Z223" s="50"/>
      <c r="AA223" s="48"/>
      <c r="AB223" s="50"/>
      <c r="AC223" s="48"/>
      <c r="AD223" s="54"/>
      <c r="AE223" s="49"/>
      <c r="AF223" s="49"/>
      <c r="AG223" s="48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  <c r="DR223" s="51"/>
      <c r="DS223" s="51"/>
      <c r="DT223" s="51"/>
      <c r="DU223" s="51"/>
      <c r="DV223" s="51"/>
      <c r="DW223" s="51"/>
      <c r="DX223" s="51"/>
      <c r="DY223" s="51"/>
      <c r="DZ223" s="51"/>
      <c r="EA223" s="51"/>
      <c r="EB223" s="51"/>
      <c r="EC223" s="51"/>
      <c r="ED223" s="51"/>
      <c r="EE223" s="51"/>
      <c r="EF223" s="51"/>
      <c r="EG223" s="51"/>
      <c r="EH223" s="51"/>
      <c r="EI223" s="51"/>
      <c r="EJ223" s="51"/>
      <c r="EK223" s="51"/>
    </row>
    <row r="224" spans="1:141" s="52" customFormat="1" x14ac:dyDescent="0.2">
      <c r="A224" s="78"/>
      <c r="B224" s="42"/>
      <c r="C224" s="42"/>
      <c r="D224" s="44"/>
      <c r="E224" s="45"/>
      <c r="F224" s="45"/>
      <c r="G224" s="44"/>
      <c r="H224" s="44"/>
      <c r="I224" s="44"/>
      <c r="J224" s="46"/>
      <c r="K224" s="47"/>
      <c r="L224" s="44"/>
      <c r="M224" s="44"/>
      <c r="N224" s="43"/>
      <c r="O224" s="44"/>
      <c r="P224" s="48"/>
      <c r="Q224" s="48"/>
      <c r="R224" s="48"/>
      <c r="S224" s="48"/>
      <c r="T224" s="49"/>
      <c r="U224" s="48"/>
      <c r="V224" s="48"/>
      <c r="W224" s="48"/>
      <c r="X224" s="50"/>
      <c r="Y224" s="48"/>
      <c r="Z224" s="50"/>
      <c r="AA224" s="48"/>
      <c r="AB224" s="50"/>
      <c r="AC224" s="48"/>
      <c r="AD224" s="50"/>
      <c r="AE224" s="49"/>
      <c r="AF224" s="49"/>
      <c r="AG224" s="48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  <c r="DR224" s="51"/>
      <c r="DS224" s="51"/>
      <c r="DT224" s="51"/>
      <c r="DU224" s="51"/>
      <c r="DV224" s="51"/>
      <c r="DW224" s="51"/>
      <c r="DX224" s="51"/>
      <c r="DY224" s="51"/>
      <c r="DZ224" s="51"/>
      <c r="EA224" s="51"/>
      <c r="EB224" s="51"/>
      <c r="EC224" s="51"/>
      <c r="ED224" s="51"/>
      <c r="EE224" s="51"/>
      <c r="EF224" s="51"/>
      <c r="EG224" s="51"/>
      <c r="EH224" s="51"/>
      <c r="EI224" s="51"/>
      <c r="EJ224" s="51"/>
      <c r="EK224" s="51"/>
    </row>
    <row r="225" spans="1:141" s="52" customFormat="1" x14ac:dyDescent="0.2">
      <c r="A225" s="78"/>
      <c r="B225" s="42"/>
      <c r="C225" s="42"/>
      <c r="D225" s="44"/>
      <c r="E225" s="45"/>
      <c r="F225" s="45"/>
      <c r="G225" s="44"/>
      <c r="H225" s="44"/>
      <c r="I225" s="44"/>
      <c r="J225" s="46"/>
      <c r="K225" s="47"/>
      <c r="L225" s="44"/>
      <c r="M225" s="44"/>
      <c r="N225" s="43"/>
      <c r="O225" s="44"/>
      <c r="P225" s="48"/>
      <c r="Q225" s="48"/>
      <c r="R225" s="48"/>
      <c r="S225" s="48"/>
      <c r="T225" s="49"/>
      <c r="U225" s="48"/>
      <c r="V225" s="48"/>
      <c r="W225" s="48"/>
      <c r="X225" s="50"/>
      <c r="Y225" s="48"/>
      <c r="Z225" s="50"/>
      <c r="AA225" s="48"/>
      <c r="AB225" s="50"/>
      <c r="AC225" s="54"/>
      <c r="AD225" s="50"/>
      <c r="AE225" s="49"/>
      <c r="AF225" s="49"/>
      <c r="AG225" s="54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  <c r="DR225" s="51"/>
      <c r="DS225" s="51"/>
      <c r="DT225" s="51"/>
      <c r="DU225" s="51"/>
      <c r="DV225" s="51"/>
      <c r="DW225" s="51"/>
      <c r="DX225" s="51"/>
      <c r="DY225" s="51"/>
      <c r="DZ225" s="51"/>
      <c r="EA225" s="51"/>
      <c r="EB225" s="51"/>
      <c r="EC225" s="51"/>
      <c r="ED225" s="51"/>
      <c r="EE225" s="51"/>
      <c r="EF225" s="51"/>
      <c r="EG225" s="51"/>
      <c r="EH225" s="51"/>
      <c r="EI225" s="51"/>
      <c r="EJ225" s="51"/>
      <c r="EK225" s="51"/>
    </row>
    <row r="226" spans="1:141" s="52" customFormat="1" x14ac:dyDescent="0.2">
      <c r="A226" s="78"/>
      <c r="B226" s="42"/>
      <c r="C226" s="42"/>
      <c r="D226" s="44"/>
      <c r="E226" s="45"/>
      <c r="F226" s="45"/>
      <c r="G226" s="44"/>
      <c r="H226" s="44"/>
      <c r="I226" s="44"/>
      <c r="J226" s="46"/>
      <c r="K226" s="47"/>
      <c r="L226" s="44"/>
      <c r="M226" s="44"/>
      <c r="N226" s="43"/>
      <c r="O226" s="44"/>
      <c r="P226" s="48"/>
      <c r="Q226" s="48"/>
      <c r="R226" s="48"/>
      <c r="S226" s="48"/>
      <c r="T226" s="49"/>
      <c r="U226" s="48"/>
      <c r="V226" s="48"/>
      <c r="W226" s="48"/>
      <c r="X226" s="50"/>
      <c r="Y226" s="48"/>
      <c r="Z226" s="50"/>
      <c r="AA226" s="48"/>
      <c r="AB226" s="50"/>
      <c r="AC226" s="50"/>
      <c r="AD226" s="50"/>
      <c r="AE226" s="49"/>
      <c r="AF226" s="49"/>
      <c r="AG226" s="50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  <c r="DR226" s="51"/>
      <c r="DS226" s="51"/>
      <c r="DT226" s="51"/>
      <c r="DU226" s="51"/>
      <c r="DV226" s="51"/>
      <c r="DW226" s="51"/>
      <c r="DX226" s="51"/>
      <c r="DY226" s="51"/>
      <c r="DZ226" s="51"/>
      <c r="EA226" s="51"/>
      <c r="EB226" s="51"/>
      <c r="EC226" s="51"/>
      <c r="ED226" s="51"/>
      <c r="EE226" s="51"/>
      <c r="EF226" s="51"/>
      <c r="EG226" s="51"/>
      <c r="EH226" s="51"/>
      <c r="EI226" s="51"/>
      <c r="EJ226" s="51"/>
      <c r="EK226" s="51"/>
    </row>
    <row r="227" spans="1:141" s="52" customFormat="1" x14ac:dyDescent="0.2">
      <c r="A227" s="78"/>
      <c r="B227" s="42"/>
      <c r="C227" s="42"/>
      <c r="D227" s="44"/>
      <c r="E227" s="45"/>
      <c r="F227" s="45"/>
      <c r="G227" s="44"/>
      <c r="H227" s="44"/>
      <c r="I227" s="44"/>
      <c r="J227" s="56"/>
      <c r="K227" s="47"/>
      <c r="L227" s="44"/>
      <c r="M227" s="44"/>
      <c r="N227" s="43"/>
      <c r="O227" s="44"/>
      <c r="P227" s="48"/>
      <c r="Q227" s="48"/>
      <c r="R227" s="48"/>
      <c r="S227" s="48"/>
      <c r="T227" s="49"/>
      <c r="U227" s="48"/>
      <c r="V227" s="48"/>
      <c r="W227" s="48"/>
      <c r="X227" s="50"/>
      <c r="Y227" s="48"/>
      <c r="Z227" s="50"/>
      <c r="AA227" s="48"/>
      <c r="AB227" s="50"/>
      <c r="AC227" s="50"/>
      <c r="AD227" s="50"/>
      <c r="AE227" s="49"/>
      <c r="AF227" s="49"/>
      <c r="AG227" s="50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  <c r="DR227" s="51"/>
      <c r="DS227" s="51"/>
      <c r="DT227" s="51"/>
      <c r="DU227" s="51"/>
      <c r="DV227" s="51"/>
      <c r="DW227" s="51"/>
      <c r="DX227" s="51"/>
      <c r="DY227" s="51"/>
      <c r="DZ227" s="51"/>
      <c r="EA227" s="51"/>
      <c r="EB227" s="51"/>
      <c r="EC227" s="51"/>
      <c r="ED227" s="51"/>
      <c r="EE227" s="51"/>
      <c r="EF227" s="51"/>
      <c r="EG227" s="51"/>
      <c r="EH227" s="51"/>
      <c r="EI227" s="51"/>
      <c r="EJ227" s="51"/>
      <c r="EK227" s="51"/>
    </row>
    <row r="228" spans="1:141" s="52" customFormat="1" x14ac:dyDescent="0.2">
      <c r="A228" s="78"/>
      <c r="B228" s="42"/>
      <c r="C228" s="42"/>
      <c r="D228" s="44"/>
      <c r="E228" s="45"/>
      <c r="F228" s="45"/>
      <c r="G228" s="44"/>
      <c r="H228" s="44"/>
      <c r="I228" s="57"/>
      <c r="J228" s="58"/>
      <c r="K228" s="59"/>
      <c r="L228" s="44"/>
      <c r="M228" s="44"/>
      <c r="N228" s="43"/>
      <c r="O228" s="44"/>
      <c r="P228" s="48"/>
      <c r="Q228" s="48"/>
      <c r="R228" s="48"/>
      <c r="S228" s="48"/>
      <c r="T228" s="49"/>
      <c r="U228" s="48"/>
      <c r="V228" s="48"/>
      <c r="W228" s="48"/>
      <c r="X228" s="48"/>
      <c r="Y228" s="48"/>
      <c r="Z228" s="50"/>
      <c r="AA228" s="48"/>
      <c r="AB228" s="50"/>
      <c r="AC228" s="48"/>
      <c r="AD228" s="50"/>
      <c r="AE228" s="49"/>
      <c r="AF228" s="49"/>
      <c r="AG228" s="48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  <c r="DR228" s="51"/>
      <c r="DS228" s="51"/>
      <c r="DT228" s="51"/>
      <c r="DU228" s="51"/>
      <c r="DV228" s="51"/>
      <c r="DW228" s="51"/>
      <c r="DX228" s="51"/>
      <c r="DY228" s="51"/>
      <c r="DZ228" s="51"/>
      <c r="EA228" s="51"/>
      <c r="EB228" s="51"/>
      <c r="EC228" s="51"/>
      <c r="ED228" s="51"/>
      <c r="EE228" s="51"/>
      <c r="EF228" s="51"/>
      <c r="EG228" s="51"/>
      <c r="EH228" s="51"/>
      <c r="EI228" s="51"/>
      <c r="EJ228" s="51"/>
      <c r="EK228" s="51"/>
    </row>
    <row r="229" spans="1:141" s="52" customFormat="1" x14ac:dyDescent="0.2">
      <c r="A229" s="78"/>
      <c r="B229" s="42"/>
      <c r="C229" s="42"/>
      <c r="D229" s="44"/>
      <c r="E229" s="45"/>
      <c r="F229" s="45"/>
      <c r="G229" s="44"/>
      <c r="H229" s="44"/>
      <c r="I229" s="44"/>
      <c r="J229" s="60"/>
      <c r="K229" s="47"/>
      <c r="L229" s="44"/>
      <c r="M229" s="44"/>
      <c r="N229" s="43"/>
      <c r="O229" s="44"/>
      <c r="P229" s="48"/>
      <c r="Q229" s="48"/>
      <c r="R229" s="48"/>
      <c r="S229" s="48"/>
      <c r="T229" s="49"/>
      <c r="U229" s="48"/>
      <c r="V229" s="48"/>
      <c r="W229" s="48"/>
      <c r="X229" s="54"/>
      <c r="Y229" s="48"/>
      <c r="Z229" s="50"/>
      <c r="AA229" s="48"/>
      <c r="AB229" s="50"/>
      <c r="AC229" s="48"/>
      <c r="AD229" s="50"/>
      <c r="AE229" s="49"/>
      <c r="AF229" s="49"/>
      <c r="AG229" s="48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  <c r="DR229" s="51"/>
      <c r="DS229" s="51"/>
      <c r="DT229" s="51"/>
      <c r="DU229" s="51"/>
      <c r="DV229" s="51"/>
      <c r="DW229" s="51"/>
      <c r="DX229" s="51"/>
      <c r="DY229" s="51"/>
      <c r="DZ229" s="51"/>
      <c r="EA229" s="51"/>
      <c r="EB229" s="51"/>
      <c r="EC229" s="51"/>
      <c r="ED229" s="51"/>
      <c r="EE229" s="51"/>
      <c r="EF229" s="51"/>
      <c r="EG229" s="51"/>
      <c r="EH229" s="51"/>
      <c r="EI229" s="51"/>
      <c r="EJ229" s="51"/>
      <c r="EK229" s="51"/>
    </row>
    <row r="230" spans="1:141" s="52" customFormat="1" x14ac:dyDescent="0.2">
      <c r="A230" s="78"/>
      <c r="B230" s="42"/>
      <c r="C230" s="42"/>
      <c r="D230" s="44"/>
      <c r="E230" s="45"/>
      <c r="F230" s="45"/>
      <c r="G230" s="44"/>
      <c r="H230" s="44"/>
      <c r="I230" s="44"/>
      <c r="J230" s="47"/>
      <c r="K230" s="47"/>
      <c r="L230" s="44"/>
      <c r="M230" s="44"/>
      <c r="N230" s="43"/>
      <c r="O230" s="44"/>
      <c r="P230" s="48"/>
      <c r="Q230" s="48"/>
      <c r="R230" s="48"/>
      <c r="S230" s="48"/>
      <c r="T230" s="49"/>
      <c r="U230" s="48"/>
      <c r="V230" s="48"/>
      <c r="W230" s="48"/>
      <c r="X230" s="50"/>
      <c r="Y230" s="48"/>
      <c r="Z230" s="50"/>
      <c r="AA230" s="48"/>
      <c r="AB230" s="50"/>
      <c r="AC230" s="48"/>
      <c r="AD230" s="50"/>
      <c r="AE230" s="49"/>
      <c r="AF230" s="49"/>
      <c r="AG230" s="48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  <c r="DR230" s="51"/>
      <c r="DS230" s="51"/>
      <c r="DT230" s="51"/>
      <c r="DU230" s="51"/>
      <c r="DV230" s="51"/>
      <c r="DW230" s="51"/>
      <c r="DX230" s="51"/>
      <c r="DY230" s="51"/>
      <c r="DZ230" s="51"/>
      <c r="EA230" s="51"/>
      <c r="EB230" s="51"/>
      <c r="EC230" s="51"/>
      <c r="ED230" s="51"/>
      <c r="EE230" s="51"/>
      <c r="EF230" s="51"/>
      <c r="EG230" s="51"/>
      <c r="EH230" s="51"/>
      <c r="EI230" s="51"/>
      <c r="EJ230" s="51"/>
      <c r="EK230" s="51"/>
    </row>
    <row r="231" spans="1:141" s="52" customFormat="1" x14ac:dyDescent="0.2">
      <c r="A231" s="78"/>
      <c r="B231" s="42"/>
      <c r="C231" s="42"/>
      <c r="D231" s="44"/>
      <c r="E231" s="45"/>
      <c r="F231" s="45"/>
      <c r="G231" s="44"/>
      <c r="H231" s="44"/>
      <c r="I231" s="44"/>
      <c r="J231" s="47"/>
      <c r="K231" s="47"/>
      <c r="L231" s="44"/>
      <c r="M231" s="44"/>
      <c r="N231" s="43"/>
      <c r="O231" s="44"/>
      <c r="P231" s="48"/>
      <c r="Q231" s="48"/>
      <c r="R231" s="48"/>
      <c r="S231" s="48"/>
      <c r="T231" s="49"/>
      <c r="U231" s="48"/>
      <c r="V231" s="48"/>
      <c r="W231" s="48"/>
      <c r="X231" s="50"/>
      <c r="Y231" s="48"/>
      <c r="Z231" s="50"/>
      <c r="AA231" s="48"/>
      <c r="AB231" s="50"/>
      <c r="AC231" s="48"/>
      <c r="AD231" s="50"/>
      <c r="AE231" s="49"/>
      <c r="AF231" s="49"/>
      <c r="AG231" s="48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  <c r="DR231" s="51"/>
      <c r="DS231" s="51"/>
      <c r="DT231" s="51"/>
      <c r="DU231" s="51"/>
      <c r="DV231" s="51"/>
      <c r="DW231" s="51"/>
      <c r="DX231" s="51"/>
      <c r="DY231" s="51"/>
      <c r="DZ231" s="51"/>
      <c r="EA231" s="51"/>
      <c r="EB231" s="51"/>
      <c r="EC231" s="51"/>
      <c r="ED231" s="51"/>
      <c r="EE231" s="51"/>
      <c r="EF231" s="51"/>
      <c r="EG231" s="51"/>
      <c r="EH231" s="51"/>
      <c r="EI231" s="51"/>
      <c r="EJ231" s="51"/>
      <c r="EK231" s="51"/>
    </row>
    <row r="232" spans="1:141" s="52" customFormat="1" x14ac:dyDescent="0.2">
      <c r="A232" s="78"/>
      <c r="B232" s="61"/>
      <c r="C232" s="61"/>
      <c r="D232" s="55"/>
      <c r="E232" s="53"/>
      <c r="F232" s="53"/>
      <c r="G232" s="55"/>
      <c r="H232" s="55"/>
      <c r="I232" s="55"/>
      <c r="J232" s="46"/>
      <c r="K232" s="46"/>
      <c r="L232" s="55"/>
      <c r="M232" s="55"/>
      <c r="N232" s="62"/>
      <c r="O232" s="55"/>
      <c r="P232" s="63"/>
      <c r="Q232" s="63"/>
      <c r="R232" s="63"/>
      <c r="S232" s="63"/>
      <c r="T232" s="64"/>
      <c r="U232" s="63"/>
      <c r="V232" s="63"/>
      <c r="W232" s="63"/>
      <c r="X232" s="63"/>
      <c r="Y232" s="63"/>
      <c r="Z232" s="50"/>
      <c r="AA232" s="63"/>
      <c r="AB232" s="50"/>
      <c r="AC232" s="63"/>
      <c r="AD232" s="50"/>
      <c r="AE232" s="64"/>
      <c r="AF232" s="64"/>
      <c r="AG232" s="63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  <c r="DR232" s="51"/>
      <c r="DS232" s="51"/>
      <c r="DT232" s="51"/>
      <c r="DU232" s="51"/>
      <c r="DV232" s="51"/>
      <c r="DW232" s="51"/>
      <c r="DX232" s="51"/>
      <c r="DY232" s="51"/>
      <c r="DZ232" s="51"/>
      <c r="EA232" s="51"/>
      <c r="EB232" s="51"/>
      <c r="EC232" s="51"/>
      <c r="ED232" s="51"/>
      <c r="EE232" s="51"/>
      <c r="EF232" s="51"/>
      <c r="EG232" s="51"/>
      <c r="EH232" s="51"/>
      <c r="EI232" s="51"/>
      <c r="EJ232" s="51"/>
      <c r="EK232" s="51"/>
    </row>
    <row r="233" spans="1:141" s="52" customFormat="1" x14ac:dyDescent="0.2">
      <c r="A233" s="78"/>
      <c r="B233" s="42"/>
      <c r="C233" s="42"/>
      <c r="D233" s="44"/>
      <c r="E233" s="45"/>
      <c r="F233" s="45"/>
      <c r="G233" s="44"/>
      <c r="H233" s="44"/>
      <c r="I233" s="44"/>
      <c r="J233" s="47"/>
      <c r="K233" s="47"/>
      <c r="L233" s="44"/>
      <c r="M233" s="44"/>
      <c r="N233" s="43"/>
      <c r="O233" s="44"/>
      <c r="P233" s="48"/>
      <c r="Q233" s="48"/>
      <c r="R233" s="48"/>
      <c r="S233" s="48"/>
      <c r="T233" s="49"/>
      <c r="U233" s="48"/>
      <c r="V233" s="48"/>
      <c r="W233" s="48"/>
      <c r="X233" s="48"/>
      <c r="Y233" s="48"/>
      <c r="Z233" s="50"/>
      <c r="AA233" s="48"/>
      <c r="AB233" s="50"/>
      <c r="AC233" s="48"/>
      <c r="AD233" s="50"/>
      <c r="AE233" s="49"/>
      <c r="AF233" s="49"/>
      <c r="AG233" s="48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  <c r="DR233" s="51"/>
      <c r="DS233" s="51"/>
      <c r="DT233" s="51"/>
      <c r="DU233" s="51"/>
      <c r="DV233" s="51"/>
      <c r="DW233" s="51"/>
      <c r="DX233" s="51"/>
      <c r="DY233" s="51"/>
      <c r="DZ233" s="51"/>
      <c r="EA233" s="51"/>
      <c r="EB233" s="51"/>
      <c r="EC233" s="51"/>
      <c r="ED233" s="51"/>
      <c r="EE233" s="51"/>
      <c r="EF233" s="51"/>
      <c r="EG233" s="51"/>
      <c r="EH233" s="51"/>
      <c r="EI233" s="51"/>
      <c r="EJ233" s="51"/>
      <c r="EK233" s="51"/>
    </row>
    <row r="234" spans="1:141" s="52" customFormat="1" x14ac:dyDescent="0.2">
      <c r="A234" s="79"/>
      <c r="B234" s="42"/>
      <c r="C234" s="42"/>
      <c r="D234" s="44"/>
      <c r="E234" s="45"/>
      <c r="F234" s="45"/>
      <c r="G234" s="44"/>
      <c r="H234" s="44"/>
      <c r="I234" s="44"/>
      <c r="J234" s="47"/>
      <c r="K234" s="47"/>
      <c r="L234" s="44"/>
      <c r="M234" s="44"/>
      <c r="N234" s="43"/>
      <c r="O234" s="44"/>
      <c r="P234" s="48"/>
      <c r="Q234" s="48"/>
      <c r="R234" s="48"/>
      <c r="S234" s="48"/>
      <c r="T234" s="49"/>
      <c r="U234" s="48"/>
      <c r="V234" s="48"/>
      <c r="W234" s="48"/>
      <c r="X234" s="48"/>
      <c r="Y234" s="48"/>
      <c r="Z234" s="50"/>
      <c r="AA234" s="48"/>
      <c r="AB234" s="48"/>
      <c r="AC234" s="48"/>
      <c r="AD234" s="50"/>
      <c r="AE234" s="49"/>
      <c r="AF234" s="49"/>
      <c r="AG234" s="48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  <c r="DR234" s="51"/>
      <c r="DS234" s="51"/>
      <c r="DT234" s="51"/>
      <c r="DU234" s="51"/>
      <c r="DV234" s="51"/>
      <c r="DW234" s="51"/>
      <c r="DX234" s="51"/>
      <c r="DY234" s="51"/>
      <c r="DZ234" s="51"/>
      <c r="EA234" s="51"/>
      <c r="EB234" s="51"/>
      <c r="EC234" s="51"/>
      <c r="ED234" s="51"/>
      <c r="EE234" s="51"/>
      <c r="EF234" s="51"/>
      <c r="EG234" s="51"/>
      <c r="EH234" s="51"/>
      <c r="EI234" s="51"/>
      <c r="EJ234" s="51"/>
      <c r="EK234" s="51"/>
    </row>
    <row r="235" spans="1:141" s="52" customFormat="1" x14ac:dyDescent="0.2">
      <c r="A235" s="78"/>
      <c r="B235" s="42"/>
      <c r="C235" s="42"/>
      <c r="D235" s="44"/>
      <c r="E235" s="45"/>
      <c r="F235" s="45"/>
      <c r="G235" s="44"/>
      <c r="H235" s="44"/>
      <c r="I235" s="44"/>
      <c r="J235" s="47"/>
      <c r="K235" s="47"/>
      <c r="L235" s="44"/>
      <c r="M235" s="44"/>
      <c r="N235" s="43"/>
      <c r="O235" s="44"/>
      <c r="P235" s="48"/>
      <c r="Q235" s="48"/>
      <c r="R235" s="48"/>
      <c r="S235" s="48"/>
      <c r="T235" s="49"/>
      <c r="U235" s="48"/>
      <c r="V235" s="48"/>
      <c r="W235" s="48"/>
      <c r="X235" s="54"/>
      <c r="Y235" s="48"/>
      <c r="Z235" s="50"/>
      <c r="AA235" s="48"/>
      <c r="AB235" s="54"/>
      <c r="AC235" s="54"/>
      <c r="AD235" s="50"/>
      <c r="AE235" s="49"/>
      <c r="AF235" s="49"/>
      <c r="AG235" s="54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  <c r="DR235" s="51"/>
      <c r="DS235" s="51"/>
      <c r="DT235" s="51"/>
      <c r="DU235" s="51"/>
      <c r="DV235" s="51"/>
      <c r="DW235" s="51"/>
      <c r="DX235" s="51"/>
      <c r="DY235" s="51"/>
      <c r="DZ235" s="51"/>
      <c r="EA235" s="51"/>
      <c r="EB235" s="51"/>
      <c r="EC235" s="51"/>
      <c r="ED235" s="51"/>
      <c r="EE235" s="51"/>
      <c r="EF235" s="51"/>
      <c r="EG235" s="51"/>
      <c r="EH235" s="51"/>
      <c r="EI235" s="51"/>
      <c r="EJ235" s="51"/>
      <c r="EK235" s="51"/>
    </row>
    <row r="236" spans="1:141" s="52" customFormat="1" x14ac:dyDescent="0.2">
      <c r="A236" s="78"/>
      <c r="B236" s="42"/>
      <c r="C236" s="42"/>
      <c r="D236" s="44"/>
      <c r="E236" s="53"/>
      <c r="F236" s="45"/>
      <c r="G236" s="44"/>
      <c r="H236" s="44"/>
      <c r="I236" s="44"/>
      <c r="J236" s="46"/>
      <c r="K236" s="47"/>
      <c r="L236" s="44"/>
      <c r="M236" s="44"/>
      <c r="N236" s="43"/>
      <c r="O236" s="44"/>
      <c r="P236" s="48"/>
      <c r="Q236" s="48"/>
      <c r="R236" s="48"/>
      <c r="S236" s="48"/>
      <c r="T236" s="49"/>
      <c r="U236" s="48"/>
      <c r="V236" s="48"/>
      <c r="W236" s="48"/>
      <c r="X236" s="50"/>
      <c r="Y236" s="48"/>
      <c r="Z236" s="48"/>
      <c r="AA236" s="48"/>
      <c r="AB236" s="50"/>
      <c r="AC236" s="50"/>
      <c r="AD236" s="50"/>
      <c r="AE236" s="49"/>
      <c r="AF236" s="49"/>
      <c r="AG236" s="50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  <c r="DR236" s="51"/>
      <c r="DS236" s="51"/>
      <c r="DT236" s="51"/>
      <c r="DU236" s="51"/>
      <c r="DV236" s="51"/>
      <c r="DW236" s="51"/>
      <c r="DX236" s="51"/>
      <c r="DY236" s="51"/>
      <c r="DZ236" s="51"/>
      <c r="EA236" s="51"/>
      <c r="EB236" s="51"/>
      <c r="EC236" s="51"/>
      <c r="ED236" s="51"/>
      <c r="EE236" s="51"/>
      <c r="EF236" s="51"/>
      <c r="EG236" s="51"/>
      <c r="EH236" s="51"/>
      <c r="EI236" s="51"/>
      <c r="EJ236" s="51"/>
      <c r="EK236" s="51"/>
    </row>
    <row r="237" spans="1:141" s="52" customFormat="1" x14ac:dyDescent="0.2">
      <c r="A237" s="78"/>
      <c r="B237" s="42"/>
      <c r="C237" s="42"/>
      <c r="D237" s="44"/>
      <c r="E237" s="53"/>
      <c r="F237" s="45"/>
      <c r="G237" s="44"/>
      <c r="H237" s="44"/>
      <c r="I237" s="44"/>
      <c r="J237" s="46"/>
      <c r="K237" s="47"/>
      <c r="L237" s="44"/>
      <c r="M237" s="44"/>
      <c r="N237" s="43"/>
      <c r="O237" s="44"/>
      <c r="P237" s="48"/>
      <c r="Q237" s="48"/>
      <c r="R237" s="48"/>
      <c r="S237" s="48"/>
      <c r="T237" s="49"/>
      <c r="U237" s="48"/>
      <c r="V237" s="48"/>
      <c r="W237" s="48"/>
      <c r="X237" s="50"/>
      <c r="Y237" s="48"/>
      <c r="Z237" s="54"/>
      <c r="AA237" s="48"/>
      <c r="AB237" s="50"/>
      <c r="AC237" s="50"/>
      <c r="AD237" s="50"/>
      <c r="AE237" s="49"/>
      <c r="AF237" s="49"/>
      <c r="AG237" s="50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  <c r="DR237" s="51"/>
      <c r="DS237" s="51"/>
      <c r="DT237" s="51"/>
      <c r="DU237" s="51"/>
      <c r="DV237" s="51"/>
      <c r="DW237" s="51"/>
      <c r="DX237" s="51"/>
      <c r="DY237" s="51"/>
      <c r="DZ237" s="51"/>
      <c r="EA237" s="51"/>
      <c r="EB237" s="51"/>
      <c r="EC237" s="51"/>
      <c r="ED237" s="51"/>
      <c r="EE237" s="51"/>
      <c r="EF237" s="51"/>
      <c r="EG237" s="51"/>
      <c r="EH237" s="51"/>
      <c r="EI237" s="51"/>
      <c r="EJ237" s="51"/>
      <c r="EK237" s="51"/>
    </row>
    <row r="238" spans="1:141" s="52" customFormat="1" x14ac:dyDescent="0.2">
      <c r="A238" s="78"/>
      <c r="B238" s="42"/>
      <c r="C238" s="42"/>
      <c r="D238" s="44"/>
      <c r="E238" s="53"/>
      <c r="F238" s="45"/>
      <c r="G238" s="44"/>
      <c r="H238" s="44"/>
      <c r="I238" s="44"/>
      <c r="J238" s="46"/>
      <c r="K238" s="47"/>
      <c r="L238" s="44"/>
      <c r="M238" s="44"/>
      <c r="N238" s="43"/>
      <c r="O238" s="44"/>
      <c r="P238" s="48"/>
      <c r="Q238" s="48"/>
      <c r="R238" s="48"/>
      <c r="S238" s="48"/>
      <c r="T238" s="49"/>
      <c r="U238" s="48"/>
      <c r="V238" s="48"/>
      <c r="W238" s="48"/>
      <c r="X238" s="50"/>
      <c r="Y238" s="48"/>
      <c r="Z238" s="50"/>
      <c r="AA238" s="48"/>
      <c r="AB238" s="50"/>
      <c r="AC238" s="48"/>
      <c r="AD238" s="50"/>
      <c r="AE238" s="49"/>
      <c r="AF238" s="49"/>
      <c r="AG238" s="48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  <c r="DR238" s="51"/>
      <c r="DS238" s="51"/>
      <c r="DT238" s="51"/>
      <c r="DU238" s="51"/>
      <c r="DV238" s="51"/>
      <c r="DW238" s="51"/>
      <c r="DX238" s="51"/>
      <c r="DY238" s="51"/>
      <c r="DZ238" s="51"/>
      <c r="EA238" s="51"/>
      <c r="EB238" s="51"/>
      <c r="EC238" s="51"/>
      <c r="ED238" s="51"/>
      <c r="EE238" s="51"/>
      <c r="EF238" s="51"/>
      <c r="EG238" s="51"/>
      <c r="EH238" s="51"/>
      <c r="EI238" s="51"/>
      <c r="EJ238" s="51"/>
      <c r="EK238" s="51"/>
    </row>
    <row r="239" spans="1:141" s="52" customFormat="1" x14ac:dyDescent="0.2">
      <c r="A239" s="78"/>
      <c r="B239" s="42"/>
      <c r="C239" s="42"/>
      <c r="D239" s="44"/>
      <c r="E239" s="53"/>
      <c r="F239" s="45"/>
      <c r="G239" s="44"/>
      <c r="H239" s="44"/>
      <c r="I239" s="44"/>
      <c r="J239" s="46"/>
      <c r="K239" s="47"/>
      <c r="L239" s="44"/>
      <c r="M239" s="44"/>
      <c r="N239" s="43"/>
      <c r="O239" s="44"/>
      <c r="P239" s="48"/>
      <c r="Q239" s="48"/>
      <c r="R239" s="48"/>
      <c r="S239" s="48"/>
      <c r="T239" s="49"/>
      <c r="U239" s="48"/>
      <c r="V239" s="48"/>
      <c r="W239" s="48"/>
      <c r="X239" s="50"/>
      <c r="Y239" s="48"/>
      <c r="Z239" s="50"/>
      <c r="AA239" s="48"/>
      <c r="AB239" s="50"/>
      <c r="AC239" s="48"/>
      <c r="AD239" s="50"/>
      <c r="AE239" s="49"/>
      <c r="AF239" s="49"/>
      <c r="AG239" s="48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  <c r="DR239" s="51"/>
      <c r="DS239" s="51"/>
      <c r="DT239" s="51"/>
      <c r="DU239" s="51"/>
      <c r="DV239" s="51"/>
      <c r="DW239" s="51"/>
      <c r="DX239" s="51"/>
      <c r="DY239" s="51"/>
      <c r="DZ239" s="51"/>
      <c r="EA239" s="51"/>
      <c r="EB239" s="51"/>
      <c r="EC239" s="51"/>
      <c r="ED239" s="51"/>
      <c r="EE239" s="51"/>
      <c r="EF239" s="51"/>
      <c r="EG239" s="51"/>
      <c r="EH239" s="51"/>
      <c r="EI239" s="51"/>
      <c r="EJ239" s="51"/>
      <c r="EK239" s="51"/>
    </row>
    <row r="240" spans="1:141" s="52" customFormat="1" x14ac:dyDescent="0.2">
      <c r="A240" s="78"/>
      <c r="B240" s="42"/>
      <c r="C240" s="42"/>
      <c r="D240" s="44"/>
      <c r="E240" s="53"/>
      <c r="F240" s="45"/>
      <c r="G240" s="44"/>
      <c r="H240" s="44"/>
      <c r="I240" s="44"/>
      <c r="J240" s="46"/>
      <c r="K240" s="47"/>
      <c r="L240" s="44"/>
      <c r="M240" s="44"/>
      <c r="N240" s="43"/>
      <c r="O240" s="44"/>
      <c r="P240" s="48"/>
      <c r="Q240" s="48"/>
      <c r="R240" s="48"/>
      <c r="S240" s="48"/>
      <c r="T240" s="49"/>
      <c r="U240" s="48"/>
      <c r="V240" s="48"/>
      <c r="W240" s="48"/>
      <c r="X240" s="50"/>
      <c r="Y240" s="48"/>
      <c r="Z240" s="48"/>
      <c r="AA240" s="48"/>
      <c r="AB240" s="50"/>
      <c r="AC240" s="48"/>
      <c r="AD240" s="48"/>
      <c r="AE240" s="49"/>
      <c r="AF240" s="49"/>
      <c r="AG240" s="48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  <c r="DR240" s="51"/>
      <c r="DS240" s="51"/>
      <c r="DT240" s="51"/>
      <c r="DU240" s="51"/>
      <c r="DV240" s="51"/>
      <c r="DW240" s="51"/>
      <c r="DX240" s="51"/>
      <c r="DY240" s="51"/>
      <c r="DZ240" s="51"/>
      <c r="EA240" s="51"/>
      <c r="EB240" s="51"/>
      <c r="EC240" s="51"/>
      <c r="ED240" s="51"/>
      <c r="EE240" s="51"/>
      <c r="EF240" s="51"/>
      <c r="EG240" s="51"/>
      <c r="EH240" s="51"/>
      <c r="EI240" s="51"/>
      <c r="EJ240" s="51"/>
      <c r="EK240" s="51"/>
    </row>
    <row r="241" spans="1:141" s="52" customFormat="1" x14ac:dyDescent="0.2">
      <c r="A241" s="78"/>
      <c r="B241" s="42"/>
      <c r="C241" s="42"/>
      <c r="D241" s="44"/>
      <c r="E241" s="53"/>
      <c r="F241" s="45"/>
      <c r="G241" s="44"/>
      <c r="H241" s="44"/>
      <c r="I241" s="44"/>
      <c r="J241" s="46"/>
      <c r="K241" s="47"/>
      <c r="L241" s="44"/>
      <c r="M241" s="44"/>
      <c r="N241" s="43"/>
      <c r="O241" s="44"/>
      <c r="P241" s="48"/>
      <c r="Q241" s="48"/>
      <c r="R241" s="48"/>
      <c r="S241" s="48"/>
      <c r="T241" s="49"/>
      <c r="U241" s="48"/>
      <c r="V241" s="48"/>
      <c r="W241" s="48"/>
      <c r="X241" s="50"/>
      <c r="Y241" s="48"/>
      <c r="Z241" s="48"/>
      <c r="AA241" s="48"/>
      <c r="AB241" s="50"/>
      <c r="AC241" s="48"/>
      <c r="AD241" s="48"/>
      <c r="AE241" s="49"/>
      <c r="AF241" s="49"/>
      <c r="AG241" s="48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  <c r="DR241" s="51"/>
      <c r="DS241" s="51"/>
      <c r="DT241" s="51"/>
      <c r="DU241" s="51"/>
      <c r="DV241" s="51"/>
      <c r="DW241" s="51"/>
      <c r="DX241" s="51"/>
      <c r="DY241" s="51"/>
      <c r="DZ241" s="51"/>
      <c r="EA241" s="51"/>
      <c r="EB241" s="51"/>
      <c r="EC241" s="51"/>
      <c r="ED241" s="51"/>
      <c r="EE241" s="51"/>
      <c r="EF241" s="51"/>
      <c r="EG241" s="51"/>
      <c r="EH241" s="51"/>
      <c r="EI241" s="51"/>
      <c r="EJ241" s="51"/>
      <c r="EK241" s="51"/>
    </row>
    <row r="242" spans="1:141" s="52" customFormat="1" x14ac:dyDescent="0.2">
      <c r="A242" s="78"/>
      <c r="B242" s="42"/>
      <c r="C242" s="42"/>
      <c r="D242" s="44"/>
      <c r="E242" s="53"/>
      <c r="F242" s="45"/>
      <c r="G242" s="44"/>
      <c r="H242" s="44"/>
      <c r="I242" s="44"/>
      <c r="J242" s="46"/>
      <c r="K242" s="47"/>
      <c r="L242" s="44"/>
      <c r="M242" s="44"/>
      <c r="N242" s="43"/>
      <c r="O242" s="44"/>
      <c r="P242" s="48"/>
      <c r="Q242" s="48"/>
      <c r="R242" s="48"/>
      <c r="S242" s="48"/>
      <c r="T242" s="49"/>
      <c r="U242" s="48"/>
      <c r="V242" s="48"/>
      <c r="W242" s="48"/>
      <c r="X242" s="50"/>
      <c r="Y242" s="48"/>
      <c r="Z242" s="48"/>
      <c r="AA242" s="48"/>
      <c r="AB242" s="50"/>
      <c r="AC242" s="48"/>
      <c r="AD242" s="48"/>
      <c r="AE242" s="49"/>
      <c r="AF242" s="49"/>
      <c r="AG242" s="48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  <c r="DR242" s="51"/>
      <c r="DS242" s="51"/>
      <c r="DT242" s="51"/>
      <c r="DU242" s="51"/>
      <c r="DV242" s="51"/>
      <c r="DW242" s="51"/>
      <c r="DX242" s="51"/>
      <c r="DY242" s="51"/>
      <c r="DZ242" s="51"/>
      <c r="EA242" s="51"/>
      <c r="EB242" s="51"/>
      <c r="EC242" s="51"/>
      <c r="ED242" s="51"/>
      <c r="EE242" s="51"/>
      <c r="EF242" s="51"/>
      <c r="EG242" s="51"/>
      <c r="EH242" s="51"/>
      <c r="EI242" s="51"/>
      <c r="EJ242" s="51"/>
      <c r="EK242" s="51"/>
    </row>
    <row r="243" spans="1:141" s="52" customFormat="1" x14ac:dyDescent="0.2">
      <c r="A243" s="78"/>
      <c r="B243" s="42"/>
      <c r="C243" s="42"/>
      <c r="D243" s="44"/>
      <c r="E243" s="53"/>
      <c r="F243" s="45"/>
      <c r="G243" s="44"/>
      <c r="H243" s="44"/>
      <c r="I243" s="44"/>
      <c r="J243" s="46"/>
      <c r="K243" s="47"/>
      <c r="L243" s="44"/>
      <c r="M243" s="44"/>
      <c r="N243" s="43"/>
      <c r="O243" s="44"/>
      <c r="P243" s="48"/>
      <c r="Q243" s="48"/>
      <c r="R243" s="48"/>
      <c r="S243" s="48"/>
      <c r="T243" s="49"/>
      <c r="U243" s="48"/>
      <c r="V243" s="48"/>
      <c r="W243" s="48"/>
      <c r="X243" s="50"/>
      <c r="Y243" s="48"/>
      <c r="Z243" s="48"/>
      <c r="AA243" s="48"/>
      <c r="AB243" s="50"/>
      <c r="AC243" s="48"/>
      <c r="AD243" s="48"/>
      <c r="AE243" s="49"/>
      <c r="AF243" s="49"/>
      <c r="AG243" s="48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  <c r="DR243" s="51"/>
      <c r="DS243" s="51"/>
      <c r="DT243" s="51"/>
      <c r="DU243" s="51"/>
      <c r="DV243" s="51"/>
      <c r="DW243" s="51"/>
      <c r="DX243" s="51"/>
      <c r="DY243" s="51"/>
      <c r="DZ243" s="51"/>
      <c r="EA243" s="51"/>
      <c r="EB243" s="51"/>
      <c r="EC243" s="51"/>
      <c r="ED243" s="51"/>
      <c r="EE243" s="51"/>
      <c r="EF243" s="51"/>
      <c r="EG243" s="51"/>
      <c r="EH243" s="51"/>
      <c r="EI243" s="51"/>
      <c r="EJ243" s="51"/>
      <c r="EK243" s="51"/>
    </row>
    <row r="244" spans="1:141" s="52" customFormat="1" x14ac:dyDescent="0.2">
      <c r="A244" s="78"/>
      <c r="B244" s="42"/>
      <c r="C244" s="42"/>
      <c r="D244" s="44"/>
      <c r="E244" s="53"/>
      <c r="F244" s="45"/>
      <c r="G244" s="44"/>
      <c r="H244" s="44"/>
      <c r="I244" s="44"/>
      <c r="J244" s="46"/>
      <c r="K244" s="47"/>
      <c r="L244" s="44"/>
      <c r="M244" s="44"/>
      <c r="N244" s="43"/>
      <c r="O244" s="44"/>
      <c r="P244" s="48"/>
      <c r="Q244" s="48"/>
      <c r="R244" s="48"/>
      <c r="S244" s="48"/>
      <c r="T244" s="49"/>
      <c r="U244" s="48"/>
      <c r="V244" s="48"/>
      <c r="W244" s="48"/>
      <c r="X244" s="50"/>
      <c r="Y244" s="48"/>
      <c r="Z244" s="48"/>
      <c r="AA244" s="48"/>
      <c r="AB244" s="50"/>
      <c r="AC244" s="48"/>
      <c r="AD244" s="48"/>
      <c r="AE244" s="49"/>
      <c r="AF244" s="49"/>
      <c r="AG244" s="48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  <c r="DR244" s="51"/>
      <c r="DS244" s="51"/>
      <c r="DT244" s="51"/>
      <c r="DU244" s="51"/>
      <c r="DV244" s="51"/>
      <c r="DW244" s="51"/>
      <c r="DX244" s="51"/>
      <c r="DY244" s="51"/>
      <c r="DZ244" s="51"/>
      <c r="EA244" s="51"/>
      <c r="EB244" s="51"/>
      <c r="EC244" s="51"/>
      <c r="ED244" s="51"/>
      <c r="EE244" s="51"/>
      <c r="EF244" s="51"/>
      <c r="EG244" s="51"/>
      <c r="EH244" s="51"/>
      <c r="EI244" s="51"/>
      <c r="EJ244" s="51"/>
      <c r="EK244" s="51"/>
    </row>
    <row r="245" spans="1:141" s="52" customFormat="1" x14ac:dyDescent="0.2">
      <c r="A245" s="78"/>
      <c r="B245" s="42"/>
      <c r="C245" s="42"/>
      <c r="D245" s="44"/>
      <c r="E245" s="53"/>
      <c r="F245" s="45"/>
      <c r="G245" s="44"/>
      <c r="H245" s="44"/>
      <c r="I245" s="44"/>
      <c r="J245" s="46"/>
      <c r="K245" s="47"/>
      <c r="L245" s="44"/>
      <c r="M245" s="44"/>
      <c r="N245" s="43"/>
      <c r="O245" s="44"/>
      <c r="P245" s="48"/>
      <c r="Q245" s="48"/>
      <c r="R245" s="48"/>
      <c r="S245" s="48"/>
      <c r="T245" s="49"/>
      <c r="U245" s="48"/>
      <c r="V245" s="48"/>
      <c r="W245" s="48"/>
      <c r="X245" s="50"/>
      <c r="Y245" s="48"/>
      <c r="Z245" s="54"/>
      <c r="AA245" s="48"/>
      <c r="AB245" s="50"/>
      <c r="AC245" s="48"/>
      <c r="AD245" s="48"/>
      <c r="AE245" s="49"/>
      <c r="AF245" s="49"/>
      <c r="AG245" s="48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  <c r="DR245" s="51"/>
      <c r="DS245" s="51"/>
      <c r="DT245" s="51"/>
      <c r="DU245" s="51"/>
      <c r="DV245" s="51"/>
      <c r="DW245" s="51"/>
      <c r="DX245" s="51"/>
      <c r="DY245" s="51"/>
      <c r="DZ245" s="51"/>
      <c r="EA245" s="51"/>
      <c r="EB245" s="51"/>
      <c r="EC245" s="51"/>
      <c r="ED245" s="51"/>
      <c r="EE245" s="51"/>
      <c r="EF245" s="51"/>
      <c r="EG245" s="51"/>
      <c r="EH245" s="51"/>
      <c r="EI245" s="51"/>
      <c r="EJ245" s="51"/>
      <c r="EK245" s="51"/>
    </row>
    <row r="246" spans="1:141" s="52" customFormat="1" x14ac:dyDescent="0.2">
      <c r="A246" s="78"/>
      <c r="B246" s="42"/>
      <c r="C246" s="42"/>
      <c r="D246" s="44"/>
      <c r="E246" s="53"/>
      <c r="F246" s="45"/>
      <c r="G246" s="44"/>
      <c r="H246" s="44"/>
      <c r="I246" s="44"/>
      <c r="J246" s="46"/>
      <c r="K246" s="47"/>
      <c r="L246" s="44"/>
      <c r="M246" s="44"/>
      <c r="N246" s="43"/>
      <c r="O246" s="44"/>
      <c r="P246" s="48"/>
      <c r="Q246" s="48"/>
      <c r="R246" s="48"/>
      <c r="S246" s="48"/>
      <c r="T246" s="49"/>
      <c r="U246" s="48"/>
      <c r="V246" s="48"/>
      <c r="W246" s="48"/>
      <c r="X246" s="48"/>
      <c r="Y246" s="48"/>
      <c r="Z246" s="50"/>
      <c r="AA246" s="48"/>
      <c r="AB246" s="48"/>
      <c r="AC246" s="48"/>
      <c r="AD246" s="48"/>
      <c r="AE246" s="49"/>
      <c r="AF246" s="49"/>
      <c r="AG246" s="48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  <c r="DR246" s="51"/>
      <c r="DS246" s="51"/>
      <c r="DT246" s="51"/>
      <c r="DU246" s="51"/>
      <c r="DV246" s="51"/>
      <c r="DW246" s="51"/>
      <c r="DX246" s="51"/>
      <c r="DY246" s="51"/>
      <c r="DZ246" s="51"/>
      <c r="EA246" s="51"/>
      <c r="EB246" s="51"/>
      <c r="EC246" s="51"/>
      <c r="ED246" s="51"/>
      <c r="EE246" s="51"/>
      <c r="EF246" s="51"/>
      <c r="EG246" s="51"/>
      <c r="EH246" s="51"/>
      <c r="EI246" s="51"/>
      <c r="EJ246" s="51"/>
      <c r="EK246" s="51"/>
    </row>
    <row r="247" spans="1:141" s="52" customFormat="1" x14ac:dyDescent="0.2">
      <c r="A247" s="78"/>
      <c r="B247" s="42"/>
      <c r="C247" s="42"/>
      <c r="D247" s="44"/>
      <c r="E247" s="53"/>
      <c r="F247" s="45"/>
      <c r="G247" s="44"/>
      <c r="H247" s="44"/>
      <c r="I247" s="44"/>
      <c r="J247" s="46"/>
      <c r="K247" s="47"/>
      <c r="L247" s="44"/>
      <c r="M247" s="44"/>
      <c r="N247" s="43"/>
      <c r="O247" s="44"/>
      <c r="P247" s="48"/>
      <c r="Q247" s="48"/>
      <c r="R247" s="48"/>
      <c r="S247" s="48"/>
      <c r="T247" s="49"/>
      <c r="U247" s="48"/>
      <c r="V247" s="48"/>
      <c r="W247" s="48"/>
      <c r="X247" s="54"/>
      <c r="Y247" s="48"/>
      <c r="Z247" s="50"/>
      <c r="AA247" s="48"/>
      <c r="AB247" s="54"/>
      <c r="AC247" s="48"/>
      <c r="AD247" s="48"/>
      <c r="AE247" s="49"/>
      <c r="AF247" s="49"/>
      <c r="AG247" s="48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  <c r="DR247" s="51"/>
      <c r="DS247" s="51"/>
      <c r="DT247" s="51"/>
      <c r="DU247" s="51"/>
      <c r="DV247" s="51"/>
      <c r="DW247" s="51"/>
      <c r="DX247" s="51"/>
      <c r="DY247" s="51"/>
      <c r="DZ247" s="51"/>
      <c r="EA247" s="51"/>
      <c r="EB247" s="51"/>
      <c r="EC247" s="51"/>
      <c r="ED247" s="51"/>
      <c r="EE247" s="51"/>
      <c r="EF247" s="51"/>
      <c r="EG247" s="51"/>
      <c r="EH247" s="51"/>
      <c r="EI247" s="51"/>
      <c r="EJ247" s="51"/>
      <c r="EK247" s="51"/>
    </row>
    <row r="248" spans="1:141" s="52" customFormat="1" x14ac:dyDescent="0.2">
      <c r="A248" s="78"/>
      <c r="B248" s="42"/>
      <c r="C248" s="42"/>
      <c r="D248" s="44"/>
      <c r="E248" s="53"/>
      <c r="F248" s="45"/>
      <c r="G248" s="44"/>
      <c r="H248" s="55"/>
      <c r="I248" s="55"/>
      <c r="J248" s="46"/>
      <c r="K248" s="47"/>
      <c r="L248" s="44"/>
      <c r="M248" s="44"/>
      <c r="N248" s="43"/>
      <c r="O248" s="44"/>
      <c r="P248" s="48"/>
      <c r="Q248" s="48"/>
      <c r="R248" s="48"/>
      <c r="S248" s="48"/>
      <c r="T248" s="49"/>
      <c r="U248" s="48"/>
      <c r="V248" s="48"/>
      <c r="W248" s="48"/>
      <c r="X248" s="50"/>
      <c r="Y248" s="48"/>
      <c r="Z248" s="48"/>
      <c r="AA248" s="48"/>
      <c r="AB248" s="50"/>
      <c r="AC248" s="48"/>
      <c r="AD248" s="48"/>
      <c r="AE248" s="49"/>
      <c r="AF248" s="49"/>
      <c r="AG248" s="48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  <c r="DR248" s="51"/>
      <c r="DS248" s="51"/>
      <c r="DT248" s="51"/>
      <c r="DU248" s="51"/>
      <c r="DV248" s="51"/>
      <c r="DW248" s="51"/>
      <c r="DX248" s="51"/>
      <c r="DY248" s="51"/>
      <c r="DZ248" s="51"/>
      <c r="EA248" s="51"/>
      <c r="EB248" s="51"/>
      <c r="EC248" s="51"/>
      <c r="ED248" s="51"/>
      <c r="EE248" s="51"/>
      <c r="EF248" s="51"/>
      <c r="EG248" s="51"/>
      <c r="EH248" s="51"/>
      <c r="EI248" s="51"/>
      <c r="EJ248" s="51"/>
      <c r="EK248" s="51"/>
    </row>
    <row r="249" spans="1:141" s="52" customFormat="1" x14ac:dyDescent="0.2">
      <c r="A249" s="78"/>
      <c r="B249" s="42"/>
      <c r="C249" s="42"/>
      <c r="D249" s="44"/>
      <c r="E249" s="45"/>
      <c r="F249" s="45"/>
      <c r="G249" s="44"/>
      <c r="H249" s="44"/>
      <c r="I249" s="44"/>
      <c r="J249" s="46"/>
      <c r="K249" s="47"/>
      <c r="L249" s="44"/>
      <c r="M249" s="44"/>
      <c r="N249" s="43"/>
      <c r="O249" s="44"/>
      <c r="P249" s="48"/>
      <c r="Q249" s="48"/>
      <c r="R249" s="48"/>
      <c r="S249" s="48"/>
      <c r="T249" s="49"/>
      <c r="U249" s="48"/>
      <c r="V249" s="48"/>
      <c r="W249" s="48"/>
      <c r="X249" s="50"/>
      <c r="Y249" s="48"/>
      <c r="Z249" s="54"/>
      <c r="AA249" s="48"/>
      <c r="AB249" s="50"/>
      <c r="AC249" s="48"/>
      <c r="AD249" s="54"/>
      <c r="AE249" s="49"/>
      <c r="AF249" s="49"/>
      <c r="AG249" s="48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  <c r="DR249" s="51"/>
      <c r="DS249" s="51"/>
      <c r="DT249" s="51"/>
      <c r="DU249" s="51"/>
      <c r="DV249" s="51"/>
      <c r="DW249" s="51"/>
      <c r="DX249" s="51"/>
      <c r="DY249" s="51"/>
      <c r="DZ249" s="51"/>
      <c r="EA249" s="51"/>
      <c r="EB249" s="51"/>
      <c r="EC249" s="51"/>
      <c r="ED249" s="51"/>
      <c r="EE249" s="51"/>
      <c r="EF249" s="51"/>
      <c r="EG249" s="51"/>
      <c r="EH249" s="51"/>
      <c r="EI249" s="51"/>
      <c r="EJ249" s="51"/>
      <c r="EK249" s="51"/>
    </row>
    <row r="250" spans="1:141" s="52" customFormat="1" x14ac:dyDescent="0.2">
      <c r="A250" s="78"/>
      <c r="B250" s="42"/>
      <c r="C250" s="42"/>
      <c r="D250" s="44"/>
      <c r="E250" s="45"/>
      <c r="F250" s="45"/>
      <c r="G250" s="44"/>
      <c r="H250" s="44"/>
      <c r="I250" s="44"/>
      <c r="J250" s="46"/>
      <c r="K250" s="47"/>
      <c r="L250" s="44"/>
      <c r="M250" s="44"/>
      <c r="N250" s="43"/>
      <c r="O250" s="44"/>
      <c r="P250" s="48"/>
      <c r="Q250" s="48"/>
      <c r="R250" s="48"/>
      <c r="S250" s="48"/>
      <c r="T250" s="49"/>
      <c r="U250" s="48"/>
      <c r="V250" s="48"/>
      <c r="W250" s="48"/>
      <c r="X250" s="50"/>
      <c r="Y250" s="48"/>
      <c r="Z250" s="50"/>
      <c r="AA250" s="48"/>
      <c r="AB250" s="48"/>
      <c r="AC250" s="48"/>
      <c r="AD250" s="50"/>
      <c r="AE250" s="49"/>
      <c r="AF250" s="49"/>
      <c r="AG250" s="48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  <c r="DR250" s="51"/>
      <c r="DS250" s="51"/>
      <c r="DT250" s="51"/>
      <c r="DU250" s="51"/>
      <c r="DV250" s="51"/>
      <c r="DW250" s="51"/>
      <c r="DX250" s="51"/>
      <c r="DY250" s="51"/>
      <c r="DZ250" s="51"/>
      <c r="EA250" s="51"/>
      <c r="EB250" s="51"/>
      <c r="EC250" s="51"/>
      <c r="ED250" s="51"/>
      <c r="EE250" s="51"/>
      <c r="EF250" s="51"/>
      <c r="EG250" s="51"/>
      <c r="EH250" s="51"/>
      <c r="EI250" s="51"/>
      <c r="EJ250" s="51"/>
      <c r="EK250" s="51"/>
    </row>
    <row r="251" spans="1:141" s="52" customFormat="1" x14ac:dyDescent="0.2">
      <c r="A251" s="78"/>
      <c r="B251" s="42"/>
      <c r="C251" s="42"/>
      <c r="D251" s="44"/>
      <c r="E251" s="45"/>
      <c r="F251" s="45"/>
      <c r="G251" s="44"/>
      <c r="H251" s="44"/>
      <c r="I251" s="44"/>
      <c r="J251" s="46"/>
      <c r="K251" s="47"/>
      <c r="L251" s="44"/>
      <c r="M251" s="44"/>
      <c r="N251" s="43"/>
      <c r="O251" s="44"/>
      <c r="P251" s="48"/>
      <c r="Q251" s="48"/>
      <c r="R251" s="48"/>
      <c r="S251" s="48"/>
      <c r="T251" s="49"/>
      <c r="U251" s="48"/>
      <c r="V251" s="48"/>
      <c r="W251" s="48"/>
      <c r="X251" s="50"/>
      <c r="Y251" s="48"/>
      <c r="Z251" s="50"/>
      <c r="AA251" s="48"/>
      <c r="AB251" s="54"/>
      <c r="AC251" s="48"/>
      <c r="AD251" s="50"/>
      <c r="AE251" s="49"/>
      <c r="AF251" s="49"/>
      <c r="AG251" s="48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  <c r="DR251" s="51"/>
      <c r="DS251" s="51"/>
      <c r="DT251" s="51"/>
      <c r="DU251" s="51"/>
      <c r="DV251" s="51"/>
      <c r="DW251" s="51"/>
      <c r="DX251" s="51"/>
      <c r="DY251" s="51"/>
      <c r="DZ251" s="51"/>
      <c r="EA251" s="51"/>
      <c r="EB251" s="51"/>
      <c r="EC251" s="51"/>
      <c r="ED251" s="51"/>
      <c r="EE251" s="51"/>
      <c r="EF251" s="51"/>
      <c r="EG251" s="51"/>
      <c r="EH251" s="51"/>
      <c r="EI251" s="51"/>
      <c r="EJ251" s="51"/>
      <c r="EK251" s="51"/>
    </row>
    <row r="252" spans="1:141" s="52" customFormat="1" x14ac:dyDescent="0.2">
      <c r="A252" s="78"/>
      <c r="B252" s="42"/>
      <c r="C252" s="42"/>
      <c r="D252" s="44"/>
      <c r="E252" s="45"/>
      <c r="F252" s="45"/>
      <c r="G252" s="44"/>
      <c r="H252" s="44"/>
      <c r="I252" s="44"/>
      <c r="J252" s="46"/>
      <c r="K252" s="47"/>
      <c r="L252" s="44"/>
      <c r="M252" s="44"/>
      <c r="N252" s="43"/>
      <c r="O252" s="44"/>
      <c r="P252" s="48"/>
      <c r="Q252" s="48"/>
      <c r="R252" s="48"/>
      <c r="S252" s="48"/>
      <c r="T252" s="49"/>
      <c r="U252" s="48"/>
      <c r="V252" s="48"/>
      <c r="W252" s="48"/>
      <c r="X252" s="48"/>
      <c r="Y252" s="48"/>
      <c r="Z252" s="50"/>
      <c r="AA252" s="48"/>
      <c r="AB252" s="50"/>
      <c r="AC252" s="48"/>
      <c r="AD252" s="50"/>
      <c r="AE252" s="49"/>
      <c r="AF252" s="49"/>
      <c r="AG252" s="48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  <c r="DR252" s="51"/>
      <c r="DS252" s="51"/>
      <c r="DT252" s="51"/>
      <c r="DU252" s="51"/>
      <c r="DV252" s="51"/>
      <c r="DW252" s="51"/>
      <c r="DX252" s="51"/>
      <c r="DY252" s="51"/>
      <c r="DZ252" s="51"/>
      <c r="EA252" s="51"/>
      <c r="EB252" s="51"/>
      <c r="EC252" s="51"/>
      <c r="ED252" s="51"/>
      <c r="EE252" s="51"/>
      <c r="EF252" s="51"/>
      <c r="EG252" s="51"/>
      <c r="EH252" s="51"/>
      <c r="EI252" s="51"/>
      <c r="EJ252" s="51"/>
      <c r="EK252" s="51"/>
    </row>
    <row r="253" spans="1:141" s="52" customFormat="1" x14ac:dyDescent="0.2">
      <c r="A253" s="78"/>
      <c r="B253" s="42"/>
      <c r="C253" s="42"/>
      <c r="D253" s="44"/>
      <c r="E253" s="45"/>
      <c r="F253" s="45"/>
      <c r="G253" s="44"/>
      <c r="H253" s="44"/>
      <c r="I253" s="44"/>
      <c r="J253" s="47"/>
      <c r="K253" s="47"/>
      <c r="L253" s="44"/>
      <c r="M253" s="44"/>
      <c r="N253" s="43"/>
      <c r="O253" s="44"/>
      <c r="P253" s="48"/>
      <c r="Q253" s="48"/>
      <c r="R253" s="48"/>
      <c r="S253" s="48"/>
      <c r="T253" s="49"/>
      <c r="U253" s="48"/>
      <c r="V253" s="48"/>
      <c r="W253" s="48"/>
      <c r="X253" s="54"/>
      <c r="Y253" s="48"/>
      <c r="Z253" s="50"/>
      <c r="AA253" s="48"/>
      <c r="AB253" s="50"/>
      <c r="AC253" s="48"/>
      <c r="AD253" s="50"/>
      <c r="AE253" s="49"/>
      <c r="AF253" s="49"/>
      <c r="AG253" s="48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  <c r="DR253" s="51"/>
      <c r="DS253" s="51"/>
      <c r="DT253" s="51"/>
      <c r="DU253" s="51"/>
      <c r="DV253" s="51"/>
      <c r="DW253" s="51"/>
      <c r="DX253" s="51"/>
      <c r="DY253" s="51"/>
      <c r="DZ253" s="51"/>
      <c r="EA253" s="51"/>
      <c r="EB253" s="51"/>
      <c r="EC253" s="51"/>
      <c r="ED253" s="51"/>
      <c r="EE253" s="51"/>
      <c r="EF253" s="51"/>
      <c r="EG253" s="51"/>
      <c r="EH253" s="51"/>
      <c r="EI253" s="51"/>
      <c r="EJ253" s="51"/>
      <c r="EK253" s="51"/>
    </row>
    <row r="254" spans="1:141" s="52" customFormat="1" x14ac:dyDescent="0.2">
      <c r="A254" s="78"/>
      <c r="B254" s="42"/>
      <c r="C254" s="42"/>
      <c r="D254" s="44"/>
      <c r="E254" s="45"/>
      <c r="F254" s="45"/>
      <c r="G254" s="44"/>
      <c r="H254" s="44"/>
      <c r="I254" s="44"/>
      <c r="J254" s="47"/>
      <c r="K254" s="47"/>
      <c r="L254" s="44"/>
      <c r="M254" s="44"/>
      <c r="N254" s="43"/>
      <c r="O254" s="44"/>
      <c r="P254" s="48"/>
      <c r="Q254" s="48"/>
      <c r="R254" s="48"/>
      <c r="S254" s="48"/>
      <c r="T254" s="49"/>
      <c r="U254" s="48"/>
      <c r="V254" s="48"/>
      <c r="W254" s="48"/>
      <c r="X254" s="50"/>
      <c r="Y254" s="48"/>
      <c r="Z254" s="50"/>
      <c r="AA254" s="48"/>
      <c r="AB254" s="48"/>
      <c r="AC254" s="48"/>
      <c r="AD254" s="50"/>
      <c r="AE254" s="49"/>
      <c r="AF254" s="49"/>
      <c r="AG254" s="48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  <c r="DR254" s="51"/>
      <c r="DS254" s="51"/>
      <c r="DT254" s="51"/>
      <c r="DU254" s="51"/>
      <c r="DV254" s="51"/>
      <c r="DW254" s="51"/>
      <c r="DX254" s="51"/>
      <c r="DY254" s="51"/>
      <c r="DZ254" s="51"/>
      <c r="EA254" s="51"/>
      <c r="EB254" s="51"/>
      <c r="EC254" s="51"/>
      <c r="ED254" s="51"/>
      <c r="EE254" s="51"/>
      <c r="EF254" s="51"/>
      <c r="EG254" s="51"/>
      <c r="EH254" s="51"/>
      <c r="EI254" s="51"/>
      <c r="EJ254" s="51"/>
      <c r="EK254" s="51"/>
    </row>
    <row r="255" spans="1:141" s="52" customFormat="1" x14ac:dyDescent="0.2">
      <c r="A255" s="78"/>
      <c r="B255" s="42"/>
      <c r="C255" s="42"/>
      <c r="D255" s="44"/>
      <c r="E255" s="45"/>
      <c r="F255" s="45"/>
      <c r="G255" s="44"/>
      <c r="H255" s="44"/>
      <c r="I255" s="44"/>
      <c r="J255" s="47"/>
      <c r="K255" s="47"/>
      <c r="L255" s="44"/>
      <c r="M255" s="44"/>
      <c r="N255" s="43"/>
      <c r="O255" s="44"/>
      <c r="P255" s="48"/>
      <c r="Q255" s="48"/>
      <c r="R255" s="48"/>
      <c r="S255" s="48"/>
      <c r="T255" s="49"/>
      <c r="U255" s="48"/>
      <c r="V255" s="48"/>
      <c r="W255" s="48"/>
      <c r="X255" s="50"/>
      <c r="Y255" s="48"/>
      <c r="Z255" s="50"/>
      <c r="AA255" s="48"/>
      <c r="AB255" s="54"/>
      <c r="AC255" s="48"/>
      <c r="AD255" s="50"/>
      <c r="AE255" s="49"/>
      <c r="AF255" s="49"/>
      <c r="AG255" s="48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  <c r="DS255" s="51"/>
      <c r="DT255" s="51"/>
      <c r="DU255" s="51"/>
      <c r="DV255" s="51"/>
      <c r="DW255" s="51"/>
      <c r="DX255" s="51"/>
      <c r="DY255" s="51"/>
      <c r="DZ255" s="51"/>
      <c r="EA255" s="51"/>
      <c r="EB255" s="51"/>
      <c r="EC255" s="51"/>
      <c r="ED255" s="51"/>
      <c r="EE255" s="51"/>
      <c r="EF255" s="51"/>
      <c r="EG255" s="51"/>
      <c r="EH255" s="51"/>
      <c r="EI255" s="51"/>
      <c r="EJ255" s="51"/>
      <c r="EK255" s="51"/>
    </row>
    <row r="256" spans="1:141" s="52" customFormat="1" x14ac:dyDescent="0.2">
      <c r="A256" s="78"/>
      <c r="B256" s="42"/>
      <c r="C256" s="42"/>
      <c r="D256" s="44"/>
      <c r="E256" s="45"/>
      <c r="F256" s="45"/>
      <c r="G256" s="44"/>
      <c r="H256" s="44"/>
      <c r="I256" s="44"/>
      <c r="J256" s="47"/>
      <c r="K256" s="47"/>
      <c r="L256" s="44"/>
      <c r="M256" s="44"/>
      <c r="N256" s="43"/>
      <c r="O256" s="44"/>
      <c r="P256" s="48"/>
      <c r="Q256" s="48"/>
      <c r="R256" s="48"/>
      <c r="S256" s="48"/>
      <c r="T256" s="49"/>
      <c r="U256" s="48"/>
      <c r="V256" s="48"/>
      <c r="W256" s="48"/>
      <c r="X256" s="50"/>
      <c r="Y256" s="48"/>
      <c r="Z256" s="50"/>
      <c r="AA256" s="48"/>
      <c r="AB256" s="50"/>
      <c r="AC256" s="48"/>
      <c r="AD256" s="50"/>
      <c r="AE256" s="49"/>
      <c r="AF256" s="49"/>
      <c r="AG256" s="48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  <c r="DR256" s="51"/>
      <c r="DS256" s="51"/>
      <c r="DT256" s="51"/>
      <c r="DU256" s="51"/>
      <c r="DV256" s="51"/>
      <c r="DW256" s="51"/>
      <c r="DX256" s="51"/>
      <c r="DY256" s="51"/>
      <c r="DZ256" s="51"/>
      <c r="EA256" s="51"/>
      <c r="EB256" s="51"/>
      <c r="EC256" s="51"/>
      <c r="ED256" s="51"/>
      <c r="EE256" s="51"/>
      <c r="EF256" s="51"/>
      <c r="EG256" s="51"/>
      <c r="EH256" s="51"/>
      <c r="EI256" s="51"/>
      <c r="EJ256" s="51"/>
      <c r="EK256" s="51"/>
    </row>
    <row r="257" spans="1:141" s="52" customFormat="1" x14ac:dyDescent="0.2">
      <c r="A257" s="78"/>
      <c r="B257" s="42"/>
      <c r="C257" s="42"/>
      <c r="D257" s="44"/>
      <c r="E257" s="45"/>
      <c r="F257" s="45"/>
      <c r="G257" s="44"/>
      <c r="H257" s="44"/>
      <c r="I257" s="44"/>
      <c r="J257" s="47"/>
      <c r="K257" s="47"/>
      <c r="L257" s="44"/>
      <c r="M257" s="44"/>
      <c r="N257" s="43"/>
      <c r="O257" s="44"/>
      <c r="P257" s="48"/>
      <c r="Q257" s="48"/>
      <c r="R257" s="48"/>
      <c r="S257" s="48"/>
      <c r="T257" s="49"/>
      <c r="U257" s="48"/>
      <c r="V257" s="48"/>
      <c r="W257" s="48"/>
      <c r="X257" s="50"/>
      <c r="Y257" s="48"/>
      <c r="Z257" s="50"/>
      <c r="AA257" s="48"/>
      <c r="AB257" s="50"/>
      <c r="AC257" s="48"/>
      <c r="AD257" s="50"/>
      <c r="AE257" s="49"/>
      <c r="AF257" s="49"/>
      <c r="AG257" s="48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  <c r="DR257" s="51"/>
      <c r="DS257" s="51"/>
      <c r="DT257" s="51"/>
      <c r="DU257" s="51"/>
      <c r="DV257" s="51"/>
      <c r="DW257" s="51"/>
      <c r="DX257" s="51"/>
      <c r="DY257" s="51"/>
      <c r="DZ257" s="51"/>
      <c r="EA257" s="51"/>
      <c r="EB257" s="51"/>
      <c r="EC257" s="51"/>
      <c r="ED257" s="51"/>
      <c r="EE257" s="51"/>
      <c r="EF257" s="51"/>
      <c r="EG257" s="51"/>
      <c r="EH257" s="51"/>
      <c r="EI257" s="51"/>
      <c r="EJ257" s="51"/>
      <c r="EK257" s="51"/>
    </row>
    <row r="258" spans="1:141" s="52" customFormat="1" x14ac:dyDescent="0.2">
      <c r="A258" s="78"/>
      <c r="B258" s="42"/>
      <c r="C258" s="42"/>
      <c r="D258" s="44"/>
      <c r="E258" s="45"/>
      <c r="F258" s="45"/>
      <c r="G258" s="44"/>
      <c r="H258" s="44"/>
      <c r="I258" s="44"/>
      <c r="J258" s="47"/>
      <c r="K258" s="47"/>
      <c r="L258" s="44"/>
      <c r="M258" s="44"/>
      <c r="N258" s="43"/>
      <c r="O258" s="44"/>
      <c r="P258" s="48"/>
      <c r="Q258" s="48"/>
      <c r="R258" s="48"/>
      <c r="S258" s="48"/>
      <c r="T258" s="49"/>
      <c r="U258" s="48"/>
      <c r="V258" s="48"/>
      <c r="W258" s="48"/>
      <c r="X258" s="50"/>
      <c r="Y258" s="48"/>
      <c r="Z258" s="50"/>
      <c r="AA258" s="48"/>
      <c r="AB258" s="50"/>
      <c r="AC258" s="48"/>
      <c r="AD258" s="50"/>
      <c r="AE258" s="49"/>
      <c r="AF258" s="49"/>
      <c r="AG258" s="48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  <c r="DR258" s="51"/>
      <c r="DS258" s="51"/>
      <c r="DT258" s="51"/>
      <c r="DU258" s="51"/>
      <c r="DV258" s="51"/>
      <c r="DW258" s="51"/>
      <c r="DX258" s="51"/>
      <c r="DY258" s="51"/>
      <c r="DZ258" s="51"/>
      <c r="EA258" s="51"/>
      <c r="EB258" s="51"/>
      <c r="EC258" s="51"/>
      <c r="ED258" s="51"/>
      <c r="EE258" s="51"/>
      <c r="EF258" s="51"/>
      <c r="EG258" s="51"/>
      <c r="EH258" s="51"/>
      <c r="EI258" s="51"/>
      <c r="EJ258" s="51"/>
      <c r="EK258" s="51"/>
    </row>
    <row r="259" spans="1:141" s="52" customFormat="1" x14ac:dyDescent="0.2">
      <c r="A259" s="78"/>
      <c r="B259" s="42"/>
      <c r="C259" s="42"/>
      <c r="D259" s="44"/>
      <c r="E259" s="45"/>
      <c r="F259" s="45"/>
      <c r="G259" s="44"/>
      <c r="H259" s="44"/>
      <c r="I259" s="44"/>
      <c r="J259" s="47"/>
      <c r="K259" s="47"/>
      <c r="L259" s="44"/>
      <c r="M259" s="44"/>
      <c r="N259" s="43"/>
      <c r="O259" s="44"/>
      <c r="P259" s="48"/>
      <c r="Q259" s="48"/>
      <c r="R259" s="48"/>
      <c r="S259" s="48"/>
      <c r="T259" s="49"/>
      <c r="U259" s="48"/>
      <c r="V259" s="48"/>
      <c r="W259" s="48"/>
      <c r="X259" s="50"/>
      <c r="Y259" s="48"/>
      <c r="Z259" s="50"/>
      <c r="AA259" s="48"/>
      <c r="AB259" s="50"/>
      <c r="AC259" s="48"/>
      <c r="AD259" s="50"/>
      <c r="AE259" s="49"/>
      <c r="AF259" s="49"/>
      <c r="AG259" s="48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  <c r="DR259" s="51"/>
      <c r="DS259" s="51"/>
      <c r="DT259" s="51"/>
      <c r="DU259" s="51"/>
      <c r="DV259" s="51"/>
      <c r="DW259" s="51"/>
      <c r="DX259" s="51"/>
      <c r="DY259" s="51"/>
      <c r="DZ259" s="51"/>
      <c r="EA259" s="51"/>
      <c r="EB259" s="51"/>
      <c r="EC259" s="51"/>
      <c r="ED259" s="51"/>
      <c r="EE259" s="51"/>
      <c r="EF259" s="51"/>
      <c r="EG259" s="51"/>
      <c r="EH259" s="51"/>
      <c r="EI259" s="51"/>
      <c r="EJ259" s="51"/>
      <c r="EK259" s="51"/>
    </row>
    <row r="260" spans="1:141" s="52" customFormat="1" x14ac:dyDescent="0.2">
      <c r="A260" s="78"/>
      <c r="B260" s="42"/>
      <c r="C260" s="42"/>
      <c r="D260" s="44"/>
      <c r="E260" s="45"/>
      <c r="F260" s="45"/>
      <c r="G260" s="44"/>
      <c r="H260" s="44"/>
      <c r="I260" s="44"/>
      <c r="J260" s="47"/>
      <c r="K260" s="47"/>
      <c r="L260" s="44"/>
      <c r="M260" s="44"/>
      <c r="N260" s="43"/>
      <c r="O260" s="44"/>
      <c r="P260" s="48"/>
      <c r="Q260" s="48"/>
      <c r="R260" s="48"/>
      <c r="S260" s="48"/>
      <c r="T260" s="49"/>
      <c r="U260" s="48"/>
      <c r="V260" s="48"/>
      <c r="W260" s="48"/>
      <c r="X260" s="50"/>
      <c r="Y260" s="48"/>
      <c r="Z260" s="50"/>
      <c r="AA260" s="48"/>
      <c r="AB260" s="50"/>
      <c r="AC260" s="48"/>
      <c r="AD260" s="50"/>
      <c r="AE260" s="49"/>
      <c r="AF260" s="49"/>
      <c r="AG260" s="48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  <c r="DR260" s="51"/>
      <c r="DS260" s="51"/>
      <c r="DT260" s="51"/>
      <c r="DU260" s="51"/>
      <c r="DV260" s="51"/>
      <c r="DW260" s="51"/>
      <c r="DX260" s="51"/>
      <c r="DY260" s="51"/>
      <c r="DZ260" s="51"/>
      <c r="EA260" s="51"/>
      <c r="EB260" s="51"/>
      <c r="EC260" s="51"/>
      <c r="ED260" s="51"/>
      <c r="EE260" s="51"/>
      <c r="EF260" s="51"/>
      <c r="EG260" s="51"/>
      <c r="EH260" s="51"/>
      <c r="EI260" s="51"/>
      <c r="EJ260" s="51"/>
      <c r="EK260" s="51"/>
    </row>
    <row r="261" spans="1:141" s="52" customFormat="1" x14ac:dyDescent="0.2">
      <c r="A261" s="78"/>
      <c r="B261" s="42"/>
      <c r="C261" s="42"/>
      <c r="D261" s="44"/>
      <c r="E261" s="45"/>
      <c r="F261" s="45"/>
      <c r="G261" s="44"/>
      <c r="H261" s="44"/>
      <c r="I261" s="44"/>
      <c r="J261" s="47"/>
      <c r="K261" s="47"/>
      <c r="L261" s="44"/>
      <c r="M261" s="44"/>
      <c r="N261" s="43"/>
      <c r="O261" s="44"/>
      <c r="P261" s="48"/>
      <c r="Q261" s="48"/>
      <c r="R261" s="48"/>
      <c r="S261" s="48"/>
      <c r="T261" s="49"/>
      <c r="U261" s="48"/>
      <c r="V261" s="48"/>
      <c r="W261" s="48"/>
      <c r="X261" s="50"/>
      <c r="Y261" s="48"/>
      <c r="Z261" s="50"/>
      <c r="AA261" s="48"/>
      <c r="AB261" s="50"/>
      <c r="AC261" s="48"/>
      <c r="AD261" s="50"/>
      <c r="AE261" s="49"/>
      <c r="AF261" s="49"/>
      <c r="AG261" s="48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  <c r="DR261" s="51"/>
      <c r="DS261" s="51"/>
      <c r="DT261" s="51"/>
      <c r="DU261" s="51"/>
      <c r="DV261" s="51"/>
      <c r="DW261" s="51"/>
      <c r="DX261" s="51"/>
      <c r="DY261" s="51"/>
      <c r="DZ261" s="51"/>
      <c r="EA261" s="51"/>
      <c r="EB261" s="51"/>
      <c r="EC261" s="51"/>
      <c r="ED261" s="51"/>
      <c r="EE261" s="51"/>
      <c r="EF261" s="51"/>
      <c r="EG261" s="51"/>
      <c r="EH261" s="51"/>
      <c r="EI261" s="51"/>
      <c r="EJ261" s="51"/>
      <c r="EK261" s="51"/>
    </row>
    <row r="262" spans="1:141" s="52" customFormat="1" x14ac:dyDescent="0.2">
      <c r="A262" s="78"/>
      <c r="B262" s="61"/>
      <c r="C262" s="61"/>
      <c r="D262" s="55"/>
      <c r="E262" s="53"/>
      <c r="F262" s="53"/>
      <c r="G262" s="55"/>
      <c r="H262" s="55"/>
      <c r="I262" s="55"/>
      <c r="J262" s="46"/>
      <c r="K262" s="46"/>
      <c r="L262" s="55"/>
      <c r="M262" s="55"/>
      <c r="N262" s="62"/>
      <c r="O262" s="55"/>
      <c r="P262" s="63"/>
      <c r="Q262" s="63"/>
      <c r="R262" s="63"/>
      <c r="S262" s="63"/>
      <c r="T262" s="64"/>
      <c r="U262" s="63"/>
      <c r="V262" s="63"/>
      <c r="W262" s="63"/>
      <c r="X262" s="50"/>
      <c r="Y262" s="63"/>
      <c r="Z262" s="50"/>
      <c r="AA262" s="63"/>
      <c r="AB262" s="50"/>
      <c r="AC262" s="63"/>
      <c r="AD262" s="50"/>
      <c r="AE262" s="64"/>
      <c r="AF262" s="64"/>
      <c r="AG262" s="63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  <c r="DR262" s="51"/>
      <c r="DS262" s="51"/>
      <c r="DT262" s="51"/>
      <c r="DU262" s="51"/>
      <c r="DV262" s="51"/>
      <c r="DW262" s="51"/>
      <c r="DX262" s="51"/>
      <c r="DY262" s="51"/>
      <c r="DZ262" s="51"/>
      <c r="EA262" s="51"/>
      <c r="EB262" s="51"/>
      <c r="EC262" s="51"/>
      <c r="ED262" s="51"/>
      <c r="EE262" s="51"/>
      <c r="EF262" s="51"/>
      <c r="EG262" s="51"/>
      <c r="EH262" s="51"/>
      <c r="EI262" s="51"/>
      <c r="EJ262" s="51"/>
      <c r="EK262" s="51"/>
    </row>
    <row r="263" spans="1:141" s="52" customFormat="1" x14ac:dyDescent="0.2">
      <c r="A263" s="78"/>
      <c r="B263" s="61"/>
      <c r="C263" s="61"/>
      <c r="D263" s="55"/>
      <c r="E263" s="53"/>
      <c r="F263" s="53"/>
      <c r="G263" s="55"/>
      <c r="H263" s="55"/>
      <c r="I263" s="55"/>
      <c r="J263" s="46"/>
      <c r="K263" s="46"/>
      <c r="L263" s="55"/>
      <c r="M263" s="55"/>
      <c r="N263" s="62"/>
      <c r="O263" s="55"/>
      <c r="P263" s="63"/>
      <c r="Q263" s="63"/>
      <c r="R263" s="63"/>
      <c r="S263" s="63"/>
      <c r="T263" s="64"/>
      <c r="U263" s="63"/>
      <c r="V263" s="63"/>
      <c r="W263" s="63"/>
      <c r="X263" s="50"/>
      <c r="Y263" s="63"/>
      <c r="Z263" s="50"/>
      <c r="AA263" s="63"/>
      <c r="AB263" s="50"/>
      <c r="AC263" s="65"/>
      <c r="AD263" s="50"/>
      <c r="AE263" s="64"/>
      <c r="AF263" s="64"/>
      <c r="AG263" s="63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  <c r="DR263" s="51"/>
      <c r="DS263" s="51"/>
      <c r="DT263" s="51"/>
      <c r="DU263" s="51"/>
      <c r="DV263" s="51"/>
      <c r="DW263" s="51"/>
      <c r="DX263" s="51"/>
      <c r="DY263" s="51"/>
      <c r="DZ263" s="51"/>
      <c r="EA263" s="51"/>
      <c r="EB263" s="51"/>
      <c r="EC263" s="51"/>
      <c r="ED263" s="51"/>
      <c r="EE263" s="51"/>
      <c r="EF263" s="51"/>
      <c r="EG263" s="51"/>
      <c r="EH263" s="51"/>
      <c r="EI263" s="51"/>
      <c r="EJ263" s="51"/>
      <c r="EK263" s="51"/>
    </row>
    <row r="264" spans="1:141" s="52" customFormat="1" x14ac:dyDescent="0.2">
      <c r="A264" s="79"/>
      <c r="B264" s="61"/>
      <c r="C264" s="61"/>
      <c r="D264" s="55"/>
      <c r="E264" s="53"/>
      <c r="F264" s="53"/>
      <c r="G264" s="55"/>
      <c r="H264" s="55"/>
      <c r="I264" s="55"/>
      <c r="J264" s="46"/>
      <c r="K264" s="46"/>
      <c r="L264" s="55"/>
      <c r="M264" s="55"/>
      <c r="N264" s="62"/>
      <c r="O264" s="55"/>
      <c r="P264" s="63"/>
      <c r="Q264" s="63"/>
      <c r="R264" s="63"/>
      <c r="S264" s="63"/>
      <c r="T264" s="64"/>
      <c r="U264" s="63"/>
      <c r="V264" s="63"/>
      <c r="W264" s="63"/>
      <c r="X264" s="63"/>
      <c r="Y264" s="63"/>
      <c r="Z264" s="50"/>
      <c r="AA264" s="63"/>
      <c r="AB264" s="50"/>
      <c r="AC264" s="50"/>
      <c r="AD264" s="50"/>
      <c r="AE264" s="64"/>
      <c r="AF264" s="64"/>
      <c r="AG264" s="63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  <c r="DR264" s="51"/>
      <c r="DS264" s="51"/>
      <c r="DT264" s="51"/>
      <c r="DU264" s="51"/>
      <c r="DV264" s="51"/>
      <c r="DW264" s="51"/>
      <c r="DX264" s="51"/>
      <c r="DY264" s="51"/>
      <c r="DZ264" s="51"/>
      <c r="EA264" s="51"/>
      <c r="EB264" s="51"/>
      <c r="EC264" s="51"/>
      <c r="ED264" s="51"/>
      <c r="EE264" s="51"/>
      <c r="EF264" s="51"/>
      <c r="EG264" s="51"/>
      <c r="EH264" s="51"/>
      <c r="EI264" s="51"/>
      <c r="EJ264" s="51"/>
      <c r="EK264" s="51"/>
    </row>
    <row r="265" spans="1:141" s="52" customFormat="1" x14ac:dyDescent="0.2">
      <c r="A265" s="79"/>
      <c r="B265" s="42"/>
      <c r="C265" s="42"/>
      <c r="D265" s="44"/>
      <c r="E265" s="45"/>
      <c r="F265" s="45"/>
      <c r="G265" s="44"/>
      <c r="H265" s="44"/>
      <c r="I265" s="44"/>
      <c r="J265" s="47"/>
      <c r="K265" s="47"/>
      <c r="L265" s="44"/>
      <c r="M265" s="44"/>
      <c r="N265" s="43"/>
      <c r="O265" s="44"/>
      <c r="P265" s="48"/>
      <c r="Q265" s="48"/>
      <c r="R265" s="48"/>
      <c r="S265" s="48"/>
      <c r="T265" s="49"/>
      <c r="U265" s="48"/>
      <c r="V265" s="48"/>
      <c r="W265" s="48"/>
      <c r="X265" s="54"/>
      <c r="Y265" s="48"/>
      <c r="Z265" s="50"/>
      <c r="AA265" s="48"/>
      <c r="AB265" s="50"/>
      <c r="AC265" s="50"/>
      <c r="AD265" s="50"/>
      <c r="AE265" s="49"/>
      <c r="AF265" s="49"/>
      <c r="AG265" s="48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  <c r="DR265" s="51"/>
      <c r="DS265" s="51"/>
      <c r="DT265" s="51"/>
      <c r="DU265" s="51"/>
      <c r="DV265" s="51"/>
      <c r="DW265" s="51"/>
      <c r="DX265" s="51"/>
      <c r="DY265" s="51"/>
      <c r="DZ265" s="51"/>
      <c r="EA265" s="51"/>
      <c r="EB265" s="51"/>
      <c r="EC265" s="51"/>
      <c r="ED265" s="51"/>
      <c r="EE265" s="51"/>
      <c r="EF265" s="51"/>
      <c r="EG265" s="51"/>
      <c r="EH265" s="51"/>
      <c r="EI265" s="51"/>
      <c r="EJ265" s="51"/>
      <c r="EK265" s="51"/>
    </row>
    <row r="266" spans="1:141" s="52" customFormat="1" x14ac:dyDescent="0.2">
      <c r="A266" s="79"/>
      <c r="B266" s="42"/>
      <c r="C266" s="42"/>
      <c r="D266" s="44"/>
      <c r="E266" s="45"/>
      <c r="F266" s="45"/>
      <c r="G266" s="44"/>
      <c r="H266" s="44"/>
      <c r="I266" s="44"/>
      <c r="J266" s="47"/>
      <c r="K266" s="47"/>
      <c r="L266" s="44"/>
      <c r="M266" s="44"/>
      <c r="N266" s="43"/>
      <c r="O266" s="44"/>
      <c r="P266" s="48"/>
      <c r="Q266" s="48"/>
      <c r="R266" s="48"/>
      <c r="S266" s="48"/>
      <c r="T266" s="49"/>
      <c r="U266" s="48"/>
      <c r="V266" s="48"/>
      <c r="W266" s="48"/>
      <c r="X266" s="50"/>
      <c r="Y266" s="48"/>
      <c r="Z266" s="50"/>
      <c r="AA266" s="48"/>
      <c r="AB266" s="50"/>
      <c r="AC266" s="48"/>
      <c r="AD266" s="50"/>
      <c r="AE266" s="49"/>
      <c r="AF266" s="49"/>
      <c r="AG266" s="48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  <c r="DR266" s="51"/>
      <c r="DS266" s="51"/>
      <c r="DT266" s="51"/>
      <c r="DU266" s="51"/>
      <c r="DV266" s="51"/>
      <c r="DW266" s="51"/>
      <c r="DX266" s="51"/>
      <c r="DY266" s="51"/>
      <c r="DZ266" s="51"/>
      <c r="EA266" s="51"/>
      <c r="EB266" s="51"/>
      <c r="EC266" s="51"/>
      <c r="ED266" s="51"/>
      <c r="EE266" s="51"/>
      <c r="EF266" s="51"/>
      <c r="EG266" s="51"/>
      <c r="EH266" s="51"/>
      <c r="EI266" s="51"/>
      <c r="EJ266" s="51"/>
      <c r="EK266" s="51"/>
    </row>
    <row r="267" spans="1:141" s="52" customFormat="1" x14ac:dyDescent="0.2">
      <c r="A267" s="78"/>
      <c r="B267" s="42"/>
      <c r="C267" s="42"/>
      <c r="D267" s="44"/>
      <c r="E267" s="45"/>
      <c r="F267" s="45"/>
      <c r="G267" s="44"/>
      <c r="H267" s="44"/>
      <c r="I267" s="44"/>
      <c r="J267" s="47"/>
      <c r="K267" s="47"/>
      <c r="L267" s="44"/>
      <c r="M267" s="44"/>
      <c r="N267" s="43"/>
      <c r="O267" s="44"/>
      <c r="P267" s="48"/>
      <c r="Q267" s="48"/>
      <c r="R267" s="48"/>
      <c r="S267" s="48"/>
      <c r="T267" s="49"/>
      <c r="U267" s="48"/>
      <c r="V267" s="48"/>
      <c r="W267" s="48"/>
      <c r="X267" s="50"/>
      <c r="Y267" s="48"/>
      <c r="Z267" s="50"/>
      <c r="AA267" s="48"/>
      <c r="AB267" s="50"/>
      <c r="AC267" s="48"/>
      <c r="AD267" s="50"/>
      <c r="AE267" s="49"/>
      <c r="AF267" s="49"/>
      <c r="AG267" s="48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  <c r="DR267" s="51"/>
      <c r="DS267" s="51"/>
      <c r="DT267" s="51"/>
      <c r="DU267" s="51"/>
      <c r="DV267" s="51"/>
      <c r="DW267" s="51"/>
      <c r="DX267" s="51"/>
      <c r="DY267" s="51"/>
      <c r="DZ267" s="51"/>
      <c r="EA267" s="51"/>
      <c r="EB267" s="51"/>
      <c r="EC267" s="51"/>
      <c r="ED267" s="51"/>
      <c r="EE267" s="51"/>
      <c r="EF267" s="51"/>
      <c r="EG267" s="51"/>
      <c r="EH267" s="51"/>
      <c r="EI267" s="51"/>
      <c r="EJ267" s="51"/>
      <c r="EK267" s="51"/>
    </row>
    <row r="268" spans="1:141" s="52" customFormat="1" x14ac:dyDescent="0.2">
      <c r="A268" s="78"/>
      <c r="B268" s="42"/>
      <c r="C268" s="42"/>
      <c r="D268" s="44"/>
      <c r="E268" s="45"/>
      <c r="F268" s="45"/>
      <c r="G268" s="44"/>
      <c r="H268" s="44"/>
      <c r="I268" s="44"/>
      <c r="J268" s="47"/>
      <c r="K268" s="47"/>
      <c r="L268" s="44"/>
      <c r="M268" s="44"/>
      <c r="N268" s="43"/>
      <c r="O268" s="44"/>
      <c r="P268" s="48"/>
      <c r="Q268" s="48"/>
      <c r="R268" s="48"/>
      <c r="S268" s="48"/>
      <c r="T268" s="49"/>
      <c r="U268" s="48"/>
      <c r="V268" s="48"/>
      <c r="W268" s="48"/>
      <c r="X268" s="50"/>
      <c r="Y268" s="48"/>
      <c r="Z268" s="50"/>
      <c r="AA268" s="48"/>
      <c r="AB268" s="48"/>
      <c r="AC268" s="48"/>
      <c r="AD268" s="50"/>
      <c r="AE268" s="49"/>
      <c r="AF268" s="49"/>
      <c r="AG268" s="48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  <c r="DR268" s="51"/>
      <c r="DS268" s="51"/>
      <c r="DT268" s="51"/>
      <c r="DU268" s="51"/>
      <c r="DV268" s="51"/>
      <c r="DW268" s="51"/>
      <c r="DX268" s="51"/>
      <c r="DY268" s="51"/>
      <c r="DZ268" s="51"/>
      <c r="EA268" s="51"/>
      <c r="EB268" s="51"/>
      <c r="EC268" s="51"/>
      <c r="ED268" s="51"/>
      <c r="EE268" s="51"/>
      <c r="EF268" s="51"/>
      <c r="EG268" s="51"/>
      <c r="EH268" s="51"/>
      <c r="EI268" s="51"/>
      <c r="EJ268" s="51"/>
      <c r="EK268" s="51"/>
    </row>
    <row r="269" spans="1:141" s="52" customFormat="1" x14ac:dyDescent="0.2">
      <c r="A269" s="78"/>
      <c r="B269" s="42"/>
      <c r="C269" s="42"/>
      <c r="D269" s="44"/>
      <c r="E269" s="45"/>
      <c r="F269" s="45"/>
      <c r="G269" s="44"/>
      <c r="H269" s="44"/>
      <c r="I269" s="44"/>
      <c r="J269" s="47"/>
      <c r="K269" s="47"/>
      <c r="L269" s="44"/>
      <c r="M269" s="44"/>
      <c r="N269" s="43"/>
      <c r="O269" s="44"/>
      <c r="P269" s="48"/>
      <c r="Q269" s="48"/>
      <c r="R269" s="48"/>
      <c r="S269" s="48"/>
      <c r="T269" s="49"/>
      <c r="U269" s="48"/>
      <c r="V269" s="48"/>
      <c r="W269" s="48"/>
      <c r="X269" s="50"/>
      <c r="Y269" s="48"/>
      <c r="Z269" s="50"/>
      <c r="AA269" s="48"/>
      <c r="AB269" s="54"/>
      <c r="AC269" s="48"/>
      <c r="AD269" s="50"/>
      <c r="AE269" s="49"/>
      <c r="AF269" s="49"/>
      <c r="AG269" s="48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  <c r="DR269" s="51"/>
      <c r="DS269" s="51"/>
      <c r="DT269" s="51"/>
      <c r="DU269" s="51"/>
      <c r="DV269" s="51"/>
      <c r="DW269" s="51"/>
      <c r="DX269" s="51"/>
      <c r="DY269" s="51"/>
      <c r="DZ269" s="51"/>
      <c r="EA269" s="51"/>
      <c r="EB269" s="51"/>
      <c r="EC269" s="51"/>
      <c r="ED269" s="51"/>
      <c r="EE269" s="51"/>
      <c r="EF269" s="51"/>
      <c r="EG269" s="51"/>
      <c r="EH269" s="51"/>
      <c r="EI269" s="51"/>
      <c r="EJ269" s="51"/>
      <c r="EK269" s="51"/>
    </row>
    <row r="270" spans="1:141" s="52" customFormat="1" x14ac:dyDescent="0.2">
      <c r="A270" s="78"/>
      <c r="B270" s="42"/>
      <c r="C270" s="42"/>
      <c r="D270" s="44"/>
      <c r="E270" s="45"/>
      <c r="F270" s="45"/>
      <c r="G270" s="44"/>
      <c r="H270" s="44"/>
      <c r="I270" s="44"/>
      <c r="J270" s="47"/>
      <c r="K270" s="47"/>
      <c r="L270" s="44"/>
      <c r="M270" s="44"/>
      <c r="N270" s="43"/>
      <c r="O270" s="44"/>
      <c r="P270" s="48"/>
      <c r="Q270" s="48"/>
      <c r="R270" s="48"/>
      <c r="S270" s="48"/>
      <c r="T270" s="49"/>
      <c r="U270" s="48"/>
      <c r="V270" s="48"/>
      <c r="W270" s="48"/>
      <c r="X270" s="48"/>
      <c r="Y270" s="48"/>
      <c r="Z270" s="50"/>
      <c r="AA270" s="48"/>
      <c r="AB270" s="50"/>
      <c r="AC270" s="48"/>
      <c r="AD270" s="50"/>
      <c r="AE270" s="49"/>
      <c r="AF270" s="49"/>
      <c r="AG270" s="48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  <c r="DR270" s="51"/>
      <c r="DS270" s="51"/>
      <c r="DT270" s="51"/>
      <c r="DU270" s="51"/>
      <c r="DV270" s="51"/>
      <c r="DW270" s="51"/>
      <c r="DX270" s="51"/>
      <c r="DY270" s="51"/>
      <c r="DZ270" s="51"/>
      <c r="EA270" s="51"/>
      <c r="EB270" s="51"/>
      <c r="EC270" s="51"/>
      <c r="ED270" s="51"/>
      <c r="EE270" s="51"/>
      <c r="EF270" s="51"/>
      <c r="EG270" s="51"/>
      <c r="EH270" s="51"/>
      <c r="EI270" s="51"/>
      <c r="EJ270" s="51"/>
      <c r="EK270" s="51"/>
    </row>
    <row r="271" spans="1:141" s="52" customFormat="1" x14ac:dyDescent="0.2">
      <c r="A271" s="78"/>
      <c r="B271" s="42"/>
      <c r="C271" s="42"/>
      <c r="D271" s="44"/>
      <c r="E271" s="45"/>
      <c r="F271" s="45"/>
      <c r="G271" s="44"/>
      <c r="H271" s="44"/>
      <c r="I271" s="44"/>
      <c r="J271" s="47"/>
      <c r="K271" s="47"/>
      <c r="L271" s="44"/>
      <c r="M271" s="44"/>
      <c r="N271" s="43"/>
      <c r="O271" s="44"/>
      <c r="P271" s="48"/>
      <c r="Q271" s="48"/>
      <c r="R271" s="48"/>
      <c r="S271" s="48"/>
      <c r="T271" s="49"/>
      <c r="U271" s="48"/>
      <c r="V271" s="48"/>
      <c r="W271" s="48"/>
      <c r="X271" s="48"/>
      <c r="Y271" s="48"/>
      <c r="Z271" s="50"/>
      <c r="AA271" s="48"/>
      <c r="AB271" s="50"/>
      <c r="AC271" s="48"/>
      <c r="AD271" s="50"/>
      <c r="AE271" s="49"/>
      <c r="AF271" s="49"/>
      <c r="AG271" s="48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  <c r="DR271" s="51"/>
      <c r="DS271" s="51"/>
      <c r="DT271" s="51"/>
      <c r="DU271" s="51"/>
      <c r="DV271" s="51"/>
      <c r="DW271" s="51"/>
      <c r="DX271" s="51"/>
      <c r="DY271" s="51"/>
      <c r="DZ271" s="51"/>
      <c r="EA271" s="51"/>
      <c r="EB271" s="51"/>
      <c r="EC271" s="51"/>
      <c r="ED271" s="51"/>
      <c r="EE271" s="51"/>
      <c r="EF271" s="51"/>
      <c r="EG271" s="51"/>
      <c r="EH271" s="51"/>
      <c r="EI271" s="51"/>
      <c r="EJ271" s="51"/>
      <c r="EK271" s="51"/>
    </row>
    <row r="272" spans="1:141" s="52" customFormat="1" x14ac:dyDescent="0.2">
      <c r="A272" s="78"/>
      <c r="B272" s="42"/>
      <c r="C272" s="42"/>
      <c r="D272" s="44"/>
      <c r="E272" s="45"/>
      <c r="F272" s="45"/>
      <c r="G272" s="44"/>
      <c r="H272" s="44"/>
      <c r="I272" s="44"/>
      <c r="J272" s="47"/>
      <c r="K272" s="47"/>
      <c r="L272" s="44"/>
      <c r="M272" s="44"/>
      <c r="N272" s="43"/>
      <c r="O272" s="44"/>
      <c r="P272" s="48"/>
      <c r="Q272" s="48"/>
      <c r="R272" s="48"/>
      <c r="S272" s="48"/>
      <c r="T272" s="49"/>
      <c r="U272" s="48"/>
      <c r="V272" s="48"/>
      <c r="W272" s="48"/>
      <c r="X272" s="48"/>
      <c r="Y272" s="48"/>
      <c r="Z272" s="50"/>
      <c r="AA272" s="48"/>
      <c r="AB272" s="50"/>
      <c r="AC272" s="48"/>
      <c r="AD272" s="50"/>
      <c r="AE272" s="49"/>
      <c r="AF272" s="49"/>
      <c r="AG272" s="48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  <c r="DR272" s="51"/>
      <c r="DS272" s="51"/>
      <c r="DT272" s="51"/>
      <c r="DU272" s="51"/>
      <c r="DV272" s="51"/>
      <c r="DW272" s="51"/>
      <c r="DX272" s="51"/>
      <c r="DY272" s="51"/>
      <c r="DZ272" s="51"/>
      <c r="EA272" s="51"/>
      <c r="EB272" s="51"/>
      <c r="EC272" s="51"/>
      <c r="ED272" s="51"/>
      <c r="EE272" s="51"/>
      <c r="EF272" s="51"/>
      <c r="EG272" s="51"/>
      <c r="EH272" s="51"/>
      <c r="EI272" s="51"/>
      <c r="EJ272" s="51"/>
      <c r="EK272" s="51"/>
    </row>
    <row r="273" spans="1:141" s="52" customFormat="1" x14ac:dyDescent="0.2">
      <c r="A273" s="78"/>
      <c r="B273" s="42"/>
      <c r="C273" s="42"/>
      <c r="D273" s="44"/>
      <c r="E273" s="45"/>
      <c r="F273" s="45"/>
      <c r="G273" s="44"/>
      <c r="H273" s="44"/>
      <c r="I273" s="44"/>
      <c r="J273" s="47"/>
      <c r="K273" s="47"/>
      <c r="L273" s="44"/>
      <c r="M273" s="44"/>
      <c r="N273" s="43"/>
      <c r="O273" s="44"/>
      <c r="P273" s="48"/>
      <c r="Q273" s="48"/>
      <c r="R273" s="48"/>
      <c r="S273" s="48"/>
      <c r="T273" s="49"/>
      <c r="U273" s="48"/>
      <c r="V273" s="48"/>
      <c r="W273" s="48"/>
      <c r="X273" s="48"/>
      <c r="Y273" s="48"/>
      <c r="Z273" s="50"/>
      <c r="AA273" s="48"/>
      <c r="AB273" s="50"/>
      <c r="AC273" s="48"/>
      <c r="AD273" s="50"/>
      <c r="AE273" s="49"/>
      <c r="AF273" s="49"/>
      <c r="AG273" s="48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  <c r="DR273" s="51"/>
      <c r="DS273" s="51"/>
      <c r="DT273" s="51"/>
      <c r="DU273" s="51"/>
      <c r="DV273" s="51"/>
      <c r="DW273" s="51"/>
      <c r="DX273" s="51"/>
      <c r="DY273" s="51"/>
      <c r="DZ273" s="51"/>
      <c r="EA273" s="51"/>
      <c r="EB273" s="51"/>
      <c r="EC273" s="51"/>
      <c r="ED273" s="51"/>
      <c r="EE273" s="51"/>
      <c r="EF273" s="51"/>
      <c r="EG273" s="51"/>
      <c r="EH273" s="51"/>
      <c r="EI273" s="51"/>
      <c r="EJ273" s="51"/>
      <c r="EK273" s="51"/>
    </row>
    <row r="274" spans="1:141" s="52" customFormat="1" x14ac:dyDescent="0.2">
      <c r="A274" s="78"/>
      <c r="B274" s="42"/>
      <c r="C274" s="42"/>
      <c r="D274" s="44"/>
      <c r="E274" s="45"/>
      <c r="F274" s="45"/>
      <c r="G274" s="44"/>
      <c r="H274" s="44"/>
      <c r="I274" s="44"/>
      <c r="J274" s="47"/>
      <c r="K274" s="47"/>
      <c r="L274" s="44"/>
      <c r="M274" s="44"/>
      <c r="N274" s="43"/>
      <c r="O274" s="44"/>
      <c r="P274" s="48"/>
      <c r="Q274" s="48"/>
      <c r="R274" s="48"/>
      <c r="S274" s="48"/>
      <c r="T274" s="49"/>
      <c r="U274" s="48"/>
      <c r="V274" s="48"/>
      <c r="W274" s="48"/>
      <c r="X274" s="48"/>
      <c r="Y274" s="48"/>
      <c r="Z274" s="50"/>
      <c r="AA274" s="48"/>
      <c r="AB274" s="50"/>
      <c r="AC274" s="48"/>
      <c r="AD274" s="48"/>
      <c r="AE274" s="49"/>
      <c r="AF274" s="49"/>
      <c r="AG274" s="48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  <c r="DR274" s="51"/>
      <c r="DS274" s="51"/>
      <c r="DT274" s="51"/>
      <c r="DU274" s="51"/>
      <c r="DV274" s="51"/>
      <c r="DW274" s="51"/>
      <c r="DX274" s="51"/>
      <c r="DY274" s="51"/>
      <c r="DZ274" s="51"/>
      <c r="EA274" s="51"/>
      <c r="EB274" s="51"/>
      <c r="EC274" s="51"/>
      <c r="ED274" s="51"/>
      <c r="EE274" s="51"/>
      <c r="EF274" s="51"/>
      <c r="EG274" s="51"/>
      <c r="EH274" s="51"/>
      <c r="EI274" s="51"/>
      <c r="EJ274" s="51"/>
      <c r="EK274" s="51"/>
    </row>
    <row r="275" spans="1:141" s="52" customFormat="1" x14ac:dyDescent="0.2">
      <c r="A275" s="78"/>
      <c r="B275" s="42"/>
      <c r="C275" s="42"/>
      <c r="D275" s="44"/>
      <c r="E275" s="45"/>
      <c r="F275" s="45"/>
      <c r="G275" s="44"/>
      <c r="H275" s="44"/>
      <c r="I275" s="44"/>
      <c r="J275" s="47"/>
      <c r="K275" s="47"/>
      <c r="L275" s="44"/>
      <c r="M275" s="44"/>
      <c r="N275" s="43"/>
      <c r="O275" s="44"/>
      <c r="P275" s="48"/>
      <c r="Q275" s="48"/>
      <c r="R275" s="48"/>
      <c r="S275" s="48"/>
      <c r="T275" s="49"/>
      <c r="U275" s="48"/>
      <c r="V275" s="48"/>
      <c r="W275" s="48"/>
      <c r="X275" s="54"/>
      <c r="Y275" s="48"/>
      <c r="Z275" s="50"/>
      <c r="AA275" s="48"/>
      <c r="AB275" s="50"/>
      <c r="AC275" s="48"/>
      <c r="AD275" s="54"/>
      <c r="AE275" s="49"/>
      <c r="AF275" s="49"/>
      <c r="AG275" s="48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  <c r="DR275" s="51"/>
      <c r="DS275" s="51"/>
      <c r="DT275" s="51"/>
      <c r="DU275" s="51"/>
      <c r="DV275" s="51"/>
      <c r="DW275" s="51"/>
      <c r="DX275" s="51"/>
      <c r="DY275" s="51"/>
      <c r="DZ275" s="51"/>
      <c r="EA275" s="51"/>
      <c r="EB275" s="51"/>
      <c r="EC275" s="51"/>
      <c r="ED275" s="51"/>
      <c r="EE275" s="51"/>
      <c r="EF275" s="51"/>
      <c r="EG275" s="51"/>
      <c r="EH275" s="51"/>
      <c r="EI275" s="51"/>
      <c r="EJ275" s="51"/>
      <c r="EK275" s="51"/>
    </row>
    <row r="276" spans="1:141" s="52" customFormat="1" x14ac:dyDescent="0.2">
      <c r="A276" s="78"/>
      <c r="B276" s="42"/>
      <c r="C276" s="42"/>
      <c r="D276" s="44"/>
      <c r="E276" s="45"/>
      <c r="F276" s="45"/>
      <c r="G276" s="44"/>
      <c r="H276" s="44"/>
      <c r="I276" s="44"/>
      <c r="J276" s="47"/>
      <c r="K276" s="47"/>
      <c r="L276" s="44"/>
      <c r="M276" s="44"/>
      <c r="N276" s="43"/>
      <c r="O276" s="44"/>
      <c r="P276" s="48"/>
      <c r="Q276" s="48"/>
      <c r="R276" s="48"/>
      <c r="S276" s="48"/>
      <c r="T276" s="49"/>
      <c r="U276" s="48"/>
      <c r="V276" s="48"/>
      <c r="W276" s="48"/>
      <c r="X276" s="50"/>
      <c r="Y276" s="48"/>
      <c r="Z276" s="50"/>
      <c r="AA276" s="48"/>
      <c r="AB276" s="50"/>
      <c r="AC276" s="48"/>
      <c r="AD276" s="50"/>
      <c r="AE276" s="49"/>
      <c r="AF276" s="49"/>
      <c r="AG276" s="48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  <c r="DR276" s="51"/>
      <c r="DS276" s="51"/>
      <c r="DT276" s="51"/>
      <c r="DU276" s="51"/>
      <c r="DV276" s="51"/>
      <c r="DW276" s="51"/>
      <c r="DX276" s="51"/>
      <c r="DY276" s="51"/>
      <c r="DZ276" s="51"/>
      <c r="EA276" s="51"/>
      <c r="EB276" s="51"/>
      <c r="EC276" s="51"/>
      <c r="ED276" s="51"/>
      <c r="EE276" s="51"/>
      <c r="EF276" s="51"/>
      <c r="EG276" s="51"/>
      <c r="EH276" s="51"/>
      <c r="EI276" s="51"/>
      <c r="EJ276" s="51"/>
      <c r="EK276" s="51"/>
    </row>
    <row r="277" spans="1:141" s="52" customFormat="1" x14ac:dyDescent="0.2">
      <c r="A277" s="78"/>
      <c r="B277" s="42"/>
      <c r="C277" s="42"/>
      <c r="D277" s="44"/>
      <c r="E277" s="45"/>
      <c r="F277" s="45"/>
      <c r="G277" s="44"/>
      <c r="H277" s="44"/>
      <c r="I277" s="44"/>
      <c r="J277" s="47"/>
      <c r="K277" s="47"/>
      <c r="L277" s="44"/>
      <c r="M277" s="44"/>
      <c r="N277" s="43"/>
      <c r="O277" s="44"/>
      <c r="P277" s="48"/>
      <c r="Q277" s="48"/>
      <c r="R277" s="48"/>
      <c r="S277" s="48"/>
      <c r="T277" s="49"/>
      <c r="U277" s="48"/>
      <c r="V277" s="48"/>
      <c r="W277" s="48"/>
      <c r="X277" s="50"/>
      <c r="Y277" s="48"/>
      <c r="Z277" s="50"/>
      <c r="AA277" s="48"/>
      <c r="AB277" s="50"/>
      <c r="AC277" s="48"/>
      <c r="AD277" s="50"/>
      <c r="AE277" s="49"/>
      <c r="AF277" s="49"/>
      <c r="AG277" s="48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  <c r="DR277" s="51"/>
      <c r="DS277" s="51"/>
      <c r="DT277" s="51"/>
      <c r="DU277" s="51"/>
      <c r="DV277" s="51"/>
      <c r="DW277" s="51"/>
      <c r="DX277" s="51"/>
      <c r="DY277" s="51"/>
      <c r="DZ277" s="51"/>
      <c r="EA277" s="51"/>
      <c r="EB277" s="51"/>
      <c r="EC277" s="51"/>
      <c r="ED277" s="51"/>
      <c r="EE277" s="51"/>
      <c r="EF277" s="51"/>
      <c r="EG277" s="51"/>
      <c r="EH277" s="51"/>
      <c r="EI277" s="51"/>
      <c r="EJ277" s="51"/>
      <c r="EK277" s="51"/>
    </row>
    <row r="278" spans="1:141" s="52" customFormat="1" x14ac:dyDescent="0.2">
      <c r="A278" s="78"/>
      <c r="B278" s="42"/>
      <c r="C278" s="42"/>
      <c r="D278" s="44"/>
      <c r="E278" s="45"/>
      <c r="F278" s="45"/>
      <c r="G278" s="44"/>
      <c r="H278" s="44"/>
      <c r="I278" s="44"/>
      <c r="J278" s="47"/>
      <c r="K278" s="47"/>
      <c r="L278" s="44"/>
      <c r="M278" s="44"/>
      <c r="N278" s="43"/>
      <c r="O278" s="44"/>
      <c r="P278" s="48"/>
      <c r="Q278" s="48"/>
      <c r="R278" s="48"/>
      <c r="S278" s="48"/>
      <c r="T278" s="49"/>
      <c r="U278" s="48"/>
      <c r="V278" s="48"/>
      <c r="W278" s="48"/>
      <c r="X278" s="50"/>
      <c r="Y278" s="48"/>
      <c r="Z278" s="50"/>
      <c r="AA278" s="48"/>
      <c r="AB278" s="50"/>
      <c r="AC278" s="48"/>
      <c r="AD278" s="50"/>
      <c r="AE278" s="49"/>
      <c r="AF278" s="49"/>
      <c r="AG278" s="48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  <c r="DR278" s="51"/>
      <c r="DS278" s="51"/>
      <c r="DT278" s="51"/>
      <c r="DU278" s="51"/>
      <c r="DV278" s="51"/>
      <c r="DW278" s="51"/>
      <c r="DX278" s="51"/>
      <c r="DY278" s="51"/>
      <c r="DZ278" s="51"/>
      <c r="EA278" s="51"/>
      <c r="EB278" s="51"/>
      <c r="EC278" s="51"/>
      <c r="ED278" s="51"/>
      <c r="EE278" s="51"/>
      <c r="EF278" s="51"/>
      <c r="EG278" s="51"/>
      <c r="EH278" s="51"/>
      <c r="EI278" s="51"/>
      <c r="EJ278" s="51"/>
      <c r="EK278" s="51"/>
    </row>
    <row r="279" spans="1:141" s="52" customFormat="1" x14ac:dyDescent="0.2">
      <c r="A279" s="78"/>
      <c r="B279" s="42"/>
      <c r="C279" s="42"/>
      <c r="D279" s="44"/>
      <c r="E279" s="45"/>
      <c r="F279" s="45"/>
      <c r="G279" s="44"/>
      <c r="H279" s="44"/>
      <c r="I279" s="44"/>
      <c r="J279" s="47"/>
      <c r="K279" s="47"/>
      <c r="L279" s="44"/>
      <c r="M279" s="44"/>
      <c r="N279" s="43"/>
      <c r="O279" s="44"/>
      <c r="P279" s="48"/>
      <c r="Q279" s="48"/>
      <c r="R279" s="48"/>
      <c r="S279" s="48"/>
      <c r="T279" s="49"/>
      <c r="U279" s="48"/>
      <c r="V279" s="48"/>
      <c r="W279" s="48"/>
      <c r="X279" s="50"/>
      <c r="Y279" s="48"/>
      <c r="Z279" s="50"/>
      <c r="AA279" s="48"/>
      <c r="AB279" s="50"/>
      <c r="AC279" s="48"/>
      <c r="AD279" s="50"/>
      <c r="AE279" s="49"/>
      <c r="AF279" s="49"/>
      <c r="AG279" s="48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  <c r="DS279" s="51"/>
      <c r="DT279" s="51"/>
      <c r="DU279" s="51"/>
      <c r="DV279" s="51"/>
      <c r="DW279" s="51"/>
      <c r="DX279" s="51"/>
      <c r="DY279" s="51"/>
      <c r="DZ279" s="51"/>
      <c r="EA279" s="51"/>
      <c r="EB279" s="51"/>
      <c r="EC279" s="51"/>
      <c r="ED279" s="51"/>
      <c r="EE279" s="51"/>
      <c r="EF279" s="51"/>
      <c r="EG279" s="51"/>
      <c r="EH279" s="51"/>
      <c r="EI279" s="51"/>
      <c r="EJ279" s="51"/>
      <c r="EK279" s="51"/>
    </row>
    <row r="280" spans="1:141" s="52" customFormat="1" x14ac:dyDescent="0.2">
      <c r="A280" s="78"/>
      <c r="B280" s="42"/>
      <c r="C280" s="42"/>
      <c r="D280" s="44"/>
      <c r="E280" s="45"/>
      <c r="F280" s="45"/>
      <c r="G280" s="44"/>
      <c r="H280" s="44"/>
      <c r="I280" s="44"/>
      <c r="J280" s="47"/>
      <c r="K280" s="47"/>
      <c r="L280" s="44"/>
      <c r="M280" s="44"/>
      <c r="N280" s="43"/>
      <c r="O280" s="44"/>
      <c r="P280" s="48"/>
      <c r="Q280" s="48"/>
      <c r="R280" s="48"/>
      <c r="S280" s="48"/>
      <c r="T280" s="49"/>
      <c r="U280" s="48"/>
      <c r="V280" s="48"/>
      <c r="W280" s="48"/>
      <c r="X280" s="50"/>
      <c r="Y280" s="48"/>
      <c r="Z280" s="50"/>
      <c r="AA280" s="48"/>
      <c r="AB280" s="50"/>
      <c r="AC280" s="48"/>
      <c r="AD280" s="50"/>
      <c r="AE280" s="49"/>
      <c r="AF280" s="49"/>
      <c r="AG280" s="48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  <c r="DR280" s="51"/>
      <c r="DS280" s="51"/>
      <c r="DT280" s="51"/>
      <c r="DU280" s="51"/>
      <c r="DV280" s="51"/>
      <c r="DW280" s="51"/>
      <c r="DX280" s="51"/>
      <c r="DY280" s="51"/>
      <c r="DZ280" s="51"/>
      <c r="EA280" s="51"/>
      <c r="EB280" s="51"/>
      <c r="EC280" s="51"/>
      <c r="ED280" s="51"/>
      <c r="EE280" s="51"/>
      <c r="EF280" s="51"/>
      <c r="EG280" s="51"/>
      <c r="EH280" s="51"/>
      <c r="EI280" s="51"/>
      <c r="EJ280" s="51"/>
      <c r="EK280" s="51"/>
    </row>
    <row r="281" spans="1:141" s="52" customFormat="1" x14ac:dyDescent="0.2">
      <c r="A281" s="78"/>
      <c r="B281" s="42"/>
      <c r="C281" s="42"/>
      <c r="D281" s="44"/>
      <c r="E281" s="45"/>
      <c r="F281" s="45"/>
      <c r="G281" s="44"/>
      <c r="H281" s="44"/>
      <c r="I281" s="44"/>
      <c r="J281" s="47"/>
      <c r="K281" s="47"/>
      <c r="L281" s="44"/>
      <c r="M281" s="44"/>
      <c r="N281" s="43"/>
      <c r="O281" s="44"/>
      <c r="P281" s="48"/>
      <c r="Q281" s="48"/>
      <c r="R281" s="48"/>
      <c r="S281" s="48"/>
      <c r="T281" s="49"/>
      <c r="U281" s="48"/>
      <c r="V281" s="48"/>
      <c r="W281" s="48"/>
      <c r="X281" s="50"/>
      <c r="Y281" s="48"/>
      <c r="Z281" s="50"/>
      <c r="AA281" s="48"/>
      <c r="AB281" s="50"/>
      <c r="AC281" s="48"/>
      <c r="AD281" s="50"/>
      <c r="AE281" s="49"/>
      <c r="AF281" s="49"/>
      <c r="AG281" s="48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  <c r="DR281" s="51"/>
      <c r="DS281" s="51"/>
      <c r="DT281" s="51"/>
      <c r="DU281" s="51"/>
      <c r="DV281" s="51"/>
      <c r="DW281" s="51"/>
      <c r="DX281" s="51"/>
      <c r="DY281" s="51"/>
      <c r="DZ281" s="51"/>
      <c r="EA281" s="51"/>
      <c r="EB281" s="51"/>
      <c r="EC281" s="51"/>
      <c r="ED281" s="51"/>
      <c r="EE281" s="51"/>
      <c r="EF281" s="51"/>
      <c r="EG281" s="51"/>
      <c r="EH281" s="51"/>
      <c r="EI281" s="51"/>
      <c r="EJ281" s="51"/>
      <c r="EK281" s="51"/>
    </row>
    <row r="282" spans="1:141" s="52" customFormat="1" x14ac:dyDescent="0.2">
      <c r="A282" s="78"/>
      <c r="B282" s="42"/>
      <c r="C282" s="42"/>
      <c r="D282" s="44"/>
      <c r="E282" s="45"/>
      <c r="F282" s="45"/>
      <c r="G282" s="44"/>
      <c r="H282" s="44"/>
      <c r="I282" s="44"/>
      <c r="J282" s="47"/>
      <c r="K282" s="47"/>
      <c r="L282" s="44"/>
      <c r="M282" s="44"/>
      <c r="N282" s="43"/>
      <c r="O282" s="44"/>
      <c r="P282" s="48"/>
      <c r="Q282" s="48"/>
      <c r="R282" s="48"/>
      <c r="S282" s="48"/>
      <c r="T282" s="49"/>
      <c r="U282" s="48"/>
      <c r="V282" s="48"/>
      <c r="W282" s="48"/>
      <c r="X282" s="48"/>
      <c r="Y282" s="48"/>
      <c r="Z282" s="50"/>
      <c r="AA282" s="48"/>
      <c r="AB282" s="50"/>
      <c r="AC282" s="48"/>
      <c r="AD282" s="50"/>
      <c r="AE282" s="49"/>
      <c r="AF282" s="49"/>
      <c r="AG282" s="48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  <c r="DR282" s="51"/>
      <c r="DS282" s="51"/>
      <c r="DT282" s="51"/>
      <c r="DU282" s="51"/>
      <c r="DV282" s="51"/>
      <c r="DW282" s="51"/>
      <c r="DX282" s="51"/>
      <c r="DY282" s="51"/>
      <c r="DZ282" s="51"/>
      <c r="EA282" s="51"/>
      <c r="EB282" s="51"/>
      <c r="EC282" s="51"/>
      <c r="ED282" s="51"/>
      <c r="EE282" s="51"/>
      <c r="EF282" s="51"/>
      <c r="EG282" s="51"/>
      <c r="EH282" s="51"/>
      <c r="EI282" s="51"/>
      <c r="EJ282" s="51"/>
      <c r="EK282" s="51"/>
    </row>
    <row r="283" spans="1:141" s="52" customFormat="1" x14ac:dyDescent="0.2">
      <c r="A283" s="78"/>
      <c r="B283" s="42"/>
      <c r="C283" s="42"/>
      <c r="D283" s="44"/>
      <c r="E283" s="45"/>
      <c r="F283" s="45"/>
      <c r="G283" s="44"/>
      <c r="H283" s="44"/>
      <c r="I283" s="44"/>
      <c r="J283" s="47"/>
      <c r="K283" s="47"/>
      <c r="L283" s="44"/>
      <c r="M283" s="44"/>
      <c r="N283" s="43"/>
      <c r="O283" s="44"/>
      <c r="P283" s="48"/>
      <c r="Q283" s="48"/>
      <c r="R283" s="48"/>
      <c r="S283" s="48"/>
      <c r="T283" s="49"/>
      <c r="U283" s="48"/>
      <c r="V283" s="48"/>
      <c r="W283" s="48"/>
      <c r="X283" s="54"/>
      <c r="Y283" s="48"/>
      <c r="Z283" s="50"/>
      <c r="AA283" s="48"/>
      <c r="AB283" s="50"/>
      <c r="AC283" s="48"/>
      <c r="AD283" s="50"/>
      <c r="AE283" s="49"/>
      <c r="AF283" s="49"/>
      <c r="AG283" s="48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  <c r="DR283" s="51"/>
      <c r="DS283" s="51"/>
      <c r="DT283" s="51"/>
      <c r="DU283" s="51"/>
      <c r="DV283" s="51"/>
      <c r="DW283" s="51"/>
      <c r="DX283" s="51"/>
      <c r="DY283" s="51"/>
      <c r="DZ283" s="51"/>
      <c r="EA283" s="51"/>
      <c r="EB283" s="51"/>
      <c r="EC283" s="51"/>
      <c r="ED283" s="51"/>
      <c r="EE283" s="51"/>
      <c r="EF283" s="51"/>
      <c r="EG283" s="51"/>
      <c r="EH283" s="51"/>
      <c r="EI283" s="51"/>
      <c r="EJ283" s="51"/>
      <c r="EK283" s="51"/>
    </row>
    <row r="284" spans="1:141" s="52" customFormat="1" x14ac:dyDescent="0.2">
      <c r="A284" s="78"/>
      <c r="B284" s="42"/>
      <c r="C284" s="42"/>
      <c r="D284" s="44"/>
      <c r="E284" s="45"/>
      <c r="F284" s="45"/>
      <c r="G284" s="44"/>
      <c r="H284" s="44"/>
      <c r="I284" s="44"/>
      <c r="J284" s="47"/>
      <c r="K284" s="47"/>
      <c r="L284" s="44"/>
      <c r="M284" s="44"/>
      <c r="N284" s="43"/>
      <c r="O284" s="44"/>
      <c r="P284" s="48"/>
      <c r="Q284" s="48"/>
      <c r="R284" s="48"/>
      <c r="S284" s="48"/>
      <c r="T284" s="49"/>
      <c r="U284" s="48"/>
      <c r="V284" s="48"/>
      <c r="W284" s="48"/>
      <c r="X284" s="50"/>
      <c r="Y284" s="48"/>
      <c r="Z284" s="50"/>
      <c r="AA284" s="48"/>
      <c r="AB284" s="50"/>
      <c r="AC284" s="48"/>
      <c r="AD284" s="50"/>
      <c r="AE284" s="49"/>
      <c r="AF284" s="49"/>
      <c r="AG284" s="48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  <c r="DR284" s="51"/>
      <c r="DS284" s="51"/>
      <c r="DT284" s="51"/>
      <c r="DU284" s="51"/>
      <c r="DV284" s="51"/>
      <c r="DW284" s="51"/>
      <c r="DX284" s="51"/>
      <c r="DY284" s="51"/>
      <c r="DZ284" s="51"/>
      <c r="EA284" s="51"/>
      <c r="EB284" s="51"/>
      <c r="EC284" s="51"/>
      <c r="ED284" s="51"/>
      <c r="EE284" s="51"/>
      <c r="EF284" s="51"/>
      <c r="EG284" s="51"/>
      <c r="EH284" s="51"/>
      <c r="EI284" s="51"/>
      <c r="EJ284" s="51"/>
      <c r="EK284" s="51"/>
    </row>
    <row r="285" spans="1:141" s="52" customFormat="1" x14ac:dyDescent="0.2">
      <c r="A285" s="78"/>
      <c r="B285" s="42"/>
      <c r="C285" s="42"/>
      <c r="D285" s="44"/>
      <c r="E285" s="45"/>
      <c r="F285" s="45"/>
      <c r="G285" s="44"/>
      <c r="H285" s="44"/>
      <c r="I285" s="44"/>
      <c r="J285" s="47"/>
      <c r="K285" s="47"/>
      <c r="L285" s="44"/>
      <c r="M285" s="44"/>
      <c r="N285" s="43"/>
      <c r="O285" s="44"/>
      <c r="P285" s="48"/>
      <c r="Q285" s="48"/>
      <c r="R285" s="48"/>
      <c r="S285" s="48"/>
      <c r="T285" s="49"/>
      <c r="U285" s="48"/>
      <c r="V285" s="48"/>
      <c r="W285" s="48"/>
      <c r="X285" s="50"/>
      <c r="Y285" s="48"/>
      <c r="Z285" s="50"/>
      <c r="AA285" s="48"/>
      <c r="AB285" s="50"/>
      <c r="AC285" s="48"/>
      <c r="AD285" s="50"/>
      <c r="AE285" s="49"/>
      <c r="AF285" s="49"/>
      <c r="AG285" s="48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  <c r="DR285" s="51"/>
      <c r="DS285" s="51"/>
      <c r="DT285" s="51"/>
      <c r="DU285" s="51"/>
      <c r="DV285" s="51"/>
      <c r="DW285" s="51"/>
      <c r="DX285" s="51"/>
      <c r="DY285" s="51"/>
      <c r="DZ285" s="51"/>
      <c r="EA285" s="51"/>
      <c r="EB285" s="51"/>
      <c r="EC285" s="51"/>
      <c r="ED285" s="51"/>
      <c r="EE285" s="51"/>
      <c r="EF285" s="51"/>
      <c r="EG285" s="51"/>
      <c r="EH285" s="51"/>
      <c r="EI285" s="51"/>
      <c r="EJ285" s="51"/>
      <c r="EK285" s="51"/>
    </row>
    <row r="286" spans="1:141" s="52" customFormat="1" x14ac:dyDescent="0.2">
      <c r="A286" s="78"/>
      <c r="B286" s="42"/>
      <c r="C286" s="42"/>
      <c r="D286" s="44"/>
      <c r="E286" s="45"/>
      <c r="F286" s="45"/>
      <c r="G286" s="44"/>
      <c r="H286" s="44"/>
      <c r="I286" s="44"/>
      <c r="J286" s="47"/>
      <c r="K286" s="47"/>
      <c r="L286" s="44"/>
      <c r="M286" s="44"/>
      <c r="N286" s="43"/>
      <c r="O286" s="44"/>
      <c r="P286" s="48"/>
      <c r="Q286" s="48"/>
      <c r="R286" s="48"/>
      <c r="S286" s="48"/>
      <c r="T286" s="49"/>
      <c r="U286" s="48"/>
      <c r="V286" s="48"/>
      <c r="W286" s="48"/>
      <c r="X286" s="50"/>
      <c r="Y286" s="48"/>
      <c r="Z286" s="50"/>
      <c r="AA286" s="48"/>
      <c r="AB286" s="50"/>
      <c r="AC286" s="48"/>
      <c r="AD286" s="50"/>
      <c r="AE286" s="49"/>
      <c r="AF286" s="49"/>
      <c r="AG286" s="48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  <c r="DR286" s="51"/>
      <c r="DS286" s="51"/>
      <c r="DT286" s="51"/>
      <c r="DU286" s="51"/>
      <c r="DV286" s="51"/>
      <c r="DW286" s="51"/>
      <c r="DX286" s="51"/>
      <c r="DY286" s="51"/>
      <c r="DZ286" s="51"/>
      <c r="EA286" s="51"/>
      <c r="EB286" s="51"/>
      <c r="EC286" s="51"/>
      <c r="ED286" s="51"/>
      <c r="EE286" s="51"/>
      <c r="EF286" s="51"/>
      <c r="EG286" s="51"/>
      <c r="EH286" s="51"/>
      <c r="EI286" s="51"/>
      <c r="EJ286" s="51"/>
      <c r="EK286" s="51"/>
    </row>
    <row r="287" spans="1:141" s="52" customFormat="1" x14ac:dyDescent="0.2">
      <c r="A287" s="78"/>
      <c r="B287" s="42"/>
      <c r="C287" s="42"/>
      <c r="D287" s="44"/>
      <c r="E287" s="45"/>
      <c r="F287" s="45"/>
      <c r="G287" s="44"/>
      <c r="H287" s="44"/>
      <c r="I287" s="44"/>
      <c r="J287" s="47"/>
      <c r="K287" s="47"/>
      <c r="L287" s="44"/>
      <c r="M287" s="44"/>
      <c r="N287" s="43"/>
      <c r="O287" s="44"/>
      <c r="P287" s="48"/>
      <c r="Q287" s="48"/>
      <c r="R287" s="48"/>
      <c r="S287" s="48"/>
      <c r="T287" s="49"/>
      <c r="U287" s="48"/>
      <c r="V287" s="48"/>
      <c r="W287" s="48"/>
      <c r="X287" s="50"/>
      <c r="Y287" s="48"/>
      <c r="Z287" s="50"/>
      <c r="AA287" s="48"/>
      <c r="AB287" s="50"/>
      <c r="AC287" s="48"/>
      <c r="AD287" s="50"/>
      <c r="AE287" s="49"/>
      <c r="AF287" s="49"/>
      <c r="AG287" s="48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  <c r="DR287" s="51"/>
      <c r="DS287" s="51"/>
      <c r="DT287" s="51"/>
      <c r="DU287" s="51"/>
      <c r="DV287" s="51"/>
      <c r="DW287" s="51"/>
      <c r="DX287" s="51"/>
      <c r="DY287" s="51"/>
      <c r="DZ287" s="51"/>
      <c r="EA287" s="51"/>
      <c r="EB287" s="51"/>
      <c r="EC287" s="51"/>
      <c r="ED287" s="51"/>
      <c r="EE287" s="51"/>
      <c r="EF287" s="51"/>
      <c r="EG287" s="51"/>
      <c r="EH287" s="51"/>
      <c r="EI287" s="51"/>
      <c r="EJ287" s="51"/>
      <c r="EK287" s="51"/>
    </row>
    <row r="288" spans="1:141" s="52" customFormat="1" x14ac:dyDescent="0.2">
      <c r="A288" s="78"/>
      <c r="B288" s="42"/>
      <c r="C288" s="42"/>
      <c r="D288" s="44"/>
      <c r="E288" s="45"/>
      <c r="F288" s="45"/>
      <c r="G288" s="44"/>
      <c r="H288" s="44"/>
      <c r="I288" s="44"/>
      <c r="J288" s="47"/>
      <c r="K288" s="47"/>
      <c r="L288" s="44"/>
      <c r="M288" s="44"/>
      <c r="N288" s="43"/>
      <c r="O288" s="44"/>
      <c r="P288" s="48"/>
      <c r="Q288" s="48"/>
      <c r="R288" s="48"/>
      <c r="S288" s="48"/>
      <c r="T288" s="49"/>
      <c r="U288" s="48"/>
      <c r="V288" s="48"/>
      <c r="W288" s="48"/>
      <c r="X288" s="48"/>
      <c r="Y288" s="48"/>
      <c r="Z288" s="50"/>
      <c r="AA288" s="48"/>
      <c r="AB288" s="50"/>
      <c r="AC288" s="48"/>
      <c r="AD288" s="50"/>
      <c r="AE288" s="49"/>
      <c r="AF288" s="49"/>
      <c r="AG288" s="48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  <c r="DR288" s="51"/>
      <c r="DS288" s="51"/>
      <c r="DT288" s="51"/>
      <c r="DU288" s="51"/>
      <c r="DV288" s="51"/>
      <c r="DW288" s="51"/>
      <c r="DX288" s="51"/>
      <c r="DY288" s="51"/>
      <c r="DZ288" s="51"/>
      <c r="EA288" s="51"/>
      <c r="EB288" s="51"/>
      <c r="EC288" s="51"/>
      <c r="ED288" s="51"/>
      <c r="EE288" s="51"/>
      <c r="EF288" s="51"/>
      <c r="EG288" s="51"/>
      <c r="EH288" s="51"/>
      <c r="EI288" s="51"/>
      <c r="EJ288" s="51"/>
      <c r="EK288" s="51"/>
    </row>
    <row r="289" spans="1:141" s="52" customFormat="1" x14ac:dyDescent="0.2">
      <c r="A289" s="78"/>
      <c r="B289" s="42"/>
      <c r="C289" s="42"/>
      <c r="D289" s="44"/>
      <c r="E289" s="45"/>
      <c r="F289" s="45"/>
      <c r="G289" s="44"/>
      <c r="H289" s="44"/>
      <c r="I289" s="44"/>
      <c r="J289" s="47"/>
      <c r="K289" s="47"/>
      <c r="L289" s="44"/>
      <c r="M289" s="44"/>
      <c r="N289" s="43"/>
      <c r="O289" s="44"/>
      <c r="P289" s="48"/>
      <c r="Q289" s="48"/>
      <c r="R289" s="48"/>
      <c r="S289" s="48"/>
      <c r="T289" s="49"/>
      <c r="U289" s="48"/>
      <c r="V289" s="48"/>
      <c r="W289" s="48"/>
      <c r="X289" s="54"/>
      <c r="Y289" s="48"/>
      <c r="Z289" s="50"/>
      <c r="AA289" s="48"/>
      <c r="AB289" s="50"/>
      <c r="AC289" s="48"/>
      <c r="AD289" s="50"/>
      <c r="AE289" s="49"/>
      <c r="AF289" s="49"/>
      <c r="AG289" s="48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  <c r="DR289" s="51"/>
      <c r="DS289" s="51"/>
      <c r="DT289" s="51"/>
      <c r="DU289" s="51"/>
      <c r="DV289" s="51"/>
      <c r="DW289" s="51"/>
      <c r="DX289" s="51"/>
      <c r="DY289" s="51"/>
      <c r="DZ289" s="51"/>
      <c r="EA289" s="51"/>
      <c r="EB289" s="51"/>
      <c r="EC289" s="51"/>
      <c r="ED289" s="51"/>
      <c r="EE289" s="51"/>
      <c r="EF289" s="51"/>
      <c r="EG289" s="51"/>
      <c r="EH289" s="51"/>
      <c r="EI289" s="51"/>
      <c r="EJ289" s="51"/>
      <c r="EK289" s="51"/>
    </row>
    <row r="290" spans="1:141" s="52" customFormat="1" x14ac:dyDescent="0.2">
      <c r="A290" s="78"/>
      <c r="B290" s="42"/>
      <c r="C290" s="42"/>
      <c r="D290" s="44"/>
      <c r="E290" s="45"/>
      <c r="F290" s="45"/>
      <c r="G290" s="44"/>
      <c r="H290" s="44"/>
      <c r="I290" s="44"/>
      <c r="J290" s="47"/>
      <c r="K290" s="47"/>
      <c r="L290" s="44"/>
      <c r="M290" s="44"/>
      <c r="N290" s="43"/>
      <c r="O290" s="44"/>
      <c r="P290" s="48"/>
      <c r="Q290" s="48"/>
      <c r="R290" s="48"/>
      <c r="S290" s="48"/>
      <c r="T290" s="49"/>
      <c r="U290" s="48"/>
      <c r="V290" s="48"/>
      <c r="W290" s="48"/>
      <c r="X290" s="50"/>
      <c r="Y290" s="48"/>
      <c r="Z290" s="50"/>
      <c r="AA290" s="48"/>
      <c r="AB290" s="50"/>
      <c r="AC290" s="48"/>
      <c r="AD290" s="50"/>
      <c r="AE290" s="49"/>
      <c r="AF290" s="49"/>
      <c r="AG290" s="48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  <c r="DR290" s="51"/>
      <c r="DS290" s="51"/>
      <c r="DT290" s="51"/>
      <c r="DU290" s="51"/>
      <c r="DV290" s="51"/>
      <c r="DW290" s="51"/>
      <c r="DX290" s="51"/>
      <c r="DY290" s="51"/>
      <c r="DZ290" s="51"/>
      <c r="EA290" s="51"/>
      <c r="EB290" s="51"/>
      <c r="EC290" s="51"/>
      <c r="ED290" s="51"/>
      <c r="EE290" s="51"/>
      <c r="EF290" s="51"/>
      <c r="EG290" s="51"/>
      <c r="EH290" s="51"/>
      <c r="EI290" s="51"/>
      <c r="EJ290" s="51"/>
      <c r="EK290" s="51"/>
    </row>
    <row r="291" spans="1:141" s="52" customFormat="1" x14ac:dyDescent="0.2">
      <c r="A291" s="78"/>
      <c r="B291" s="42"/>
      <c r="C291" s="42"/>
      <c r="D291" s="44"/>
      <c r="E291" s="45"/>
      <c r="F291" s="45"/>
      <c r="G291" s="44"/>
      <c r="H291" s="44"/>
      <c r="I291" s="44"/>
      <c r="J291" s="47"/>
      <c r="K291" s="47"/>
      <c r="L291" s="44"/>
      <c r="M291" s="44"/>
      <c r="N291" s="43"/>
      <c r="O291" s="44"/>
      <c r="P291" s="48"/>
      <c r="Q291" s="48"/>
      <c r="R291" s="48"/>
      <c r="S291" s="48"/>
      <c r="T291" s="49"/>
      <c r="U291" s="48"/>
      <c r="V291" s="48"/>
      <c r="W291" s="48"/>
      <c r="X291" s="50"/>
      <c r="Y291" s="48"/>
      <c r="Z291" s="50"/>
      <c r="AA291" s="48"/>
      <c r="AB291" s="50"/>
      <c r="AC291" s="54"/>
      <c r="AD291" s="50"/>
      <c r="AE291" s="49"/>
      <c r="AF291" s="49"/>
      <c r="AG291" s="48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  <c r="DS291" s="51"/>
      <c r="DT291" s="51"/>
      <c r="DU291" s="51"/>
      <c r="DV291" s="51"/>
      <c r="DW291" s="51"/>
      <c r="DX291" s="51"/>
      <c r="DY291" s="51"/>
      <c r="DZ291" s="51"/>
      <c r="EA291" s="51"/>
      <c r="EB291" s="51"/>
      <c r="EC291" s="51"/>
      <c r="ED291" s="51"/>
      <c r="EE291" s="51"/>
      <c r="EF291" s="51"/>
      <c r="EG291" s="51"/>
      <c r="EH291" s="51"/>
      <c r="EI291" s="51"/>
      <c r="EJ291" s="51"/>
      <c r="EK291" s="51"/>
    </row>
    <row r="292" spans="1:141" s="52" customFormat="1" x14ac:dyDescent="0.2">
      <c r="A292" s="78"/>
      <c r="B292" s="42"/>
      <c r="C292" s="42"/>
      <c r="D292" s="44"/>
      <c r="E292" s="45"/>
      <c r="F292" s="45"/>
      <c r="G292" s="44"/>
      <c r="H292" s="66"/>
      <c r="I292" s="66"/>
      <c r="J292" s="47"/>
      <c r="K292" s="47"/>
      <c r="L292" s="44"/>
      <c r="M292" s="44"/>
      <c r="N292" s="43"/>
      <c r="O292" s="44"/>
      <c r="P292" s="48"/>
      <c r="Q292" s="48"/>
      <c r="R292" s="48"/>
      <c r="S292" s="48"/>
      <c r="T292" s="49"/>
      <c r="U292" s="48"/>
      <c r="V292" s="48"/>
      <c r="W292" s="48"/>
      <c r="X292" s="50"/>
      <c r="Y292" s="48"/>
      <c r="Z292" s="50"/>
      <c r="AA292" s="48"/>
      <c r="AB292" s="50"/>
      <c r="AC292" s="50"/>
      <c r="AD292" s="50"/>
      <c r="AE292" s="49"/>
      <c r="AF292" s="49"/>
      <c r="AG292" s="48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  <c r="DR292" s="51"/>
      <c r="DS292" s="51"/>
      <c r="DT292" s="51"/>
      <c r="DU292" s="51"/>
      <c r="DV292" s="51"/>
      <c r="DW292" s="51"/>
      <c r="DX292" s="51"/>
      <c r="DY292" s="51"/>
      <c r="DZ292" s="51"/>
      <c r="EA292" s="51"/>
      <c r="EB292" s="51"/>
      <c r="EC292" s="51"/>
      <c r="ED292" s="51"/>
      <c r="EE292" s="51"/>
      <c r="EF292" s="51"/>
      <c r="EG292" s="51"/>
      <c r="EH292" s="51"/>
      <c r="EI292" s="51"/>
      <c r="EJ292" s="51"/>
      <c r="EK292" s="51"/>
    </row>
    <row r="293" spans="1:141" s="52" customFormat="1" x14ac:dyDescent="0.2">
      <c r="A293" s="78"/>
      <c r="B293" s="42"/>
      <c r="C293" s="42"/>
      <c r="D293" s="44"/>
      <c r="E293" s="45"/>
      <c r="F293" s="45"/>
      <c r="G293" s="44"/>
      <c r="H293" s="44"/>
      <c r="I293" s="44"/>
      <c r="J293" s="47"/>
      <c r="K293" s="47"/>
      <c r="L293" s="44"/>
      <c r="M293" s="44"/>
      <c r="N293" s="43"/>
      <c r="O293" s="44"/>
      <c r="P293" s="48"/>
      <c r="Q293" s="48"/>
      <c r="R293" s="48"/>
      <c r="S293" s="48"/>
      <c r="T293" s="49"/>
      <c r="U293" s="48"/>
      <c r="V293" s="48"/>
      <c r="W293" s="48"/>
      <c r="X293" s="50"/>
      <c r="Y293" s="48"/>
      <c r="Z293" s="50"/>
      <c r="AA293" s="48"/>
      <c r="AB293" s="50"/>
      <c r="AC293" s="50"/>
      <c r="AD293" s="50"/>
      <c r="AE293" s="49"/>
      <c r="AF293" s="49"/>
      <c r="AG293" s="48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  <c r="DR293" s="51"/>
      <c r="DS293" s="51"/>
      <c r="DT293" s="51"/>
      <c r="DU293" s="51"/>
      <c r="DV293" s="51"/>
      <c r="DW293" s="51"/>
      <c r="DX293" s="51"/>
      <c r="DY293" s="51"/>
      <c r="DZ293" s="51"/>
      <c r="EA293" s="51"/>
      <c r="EB293" s="51"/>
      <c r="EC293" s="51"/>
      <c r="ED293" s="51"/>
      <c r="EE293" s="51"/>
      <c r="EF293" s="51"/>
      <c r="EG293" s="51"/>
      <c r="EH293" s="51"/>
      <c r="EI293" s="51"/>
      <c r="EJ293" s="51"/>
      <c r="EK293" s="51"/>
    </row>
    <row r="294" spans="1:141" s="52" customFormat="1" x14ac:dyDescent="0.2">
      <c r="A294" s="78"/>
      <c r="B294" s="42"/>
      <c r="C294" s="42"/>
      <c r="D294" s="44"/>
      <c r="E294" s="45"/>
      <c r="F294" s="45"/>
      <c r="G294" s="44"/>
      <c r="H294" s="44"/>
      <c r="I294" s="44"/>
      <c r="J294" s="47"/>
      <c r="K294" s="47"/>
      <c r="L294" s="44"/>
      <c r="M294" s="44"/>
      <c r="N294" s="43"/>
      <c r="O294" s="44"/>
      <c r="P294" s="48"/>
      <c r="Q294" s="48"/>
      <c r="R294" s="48"/>
      <c r="S294" s="48"/>
      <c r="T294" s="49"/>
      <c r="U294" s="48"/>
      <c r="V294" s="48"/>
      <c r="W294" s="48"/>
      <c r="X294" s="50"/>
      <c r="Y294" s="48"/>
      <c r="Z294" s="50"/>
      <c r="AA294" s="48"/>
      <c r="AB294" s="50"/>
      <c r="AC294" s="48"/>
      <c r="AD294" s="50"/>
      <c r="AE294" s="49"/>
      <c r="AF294" s="49"/>
      <c r="AG294" s="48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  <c r="DR294" s="51"/>
      <c r="DS294" s="51"/>
      <c r="DT294" s="51"/>
      <c r="DU294" s="51"/>
      <c r="DV294" s="51"/>
      <c r="DW294" s="51"/>
      <c r="DX294" s="51"/>
      <c r="DY294" s="51"/>
      <c r="DZ294" s="51"/>
      <c r="EA294" s="51"/>
      <c r="EB294" s="51"/>
      <c r="EC294" s="51"/>
      <c r="ED294" s="51"/>
      <c r="EE294" s="51"/>
      <c r="EF294" s="51"/>
      <c r="EG294" s="51"/>
      <c r="EH294" s="51"/>
      <c r="EI294" s="51"/>
      <c r="EJ294" s="51"/>
      <c r="EK294" s="51"/>
    </row>
    <row r="295" spans="1:141" s="52" customFormat="1" x14ac:dyDescent="0.2">
      <c r="A295" s="78"/>
      <c r="B295" s="42"/>
      <c r="C295" s="42"/>
      <c r="D295" s="44"/>
      <c r="E295" s="45"/>
      <c r="F295" s="45"/>
      <c r="G295" s="44"/>
      <c r="H295" s="44"/>
      <c r="I295" s="44"/>
      <c r="J295" s="47"/>
      <c r="K295" s="47"/>
      <c r="L295" s="44"/>
      <c r="M295" s="44"/>
      <c r="N295" s="43"/>
      <c r="O295" s="44"/>
      <c r="P295" s="48"/>
      <c r="Q295" s="48"/>
      <c r="R295" s="48"/>
      <c r="S295" s="48"/>
      <c r="T295" s="49"/>
      <c r="U295" s="48"/>
      <c r="V295" s="48"/>
      <c r="W295" s="48"/>
      <c r="X295" s="50"/>
      <c r="Y295" s="48"/>
      <c r="Z295" s="50"/>
      <c r="AA295" s="48"/>
      <c r="AB295" s="50"/>
      <c r="AC295" s="48"/>
      <c r="AD295" s="50"/>
      <c r="AE295" s="49"/>
      <c r="AF295" s="49"/>
      <c r="AG295" s="48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  <c r="DR295" s="51"/>
      <c r="DS295" s="51"/>
      <c r="DT295" s="51"/>
      <c r="DU295" s="51"/>
      <c r="DV295" s="51"/>
      <c r="DW295" s="51"/>
      <c r="DX295" s="51"/>
      <c r="DY295" s="51"/>
      <c r="DZ295" s="51"/>
      <c r="EA295" s="51"/>
      <c r="EB295" s="51"/>
      <c r="EC295" s="51"/>
      <c r="ED295" s="51"/>
      <c r="EE295" s="51"/>
      <c r="EF295" s="51"/>
      <c r="EG295" s="51"/>
      <c r="EH295" s="51"/>
      <c r="EI295" s="51"/>
      <c r="EJ295" s="51"/>
      <c r="EK295" s="51"/>
    </row>
    <row r="296" spans="1:141" s="52" customFormat="1" x14ac:dyDescent="0.2">
      <c r="A296" s="78"/>
      <c r="B296" s="42"/>
      <c r="C296" s="42"/>
      <c r="D296" s="44"/>
      <c r="E296" s="45"/>
      <c r="F296" s="45"/>
      <c r="G296" s="44"/>
      <c r="H296" s="44"/>
      <c r="I296" s="44"/>
      <c r="J296" s="47"/>
      <c r="K296" s="47"/>
      <c r="L296" s="44"/>
      <c r="M296" s="44"/>
      <c r="N296" s="43"/>
      <c r="O296" s="44"/>
      <c r="P296" s="48"/>
      <c r="Q296" s="48"/>
      <c r="R296" s="48"/>
      <c r="S296" s="48"/>
      <c r="T296" s="49"/>
      <c r="U296" s="48"/>
      <c r="V296" s="48"/>
      <c r="W296" s="48"/>
      <c r="X296" s="48"/>
      <c r="Y296" s="48"/>
      <c r="Z296" s="50"/>
      <c r="AA296" s="48"/>
      <c r="AB296" s="48"/>
      <c r="AC296" s="48"/>
      <c r="AD296" s="48"/>
      <c r="AE296" s="49"/>
      <c r="AF296" s="49"/>
      <c r="AG296" s="48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  <c r="DR296" s="51"/>
      <c r="DS296" s="51"/>
      <c r="DT296" s="51"/>
      <c r="DU296" s="51"/>
      <c r="DV296" s="51"/>
      <c r="DW296" s="51"/>
      <c r="DX296" s="51"/>
      <c r="DY296" s="51"/>
      <c r="DZ296" s="51"/>
      <c r="EA296" s="51"/>
      <c r="EB296" s="51"/>
      <c r="EC296" s="51"/>
      <c r="ED296" s="51"/>
      <c r="EE296" s="51"/>
      <c r="EF296" s="51"/>
      <c r="EG296" s="51"/>
      <c r="EH296" s="51"/>
      <c r="EI296" s="51"/>
      <c r="EJ296" s="51"/>
      <c r="EK296" s="51"/>
    </row>
    <row r="297" spans="1:141" s="52" customFormat="1" x14ac:dyDescent="0.2">
      <c r="A297" s="78"/>
      <c r="B297" s="42"/>
      <c r="C297" s="42"/>
      <c r="D297" s="44"/>
      <c r="E297" s="45"/>
      <c r="F297" s="45"/>
      <c r="G297" s="44"/>
      <c r="H297" s="44"/>
      <c r="I297" s="44"/>
      <c r="J297" s="47"/>
      <c r="K297" s="47"/>
      <c r="L297" s="44"/>
      <c r="M297" s="44"/>
      <c r="N297" s="43"/>
      <c r="O297" s="44"/>
      <c r="P297" s="48"/>
      <c r="Q297" s="48"/>
      <c r="R297" s="48"/>
      <c r="S297" s="48"/>
      <c r="T297" s="49"/>
      <c r="U297" s="48"/>
      <c r="V297" s="48"/>
      <c r="W297" s="48"/>
      <c r="X297" s="54"/>
      <c r="Y297" s="48"/>
      <c r="Z297" s="50"/>
      <c r="AA297" s="48"/>
      <c r="AB297" s="48"/>
      <c r="AC297" s="48"/>
      <c r="AD297" s="54"/>
      <c r="AE297" s="49"/>
      <c r="AF297" s="49"/>
      <c r="AG297" s="54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  <c r="DR297" s="51"/>
      <c r="DS297" s="51"/>
      <c r="DT297" s="51"/>
      <c r="DU297" s="51"/>
      <c r="DV297" s="51"/>
      <c r="DW297" s="51"/>
      <c r="DX297" s="51"/>
      <c r="DY297" s="51"/>
      <c r="DZ297" s="51"/>
      <c r="EA297" s="51"/>
      <c r="EB297" s="51"/>
      <c r="EC297" s="51"/>
      <c r="ED297" s="51"/>
      <c r="EE297" s="51"/>
      <c r="EF297" s="51"/>
      <c r="EG297" s="51"/>
      <c r="EH297" s="51"/>
      <c r="EI297" s="51"/>
      <c r="EJ297" s="51"/>
      <c r="EK297" s="51"/>
    </row>
    <row r="298" spans="1:141" s="52" customFormat="1" x14ac:dyDescent="0.2">
      <c r="A298" s="78"/>
      <c r="B298" s="42"/>
      <c r="C298" s="42"/>
      <c r="D298" s="44"/>
      <c r="E298" s="45"/>
      <c r="F298" s="45"/>
      <c r="G298" s="44"/>
      <c r="H298" s="44"/>
      <c r="I298" s="44"/>
      <c r="J298" s="47"/>
      <c r="K298" s="47"/>
      <c r="L298" s="44"/>
      <c r="M298" s="44"/>
      <c r="N298" s="43"/>
      <c r="O298" s="44"/>
      <c r="P298" s="48"/>
      <c r="Q298" s="48"/>
      <c r="R298" s="48"/>
      <c r="S298" s="48"/>
      <c r="T298" s="49"/>
      <c r="U298" s="48"/>
      <c r="V298" s="48"/>
      <c r="W298" s="48"/>
      <c r="X298" s="50"/>
      <c r="Y298" s="48"/>
      <c r="Z298" s="50"/>
      <c r="AA298" s="48"/>
      <c r="AB298" s="48"/>
      <c r="AC298" s="48"/>
      <c r="AD298" s="50"/>
      <c r="AE298" s="49"/>
      <c r="AF298" s="49"/>
      <c r="AG298" s="50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  <c r="DR298" s="51"/>
      <c r="DS298" s="51"/>
      <c r="DT298" s="51"/>
      <c r="DU298" s="51"/>
      <c r="DV298" s="51"/>
      <c r="DW298" s="51"/>
      <c r="DX298" s="51"/>
      <c r="DY298" s="51"/>
      <c r="DZ298" s="51"/>
      <c r="EA298" s="51"/>
      <c r="EB298" s="51"/>
      <c r="EC298" s="51"/>
      <c r="ED298" s="51"/>
      <c r="EE298" s="51"/>
      <c r="EF298" s="51"/>
      <c r="EG298" s="51"/>
      <c r="EH298" s="51"/>
      <c r="EI298" s="51"/>
      <c r="EJ298" s="51"/>
      <c r="EK298" s="51"/>
    </row>
    <row r="299" spans="1:141" s="52" customFormat="1" x14ac:dyDescent="0.2">
      <c r="A299" s="78"/>
      <c r="B299" s="42"/>
      <c r="C299" s="42"/>
      <c r="D299" s="44"/>
      <c r="E299" s="45"/>
      <c r="F299" s="45"/>
      <c r="G299" s="44"/>
      <c r="H299" s="44"/>
      <c r="I299" s="44"/>
      <c r="J299" s="47"/>
      <c r="K299" s="47"/>
      <c r="L299" s="44"/>
      <c r="M299" s="44"/>
      <c r="N299" s="43"/>
      <c r="O299" s="44"/>
      <c r="P299" s="48"/>
      <c r="Q299" s="48"/>
      <c r="R299" s="48"/>
      <c r="S299" s="48"/>
      <c r="T299" s="49"/>
      <c r="U299" s="48"/>
      <c r="V299" s="48"/>
      <c r="W299" s="48"/>
      <c r="X299" s="50"/>
      <c r="Y299" s="48"/>
      <c r="Z299" s="50"/>
      <c r="AA299" s="48"/>
      <c r="AB299" s="48"/>
      <c r="AC299" s="54"/>
      <c r="AD299" s="50"/>
      <c r="AE299" s="49"/>
      <c r="AF299" s="49"/>
      <c r="AG299" s="50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  <c r="DR299" s="51"/>
      <c r="DS299" s="51"/>
      <c r="DT299" s="51"/>
      <c r="DU299" s="51"/>
      <c r="DV299" s="51"/>
      <c r="DW299" s="51"/>
      <c r="DX299" s="51"/>
      <c r="DY299" s="51"/>
      <c r="DZ299" s="51"/>
      <c r="EA299" s="51"/>
      <c r="EB299" s="51"/>
      <c r="EC299" s="51"/>
      <c r="ED299" s="51"/>
      <c r="EE299" s="51"/>
      <c r="EF299" s="51"/>
      <c r="EG299" s="51"/>
      <c r="EH299" s="51"/>
      <c r="EI299" s="51"/>
      <c r="EJ299" s="51"/>
      <c r="EK299" s="51"/>
    </row>
    <row r="300" spans="1:141" s="52" customFormat="1" x14ac:dyDescent="0.2">
      <c r="A300" s="78"/>
      <c r="B300" s="42"/>
      <c r="C300" s="42"/>
      <c r="D300" s="44"/>
      <c r="E300" s="45"/>
      <c r="F300" s="45"/>
      <c r="G300" s="44"/>
      <c r="H300" s="44"/>
      <c r="I300" s="44"/>
      <c r="J300" s="47"/>
      <c r="K300" s="47"/>
      <c r="L300" s="44"/>
      <c r="M300" s="44"/>
      <c r="N300" s="43"/>
      <c r="O300" s="44"/>
      <c r="P300" s="48"/>
      <c r="Q300" s="48"/>
      <c r="R300" s="48"/>
      <c r="S300" s="48"/>
      <c r="T300" s="49"/>
      <c r="U300" s="48"/>
      <c r="V300" s="48"/>
      <c r="W300" s="48"/>
      <c r="X300" s="50"/>
      <c r="Y300" s="48"/>
      <c r="Z300" s="50"/>
      <c r="AA300" s="48"/>
      <c r="AB300" s="48"/>
      <c r="AC300" s="50"/>
      <c r="AD300" s="50"/>
      <c r="AE300" s="49"/>
      <c r="AF300" s="49"/>
      <c r="AG300" s="48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  <c r="DR300" s="51"/>
      <c r="DS300" s="51"/>
      <c r="DT300" s="51"/>
      <c r="DU300" s="51"/>
      <c r="DV300" s="51"/>
      <c r="DW300" s="51"/>
      <c r="DX300" s="51"/>
      <c r="DY300" s="51"/>
      <c r="DZ300" s="51"/>
      <c r="EA300" s="51"/>
      <c r="EB300" s="51"/>
      <c r="EC300" s="51"/>
      <c r="ED300" s="51"/>
      <c r="EE300" s="51"/>
      <c r="EF300" s="51"/>
      <c r="EG300" s="51"/>
      <c r="EH300" s="51"/>
      <c r="EI300" s="51"/>
      <c r="EJ300" s="51"/>
      <c r="EK300" s="51"/>
    </row>
    <row r="301" spans="1:141" s="52" customFormat="1" x14ac:dyDescent="0.2">
      <c r="A301" s="78"/>
      <c r="B301" s="42"/>
      <c r="C301" s="42"/>
      <c r="D301" s="44"/>
      <c r="E301" s="45"/>
      <c r="F301" s="45"/>
      <c r="G301" s="44"/>
      <c r="H301" s="44"/>
      <c r="I301" s="44"/>
      <c r="J301" s="47"/>
      <c r="K301" s="47"/>
      <c r="L301" s="44"/>
      <c r="M301" s="44"/>
      <c r="N301" s="43"/>
      <c r="O301" s="44"/>
      <c r="P301" s="48"/>
      <c r="Q301" s="48"/>
      <c r="R301" s="48"/>
      <c r="S301" s="48"/>
      <c r="T301" s="49"/>
      <c r="U301" s="48"/>
      <c r="V301" s="48"/>
      <c r="W301" s="48"/>
      <c r="X301" s="50"/>
      <c r="Y301" s="48"/>
      <c r="Z301" s="50"/>
      <c r="AA301" s="54"/>
      <c r="AB301" s="54"/>
      <c r="AC301" s="50"/>
      <c r="AD301" s="50"/>
      <c r="AE301" s="49"/>
      <c r="AF301" s="49"/>
      <c r="AG301" s="48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  <c r="DR301" s="51"/>
      <c r="DS301" s="51"/>
      <c r="DT301" s="51"/>
      <c r="DU301" s="51"/>
      <c r="DV301" s="51"/>
      <c r="DW301" s="51"/>
      <c r="DX301" s="51"/>
      <c r="DY301" s="51"/>
      <c r="DZ301" s="51"/>
      <c r="EA301" s="51"/>
      <c r="EB301" s="51"/>
      <c r="EC301" s="51"/>
      <c r="ED301" s="51"/>
      <c r="EE301" s="51"/>
      <c r="EF301" s="51"/>
      <c r="EG301" s="51"/>
      <c r="EH301" s="51"/>
      <c r="EI301" s="51"/>
      <c r="EJ301" s="51"/>
      <c r="EK301" s="51"/>
    </row>
    <row r="302" spans="1:141" s="52" customFormat="1" x14ac:dyDescent="0.2">
      <c r="A302" s="78"/>
      <c r="B302" s="42"/>
      <c r="C302" s="42"/>
      <c r="D302" s="44"/>
      <c r="E302" s="45"/>
      <c r="F302" s="45"/>
      <c r="G302" s="44"/>
      <c r="H302" s="44"/>
      <c r="I302" s="44"/>
      <c r="J302" s="47"/>
      <c r="K302" s="47"/>
      <c r="L302" s="44"/>
      <c r="M302" s="44"/>
      <c r="N302" s="43"/>
      <c r="O302" s="44"/>
      <c r="P302" s="48"/>
      <c r="Q302" s="48"/>
      <c r="R302" s="48"/>
      <c r="S302" s="48"/>
      <c r="T302" s="49"/>
      <c r="U302" s="48"/>
      <c r="V302" s="48"/>
      <c r="W302" s="48"/>
      <c r="X302" s="48"/>
      <c r="Y302" s="48"/>
      <c r="Z302" s="50"/>
      <c r="AA302" s="50"/>
      <c r="AB302" s="50"/>
      <c r="AC302" s="67"/>
      <c r="AD302" s="50"/>
      <c r="AE302" s="49"/>
      <c r="AF302" s="49"/>
      <c r="AG302" s="48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  <c r="DS302" s="51"/>
      <c r="DT302" s="51"/>
      <c r="DU302" s="51"/>
      <c r="DV302" s="51"/>
      <c r="DW302" s="51"/>
      <c r="DX302" s="51"/>
      <c r="DY302" s="51"/>
      <c r="DZ302" s="51"/>
      <c r="EA302" s="51"/>
      <c r="EB302" s="51"/>
      <c r="EC302" s="51"/>
      <c r="ED302" s="51"/>
      <c r="EE302" s="51"/>
      <c r="EF302" s="51"/>
      <c r="EG302" s="51"/>
      <c r="EH302" s="51"/>
      <c r="EI302" s="51"/>
      <c r="EJ302" s="51"/>
      <c r="EK302" s="51"/>
    </row>
    <row r="303" spans="1:141" s="52" customFormat="1" x14ac:dyDescent="0.2">
      <c r="A303" s="78"/>
      <c r="B303" s="42"/>
      <c r="C303" s="42"/>
      <c r="D303" s="44"/>
      <c r="E303" s="45"/>
      <c r="F303" s="45"/>
      <c r="G303" s="44"/>
      <c r="H303" s="44"/>
      <c r="I303" s="44"/>
      <c r="J303" s="47"/>
      <c r="K303" s="47"/>
      <c r="L303" s="44"/>
      <c r="M303" s="44"/>
      <c r="N303" s="43"/>
      <c r="O303" s="44"/>
      <c r="P303" s="48"/>
      <c r="Q303" s="48"/>
      <c r="R303" s="48"/>
      <c r="S303" s="48"/>
      <c r="T303" s="49"/>
      <c r="U303" s="48"/>
      <c r="V303" s="48"/>
      <c r="W303" s="48"/>
      <c r="X303" s="54"/>
      <c r="Y303" s="48"/>
      <c r="Z303" s="50"/>
      <c r="AA303" s="50"/>
      <c r="AB303" s="50"/>
      <c r="AC303" s="50"/>
      <c r="AD303" s="50"/>
      <c r="AE303" s="49"/>
      <c r="AF303" s="49"/>
      <c r="AG303" s="54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  <c r="DS303" s="51"/>
      <c r="DT303" s="51"/>
      <c r="DU303" s="51"/>
      <c r="DV303" s="51"/>
      <c r="DW303" s="51"/>
      <c r="DX303" s="51"/>
      <c r="DY303" s="51"/>
      <c r="DZ303" s="51"/>
      <c r="EA303" s="51"/>
      <c r="EB303" s="51"/>
      <c r="EC303" s="51"/>
      <c r="ED303" s="51"/>
      <c r="EE303" s="51"/>
      <c r="EF303" s="51"/>
      <c r="EG303" s="51"/>
      <c r="EH303" s="51"/>
      <c r="EI303" s="51"/>
      <c r="EJ303" s="51"/>
      <c r="EK303" s="51"/>
    </row>
    <row r="304" spans="1:141" s="52" customFormat="1" x14ac:dyDescent="0.2">
      <c r="A304" s="78"/>
      <c r="B304" s="42"/>
      <c r="C304" s="42"/>
      <c r="D304" s="44"/>
      <c r="E304" s="45"/>
      <c r="F304" s="45"/>
      <c r="G304" s="44"/>
      <c r="H304" s="44"/>
      <c r="I304" s="44"/>
      <c r="J304" s="47"/>
      <c r="K304" s="47"/>
      <c r="L304" s="44"/>
      <c r="M304" s="44"/>
      <c r="N304" s="43"/>
      <c r="O304" s="44"/>
      <c r="P304" s="48"/>
      <c r="Q304" s="48"/>
      <c r="R304" s="48"/>
      <c r="S304" s="48"/>
      <c r="T304" s="49"/>
      <c r="U304" s="48"/>
      <c r="V304" s="48"/>
      <c r="W304" s="48"/>
      <c r="X304" s="50"/>
      <c r="Y304" s="48"/>
      <c r="Z304" s="50"/>
      <c r="AA304" s="50"/>
      <c r="AB304" s="50"/>
      <c r="AC304" s="50"/>
      <c r="AD304" s="50"/>
      <c r="AE304" s="49"/>
      <c r="AF304" s="49"/>
      <c r="AG304" s="50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  <c r="DR304" s="51"/>
      <c r="DS304" s="51"/>
      <c r="DT304" s="51"/>
      <c r="DU304" s="51"/>
      <c r="DV304" s="51"/>
      <c r="DW304" s="51"/>
      <c r="DX304" s="51"/>
      <c r="DY304" s="51"/>
      <c r="DZ304" s="51"/>
      <c r="EA304" s="51"/>
      <c r="EB304" s="51"/>
      <c r="EC304" s="51"/>
      <c r="ED304" s="51"/>
      <c r="EE304" s="51"/>
      <c r="EF304" s="51"/>
      <c r="EG304" s="51"/>
      <c r="EH304" s="51"/>
      <c r="EI304" s="51"/>
      <c r="EJ304" s="51"/>
      <c r="EK304" s="51"/>
    </row>
    <row r="305" spans="1:141" s="52" customFormat="1" x14ac:dyDescent="0.2">
      <c r="A305" s="78"/>
      <c r="B305" s="42"/>
      <c r="C305" s="42"/>
      <c r="D305" s="44"/>
      <c r="E305" s="45"/>
      <c r="F305" s="45"/>
      <c r="G305" s="44"/>
      <c r="H305" s="44"/>
      <c r="I305" s="44"/>
      <c r="J305" s="47"/>
      <c r="K305" s="47"/>
      <c r="L305" s="44"/>
      <c r="M305" s="44"/>
      <c r="N305" s="43"/>
      <c r="O305" s="44"/>
      <c r="P305" s="48"/>
      <c r="Q305" s="48"/>
      <c r="R305" s="48"/>
      <c r="S305" s="48"/>
      <c r="T305" s="49"/>
      <c r="U305" s="48"/>
      <c r="V305" s="48"/>
      <c r="W305" s="48"/>
      <c r="X305" s="50"/>
      <c r="Y305" s="48"/>
      <c r="Z305" s="50"/>
      <c r="AA305" s="50"/>
      <c r="AB305" s="50"/>
      <c r="AC305" s="50"/>
      <c r="AD305" s="50"/>
      <c r="AE305" s="49"/>
      <c r="AF305" s="49"/>
      <c r="AG305" s="50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  <c r="DR305" s="51"/>
      <c r="DS305" s="51"/>
      <c r="DT305" s="51"/>
      <c r="DU305" s="51"/>
      <c r="DV305" s="51"/>
      <c r="DW305" s="51"/>
      <c r="DX305" s="51"/>
      <c r="DY305" s="51"/>
      <c r="DZ305" s="51"/>
      <c r="EA305" s="51"/>
      <c r="EB305" s="51"/>
      <c r="EC305" s="51"/>
      <c r="ED305" s="51"/>
      <c r="EE305" s="51"/>
      <c r="EF305" s="51"/>
      <c r="EG305" s="51"/>
      <c r="EH305" s="51"/>
      <c r="EI305" s="51"/>
      <c r="EJ305" s="51"/>
      <c r="EK305" s="51"/>
    </row>
    <row r="306" spans="1:141" s="52" customFormat="1" x14ac:dyDescent="0.2">
      <c r="A306" s="78"/>
      <c r="B306" s="42"/>
      <c r="C306" s="42"/>
      <c r="D306" s="44"/>
      <c r="E306" s="45"/>
      <c r="F306" s="45"/>
      <c r="G306" s="44"/>
      <c r="H306" s="44"/>
      <c r="I306" s="44"/>
      <c r="J306" s="47"/>
      <c r="K306" s="47"/>
      <c r="L306" s="44"/>
      <c r="M306" s="44"/>
      <c r="N306" s="43"/>
      <c r="O306" s="44"/>
      <c r="P306" s="48"/>
      <c r="Q306" s="48"/>
      <c r="R306" s="48"/>
      <c r="S306" s="48"/>
      <c r="T306" s="49"/>
      <c r="U306" s="48"/>
      <c r="V306" s="48"/>
      <c r="W306" s="48"/>
      <c r="X306" s="50"/>
      <c r="Y306" s="48"/>
      <c r="Z306" s="50"/>
      <c r="AA306" s="50"/>
      <c r="AB306" s="50"/>
      <c r="AC306" s="67"/>
      <c r="AD306" s="50"/>
      <c r="AE306" s="49"/>
      <c r="AF306" s="49"/>
      <c r="AG306" s="50"/>
      <c r="AH306" s="68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  <c r="DR306" s="51"/>
      <c r="DS306" s="51"/>
      <c r="DT306" s="51"/>
      <c r="DU306" s="51"/>
      <c r="DV306" s="51"/>
      <c r="DW306" s="51"/>
      <c r="DX306" s="51"/>
      <c r="DY306" s="51"/>
      <c r="DZ306" s="51"/>
      <c r="EA306" s="51"/>
      <c r="EB306" s="51"/>
      <c r="EC306" s="51"/>
      <c r="ED306" s="51"/>
      <c r="EE306" s="51"/>
      <c r="EF306" s="51"/>
      <c r="EG306" s="51"/>
      <c r="EH306" s="51"/>
      <c r="EI306" s="51"/>
      <c r="EJ306" s="51"/>
      <c r="EK306" s="51"/>
    </row>
    <row r="307" spans="1:141" s="52" customFormat="1" x14ac:dyDescent="0.2">
      <c r="A307" s="78"/>
      <c r="B307" s="42"/>
      <c r="C307" s="42"/>
      <c r="D307" s="44"/>
      <c r="E307" s="45"/>
      <c r="F307" s="45"/>
      <c r="G307" s="44"/>
      <c r="H307" s="44"/>
      <c r="I307" s="44"/>
      <c r="J307" s="47"/>
      <c r="K307" s="47"/>
      <c r="L307" s="44"/>
      <c r="M307" s="44"/>
      <c r="N307" s="43"/>
      <c r="O307" s="44"/>
      <c r="P307" s="48"/>
      <c r="Q307" s="48"/>
      <c r="R307" s="48"/>
      <c r="S307" s="48"/>
      <c r="T307" s="49"/>
      <c r="U307" s="48"/>
      <c r="V307" s="48"/>
      <c r="W307" s="48"/>
      <c r="X307" s="50"/>
      <c r="Y307" s="48"/>
      <c r="Z307" s="50"/>
      <c r="AA307" s="50"/>
      <c r="AB307" s="50"/>
      <c r="AC307" s="50"/>
      <c r="AD307" s="50"/>
      <c r="AE307" s="49"/>
      <c r="AF307" s="49"/>
      <c r="AG307" s="50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  <c r="DR307" s="51"/>
      <c r="DS307" s="51"/>
      <c r="DT307" s="51"/>
      <c r="DU307" s="51"/>
      <c r="DV307" s="51"/>
      <c r="DW307" s="51"/>
      <c r="DX307" s="51"/>
      <c r="DY307" s="51"/>
      <c r="DZ307" s="51"/>
      <c r="EA307" s="51"/>
      <c r="EB307" s="51"/>
      <c r="EC307" s="51"/>
      <c r="ED307" s="51"/>
      <c r="EE307" s="51"/>
      <c r="EF307" s="51"/>
      <c r="EG307" s="51"/>
      <c r="EH307" s="51"/>
      <c r="EI307" s="51"/>
      <c r="EJ307" s="51"/>
      <c r="EK307" s="51"/>
    </row>
    <row r="308" spans="1:141" s="52" customFormat="1" x14ac:dyDescent="0.2">
      <c r="A308" s="78"/>
      <c r="B308" s="42"/>
      <c r="C308" s="42"/>
      <c r="D308" s="44"/>
      <c r="E308" s="45"/>
      <c r="F308" s="45"/>
      <c r="G308" s="44"/>
      <c r="H308" s="44"/>
      <c r="I308" s="44"/>
      <c r="J308" s="47"/>
      <c r="K308" s="47"/>
      <c r="L308" s="44"/>
      <c r="M308" s="44"/>
      <c r="N308" s="43"/>
      <c r="O308" s="44"/>
      <c r="P308" s="48"/>
      <c r="Q308" s="48"/>
      <c r="R308" s="48"/>
      <c r="S308" s="69"/>
      <c r="T308" s="49"/>
      <c r="U308" s="48"/>
      <c r="V308" s="48"/>
      <c r="W308" s="48"/>
      <c r="X308" s="50"/>
      <c r="Y308" s="69"/>
      <c r="Z308" s="50"/>
      <c r="AA308" s="50"/>
      <c r="AB308" s="50"/>
      <c r="AC308" s="50"/>
      <c r="AD308" s="50"/>
      <c r="AE308" s="49"/>
      <c r="AF308" s="49"/>
      <c r="AG308" s="50"/>
      <c r="AH308" s="68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  <c r="DR308" s="51"/>
      <c r="DS308" s="51"/>
      <c r="DT308" s="51"/>
      <c r="DU308" s="51"/>
      <c r="DV308" s="51"/>
      <c r="DW308" s="51"/>
      <c r="DX308" s="51"/>
      <c r="DY308" s="51"/>
      <c r="DZ308" s="51"/>
      <c r="EA308" s="51"/>
      <c r="EB308" s="51"/>
      <c r="EC308" s="51"/>
      <c r="ED308" s="51"/>
      <c r="EE308" s="51"/>
      <c r="EF308" s="51"/>
      <c r="EG308" s="51"/>
      <c r="EH308" s="51"/>
      <c r="EI308" s="51"/>
      <c r="EJ308" s="51"/>
      <c r="EK308" s="51"/>
    </row>
    <row r="309" spans="1:141" s="52" customFormat="1" x14ac:dyDescent="0.2">
      <c r="A309" s="78"/>
      <c r="B309" s="42"/>
      <c r="C309" s="42"/>
      <c r="D309" s="44"/>
      <c r="E309" s="45"/>
      <c r="F309" s="45"/>
      <c r="G309" s="44"/>
      <c r="H309" s="44"/>
      <c r="I309" s="44"/>
      <c r="J309" s="47"/>
      <c r="K309" s="47"/>
      <c r="L309" s="44"/>
      <c r="M309" s="44"/>
      <c r="N309" s="43"/>
      <c r="O309" s="44"/>
      <c r="P309" s="48"/>
      <c r="Q309" s="48"/>
      <c r="R309" s="48"/>
      <c r="S309" s="48"/>
      <c r="T309" s="49"/>
      <c r="U309" s="48"/>
      <c r="V309" s="48"/>
      <c r="W309" s="48"/>
      <c r="X309" s="50"/>
      <c r="Y309" s="48"/>
      <c r="Z309" s="50"/>
      <c r="AA309" s="50"/>
      <c r="AB309" s="50"/>
      <c r="AC309" s="50"/>
      <c r="AD309" s="50"/>
      <c r="AE309" s="49"/>
      <c r="AF309" s="49"/>
      <c r="AG309" s="50"/>
      <c r="AH309" s="68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  <c r="DS309" s="51"/>
      <c r="DT309" s="51"/>
      <c r="DU309" s="51"/>
      <c r="DV309" s="51"/>
      <c r="DW309" s="51"/>
      <c r="DX309" s="51"/>
      <c r="DY309" s="51"/>
      <c r="DZ309" s="51"/>
      <c r="EA309" s="51"/>
      <c r="EB309" s="51"/>
      <c r="EC309" s="51"/>
      <c r="ED309" s="51"/>
      <c r="EE309" s="51"/>
      <c r="EF309" s="51"/>
      <c r="EG309" s="51"/>
      <c r="EH309" s="51"/>
      <c r="EI309" s="51"/>
      <c r="EJ309" s="51"/>
      <c r="EK309" s="51"/>
    </row>
    <row r="310" spans="1:141" s="52" customFormat="1" x14ac:dyDescent="0.2">
      <c r="A310" s="78"/>
      <c r="B310" s="42"/>
      <c r="C310" s="42"/>
      <c r="D310" s="44"/>
      <c r="E310" s="45"/>
      <c r="F310" s="45"/>
      <c r="G310" s="44"/>
      <c r="H310" s="44"/>
      <c r="I310" s="44"/>
      <c r="J310" s="47"/>
      <c r="K310" s="47"/>
      <c r="L310" s="44"/>
      <c r="M310" s="44"/>
      <c r="N310" s="43"/>
      <c r="O310" s="44"/>
      <c r="P310" s="48"/>
      <c r="Q310" s="48"/>
      <c r="R310" s="48"/>
      <c r="S310" s="48"/>
      <c r="T310" s="49"/>
      <c r="U310" s="48"/>
      <c r="V310" s="48"/>
      <c r="W310" s="48"/>
      <c r="X310" s="50"/>
      <c r="Y310" s="48"/>
      <c r="Z310" s="50"/>
      <c r="AA310" s="50"/>
      <c r="AB310" s="50"/>
      <c r="AC310" s="50"/>
      <c r="AD310" s="50"/>
      <c r="AE310" s="49"/>
      <c r="AF310" s="49"/>
      <c r="AG310" s="50"/>
      <c r="AH310" s="68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  <c r="DS310" s="51"/>
      <c r="DT310" s="51"/>
      <c r="DU310" s="51"/>
      <c r="DV310" s="51"/>
      <c r="DW310" s="51"/>
      <c r="DX310" s="51"/>
      <c r="DY310" s="51"/>
      <c r="DZ310" s="51"/>
      <c r="EA310" s="51"/>
      <c r="EB310" s="51"/>
      <c r="EC310" s="51"/>
      <c r="ED310" s="51"/>
      <c r="EE310" s="51"/>
      <c r="EF310" s="51"/>
      <c r="EG310" s="51"/>
      <c r="EH310" s="51"/>
      <c r="EI310" s="51"/>
      <c r="EJ310" s="51"/>
      <c r="EK310" s="51"/>
    </row>
    <row r="311" spans="1:141" s="52" customFormat="1" x14ac:dyDescent="0.2">
      <c r="A311" s="78"/>
      <c r="B311" s="42"/>
      <c r="C311" s="42"/>
      <c r="D311" s="44"/>
      <c r="E311" s="45"/>
      <c r="F311" s="45"/>
      <c r="G311" s="44"/>
      <c r="H311" s="44"/>
      <c r="I311" s="44"/>
      <c r="J311" s="47"/>
      <c r="K311" s="47"/>
      <c r="L311" s="44"/>
      <c r="M311" s="44"/>
      <c r="N311" s="43"/>
      <c r="O311" s="44"/>
      <c r="P311" s="48"/>
      <c r="Q311" s="48"/>
      <c r="R311" s="48"/>
      <c r="S311" s="48"/>
      <c r="T311" s="49"/>
      <c r="U311" s="48"/>
      <c r="V311" s="48"/>
      <c r="W311" s="48"/>
      <c r="X311" s="50"/>
      <c r="Y311" s="48"/>
      <c r="Z311" s="50"/>
      <c r="AA311" s="50"/>
      <c r="AB311" s="50"/>
      <c r="AC311" s="50"/>
      <c r="AD311" s="50"/>
      <c r="AE311" s="49"/>
      <c r="AF311" s="49"/>
      <c r="AG311" s="50"/>
      <c r="AH311" s="68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  <c r="DR311" s="51"/>
      <c r="DS311" s="51"/>
      <c r="DT311" s="51"/>
      <c r="DU311" s="51"/>
      <c r="DV311" s="51"/>
      <c r="DW311" s="51"/>
      <c r="DX311" s="51"/>
      <c r="DY311" s="51"/>
      <c r="DZ311" s="51"/>
      <c r="EA311" s="51"/>
      <c r="EB311" s="51"/>
      <c r="EC311" s="51"/>
      <c r="ED311" s="51"/>
      <c r="EE311" s="51"/>
      <c r="EF311" s="51"/>
      <c r="EG311" s="51"/>
      <c r="EH311" s="51"/>
      <c r="EI311" s="51"/>
      <c r="EJ311" s="51"/>
      <c r="EK311" s="51"/>
    </row>
    <row r="312" spans="1:141" s="52" customFormat="1" x14ac:dyDescent="0.2">
      <c r="A312" s="78"/>
      <c r="B312" s="42"/>
      <c r="C312" s="42"/>
      <c r="D312" s="44"/>
      <c r="E312" s="45"/>
      <c r="F312" s="45"/>
      <c r="G312" s="44"/>
      <c r="H312" s="44"/>
      <c r="I312" s="44"/>
      <c r="J312" s="47"/>
      <c r="K312" s="47"/>
      <c r="L312" s="44"/>
      <c r="M312" s="44"/>
      <c r="N312" s="43"/>
      <c r="O312" s="44"/>
      <c r="P312" s="48"/>
      <c r="Q312" s="48"/>
      <c r="R312" s="48"/>
      <c r="S312" s="48"/>
      <c r="T312" s="49"/>
      <c r="U312" s="48"/>
      <c r="V312" s="48"/>
      <c r="W312" s="48"/>
      <c r="X312" s="50"/>
      <c r="Y312" s="48"/>
      <c r="Z312" s="50"/>
      <c r="AA312" s="50"/>
      <c r="AB312" s="50"/>
      <c r="AC312" s="67"/>
      <c r="AD312" s="50"/>
      <c r="AE312" s="49"/>
      <c r="AF312" s="49"/>
      <c r="AG312" s="50"/>
      <c r="AH312" s="68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  <c r="DR312" s="51"/>
      <c r="DS312" s="51"/>
      <c r="DT312" s="51"/>
      <c r="DU312" s="51"/>
      <c r="DV312" s="51"/>
      <c r="DW312" s="51"/>
      <c r="DX312" s="51"/>
      <c r="DY312" s="51"/>
      <c r="DZ312" s="51"/>
      <c r="EA312" s="51"/>
      <c r="EB312" s="51"/>
      <c r="EC312" s="51"/>
      <c r="ED312" s="51"/>
      <c r="EE312" s="51"/>
      <c r="EF312" s="51"/>
      <c r="EG312" s="51"/>
      <c r="EH312" s="51"/>
      <c r="EI312" s="51"/>
      <c r="EJ312" s="51"/>
      <c r="EK312" s="51"/>
    </row>
    <row r="313" spans="1:141" s="52" customFormat="1" x14ac:dyDescent="0.2">
      <c r="A313" s="78"/>
      <c r="B313" s="42"/>
      <c r="C313" s="42"/>
      <c r="D313" s="44"/>
      <c r="E313" s="45"/>
      <c r="F313" s="45"/>
      <c r="G313" s="44"/>
      <c r="H313" s="44"/>
      <c r="I313" s="44"/>
      <c r="J313" s="47"/>
      <c r="K313" s="47"/>
      <c r="L313" s="44"/>
      <c r="M313" s="44"/>
      <c r="N313" s="43"/>
      <c r="O313" s="44"/>
      <c r="P313" s="48"/>
      <c r="Q313" s="48"/>
      <c r="R313" s="48"/>
      <c r="S313" s="48"/>
      <c r="T313" s="49"/>
      <c r="U313" s="48"/>
      <c r="V313" s="48"/>
      <c r="W313" s="48"/>
      <c r="X313" s="50"/>
      <c r="Y313" s="48"/>
      <c r="Z313" s="50"/>
      <c r="AA313" s="50"/>
      <c r="AB313" s="50"/>
      <c r="AC313" s="50"/>
      <c r="AD313" s="50"/>
      <c r="AE313" s="49"/>
      <c r="AF313" s="49"/>
      <c r="AG313" s="50"/>
      <c r="AH313" s="68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  <c r="DR313" s="51"/>
      <c r="DS313" s="51"/>
      <c r="DT313" s="51"/>
      <c r="DU313" s="51"/>
      <c r="DV313" s="51"/>
      <c r="DW313" s="51"/>
      <c r="DX313" s="51"/>
      <c r="DY313" s="51"/>
      <c r="DZ313" s="51"/>
      <c r="EA313" s="51"/>
      <c r="EB313" s="51"/>
      <c r="EC313" s="51"/>
      <c r="ED313" s="51"/>
      <c r="EE313" s="51"/>
      <c r="EF313" s="51"/>
      <c r="EG313" s="51"/>
      <c r="EH313" s="51"/>
      <c r="EI313" s="51"/>
      <c r="EJ313" s="51"/>
      <c r="EK313" s="51"/>
    </row>
    <row r="314" spans="1:141" s="52" customFormat="1" x14ac:dyDescent="0.2">
      <c r="A314" s="78"/>
      <c r="B314" s="42"/>
      <c r="C314" s="42"/>
      <c r="D314" s="44"/>
      <c r="E314" s="45"/>
      <c r="F314" s="45"/>
      <c r="G314" s="44"/>
      <c r="H314" s="44"/>
      <c r="I314" s="44"/>
      <c r="J314" s="47"/>
      <c r="K314" s="47"/>
      <c r="L314" s="44"/>
      <c r="M314" s="44"/>
      <c r="N314" s="43"/>
      <c r="O314" s="44"/>
      <c r="P314" s="48"/>
      <c r="Q314" s="48"/>
      <c r="R314" s="48"/>
      <c r="S314" s="48"/>
      <c r="T314" s="49"/>
      <c r="U314" s="48"/>
      <c r="V314" s="48"/>
      <c r="W314" s="48"/>
      <c r="X314" s="50"/>
      <c r="Y314" s="48"/>
      <c r="Z314" s="50"/>
      <c r="AA314" s="50"/>
      <c r="AB314" s="50"/>
      <c r="AC314" s="50"/>
      <c r="AD314" s="50"/>
      <c r="AE314" s="49"/>
      <c r="AF314" s="49"/>
      <c r="AG314" s="50"/>
      <c r="AH314" s="68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  <c r="DS314" s="51"/>
      <c r="DT314" s="51"/>
      <c r="DU314" s="51"/>
      <c r="DV314" s="51"/>
      <c r="DW314" s="51"/>
      <c r="DX314" s="51"/>
      <c r="DY314" s="51"/>
      <c r="DZ314" s="51"/>
      <c r="EA314" s="51"/>
      <c r="EB314" s="51"/>
      <c r="EC314" s="51"/>
      <c r="ED314" s="51"/>
      <c r="EE314" s="51"/>
      <c r="EF314" s="51"/>
      <c r="EG314" s="51"/>
      <c r="EH314" s="51"/>
      <c r="EI314" s="51"/>
      <c r="EJ314" s="51"/>
      <c r="EK314" s="51"/>
    </row>
    <row r="315" spans="1:141" s="52" customFormat="1" x14ac:dyDescent="0.2">
      <c r="A315" s="78"/>
      <c r="B315" s="42"/>
      <c r="C315" s="42"/>
      <c r="D315" s="44"/>
      <c r="E315" s="45"/>
      <c r="F315" s="45"/>
      <c r="G315" s="44"/>
      <c r="H315" s="44"/>
      <c r="I315" s="44"/>
      <c r="J315" s="47"/>
      <c r="K315" s="47"/>
      <c r="L315" s="44"/>
      <c r="M315" s="44"/>
      <c r="N315" s="43"/>
      <c r="O315" s="44"/>
      <c r="P315" s="48"/>
      <c r="Q315" s="48"/>
      <c r="R315" s="48"/>
      <c r="S315" s="48"/>
      <c r="T315" s="49"/>
      <c r="U315" s="48"/>
      <c r="V315" s="48"/>
      <c r="W315" s="48"/>
      <c r="X315" s="50"/>
      <c r="Y315" s="48"/>
      <c r="Z315" s="50"/>
      <c r="AA315" s="50"/>
      <c r="AB315" s="50"/>
      <c r="AC315" s="50"/>
      <c r="AD315" s="50"/>
      <c r="AE315" s="49"/>
      <c r="AF315" s="49"/>
      <c r="AG315" s="50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  <c r="DR315" s="51"/>
      <c r="DS315" s="51"/>
      <c r="DT315" s="51"/>
      <c r="DU315" s="51"/>
      <c r="DV315" s="51"/>
      <c r="DW315" s="51"/>
      <c r="DX315" s="51"/>
      <c r="DY315" s="51"/>
      <c r="DZ315" s="51"/>
      <c r="EA315" s="51"/>
      <c r="EB315" s="51"/>
      <c r="EC315" s="51"/>
      <c r="ED315" s="51"/>
      <c r="EE315" s="51"/>
      <c r="EF315" s="51"/>
      <c r="EG315" s="51"/>
      <c r="EH315" s="51"/>
      <c r="EI315" s="51"/>
      <c r="EJ315" s="51"/>
      <c r="EK315" s="51"/>
    </row>
    <row r="316" spans="1:141" s="52" customFormat="1" x14ac:dyDescent="0.2">
      <c r="A316" s="78"/>
      <c r="B316" s="42"/>
      <c r="C316" s="42"/>
      <c r="D316" s="44"/>
      <c r="E316" s="45"/>
      <c r="F316" s="45"/>
      <c r="G316" s="44"/>
      <c r="H316" s="44"/>
      <c r="I316" s="44"/>
      <c r="J316" s="47"/>
      <c r="K316" s="47"/>
      <c r="L316" s="44"/>
      <c r="M316" s="44"/>
      <c r="N316" s="43"/>
      <c r="O316" s="44"/>
      <c r="P316" s="48"/>
      <c r="Q316" s="48"/>
      <c r="R316" s="48"/>
      <c r="S316" s="48"/>
      <c r="T316" s="49"/>
      <c r="U316" s="48"/>
      <c r="V316" s="48"/>
      <c r="W316" s="48"/>
      <c r="X316" s="50"/>
      <c r="Y316" s="48"/>
      <c r="Z316" s="50"/>
      <c r="AA316" s="50"/>
      <c r="AB316" s="50"/>
      <c r="AC316" s="50"/>
      <c r="AD316" s="50"/>
      <c r="AE316" s="49"/>
      <c r="AF316" s="49"/>
      <c r="AG316" s="50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  <c r="DR316" s="51"/>
      <c r="DS316" s="51"/>
      <c r="DT316" s="51"/>
      <c r="DU316" s="51"/>
      <c r="DV316" s="51"/>
      <c r="DW316" s="51"/>
      <c r="DX316" s="51"/>
      <c r="DY316" s="51"/>
      <c r="DZ316" s="51"/>
      <c r="EA316" s="51"/>
      <c r="EB316" s="51"/>
      <c r="EC316" s="51"/>
      <c r="ED316" s="51"/>
      <c r="EE316" s="51"/>
      <c r="EF316" s="51"/>
      <c r="EG316" s="51"/>
      <c r="EH316" s="51"/>
      <c r="EI316" s="51"/>
      <c r="EJ316" s="51"/>
      <c r="EK316" s="51"/>
    </row>
    <row r="317" spans="1:141" s="52" customFormat="1" x14ac:dyDescent="0.2">
      <c r="A317" s="78"/>
      <c r="B317" s="42"/>
      <c r="C317" s="42"/>
      <c r="D317" s="44"/>
      <c r="E317" s="45"/>
      <c r="F317" s="45"/>
      <c r="G317" s="44"/>
      <c r="H317" s="44"/>
      <c r="I317" s="44"/>
      <c r="J317" s="47"/>
      <c r="K317" s="47"/>
      <c r="L317" s="44"/>
      <c r="M317" s="44"/>
      <c r="N317" s="43"/>
      <c r="O317" s="44"/>
      <c r="P317" s="48"/>
      <c r="Q317" s="48"/>
      <c r="R317" s="48"/>
      <c r="S317" s="48"/>
      <c r="T317" s="49"/>
      <c r="U317" s="48"/>
      <c r="V317" s="48"/>
      <c r="W317" s="48"/>
      <c r="X317" s="50"/>
      <c r="Y317" s="48"/>
      <c r="Z317" s="50"/>
      <c r="AA317" s="50"/>
      <c r="AB317" s="50"/>
      <c r="AC317" s="50"/>
      <c r="AD317" s="50"/>
      <c r="AE317" s="49"/>
      <c r="AF317" s="49"/>
      <c r="AG317" s="50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  <c r="DR317" s="51"/>
      <c r="DS317" s="51"/>
      <c r="DT317" s="51"/>
      <c r="DU317" s="51"/>
      <c r="DV317" s="51"/>
      <c r="DW317" s="51"/>
      <c r="DX317" s="51"/>
      <c r="DY317" s="51"/>
      <c r="DZ317" s="51"/>
      <c r="EA317" s="51"/>
      <c r="EB317" s="51"/>
      <c r="EC317" s="51"/>
      <c r="ED317" s="51"/>
      <c r="EE317" s="51"/>
      <c r="EF317" s="51"/>
      <c r="EG317" s="51"/>
      <c r="EH317" s="51"/>
      <c r="EI317" s="51"/>
      <c r="EJ317" s="51"/>
      <c r="EK317" s="51"/>
    </row>
    <row r="318" spans="1:141" s="52" customFormat="1" x14ac:dyDescent="0.2">
      <c r="A318" s="78"/>
      <c r="B318" s="42"/>
      <c r="C318" s="42"/>
      <c r="D318" s="44"/>
      <c r="E318" s="45"/>
      <c r="F318" s="45"/>
      <c r="G318" s="44"/>
      <c r="H318" s="44"/>
      <c r="I318" s="44"/>
      <c r="J318" s="47"/>
      <c r="K318" s="47"/>
      <c r="L318" s="44"/>
      <c r="M318" s="44"/>
      <c r="N318" s="43"/>
      <c r="O318" s="44"/>
      <c r="P318" s="48"/>
      <c r="Q318" s="48"/>
      <c r="R318" s="48"/>
      <c r="S318" s="48"/>
      <c r="T318" s="49"/>
      <c r="U318" s="48"/>
      <c r="V318" s="48"/>
      <c r="W318" s="48"/>
      <c r="X318" s="50"/>
      <c r="Y318" s="48"/>
      <c r="Z318" s="50"/>
      <c r="AA318" s="50"/>
      <c r="AB318" s="67"/>
      <c r="AC318" s="50"/>
      <c r="AD318" s="50"/>
      <c r="AE318" s="49"/>
      <c r="AF318" s="49"/>
      <c r="AG318" s="50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  <c r="DR318" s="51"/>
      <c r="DS318" s="51"/>
      <c r="DT318" s="51"/>
      <c r="DU318" s="51"/>
      <c r="DV318" s="51"/>
      <c r="DW318" s="51"/>
      <c r="DX318" s="51"/>
      <c r="DY318" s="51"/>
      <c r="DZ318" s="51"/>
      <c r="EA318" s="51"/>
      <c r="EB318" s="51"/>
      <c r="EC318" s="51"/>
      <c r="ED318" s="51"/>
      <c r="EE318" s="51"/>
      <c r="EF318" s="51"/>
      <c r="EG318" s="51"/>
      <c r="EH318" s="51"/>
      <c r="EI318" s="51"/>
      <c r="EJ318" s="51"/>
      <c r="EK318" s="51"/>
    </row>
    <row r="319" spans="1:141" s="52" customFormat="1" x14ac:dyDescent="0.2">
      <c r="A319" s="78"/>
      <c r="B319" s="70"/>
      <c r="C319" s="70"/>
      <c r="D319" s="72"/>
      <c r="E319" s="73"/>
      <c r="F319" s="73"/>
      <c r="G319" s="74"/>
      <c r="H319" s="74"/>
      <c r="I319" s="74"/>
      <c r="J319" s="75"/>
      <c r="K319" s="75"/>
      <c r="L319" s="74"/>
      <c r="M319" s="74"/>
      <c r="N319" s="71"/>
      <c r="O319" s="74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  <c r="DR319" s="51"/>
      <c r="DS319" s="51"/>
      <c r="DT319" s="51"/>
      <c r="DU319" s="51"/>
      <c r="DV319" s="51"/>
      <c r="DW319" s="51"/>
      <c r="DX319" s="51"/>
      <c r="DY319" s="51"/>
      <c r="DZ319" s="51"/>
      <c r="EA319" s="51"/>
      <c r="EB319" s="51"/>
      <c r="EC319" s="51"/>
      <c r="ED319" s="51"/>
      <c r="EE319" s="51"/>
      <c r="EF319" s="51"/>
      <c r="EG319" s="51"/>
      <c r="EH319" s="51"/>
      <c r="EI319" s="51"/>
      <c r="EJ319" s="51"/>
      <c r="EK319" s="51"/>
    </row>
    <row r="320" spans="1:141" x14ac:dyDescent="0.2">
      <c r="A320" s="7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28"/>
      <c r="EB320" s="28"/>
      <c r="EC320" s="28"/>
      <c r="ED320" s="28"/>
      <c r="EE320" s="28"/>
      <c r="EF320" s="28"/>
      <c r="EG320" s="28"/>
      <c r="EH320" s="28"/>
      <c r="EI320" s="28"/>
      <c r="EJ320" s="28"/>
      <c r="EK320" s="28"/>
    </row>
    <row r="321" spans="1:141" x14ac:dyDescent="0.2">
      <c r="A321" s="80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  <c r="EE321" s="28"/>
      <c r="EF321" s="28"/>
      <c r="EG321" s="28"/>
      <c r="EH321" s="28"/>
      <c r="EI321" s="28"/>
      <c r="EJ321" s="28"/>
      <c r="EK321" s="28"/>
    </row>
  </sheetData>
  <autoFilter ref="A1:EL142"/>
  <phoneticPr fontId="2" type="noConversion"/>
  <printOptions gridLines="1"/>
  <pageMargins left="0.75" right="0.75" top="1" bottom="1" header="0.5" footer="0.5"/>
  <pageSetup scale="80" pageOrder="overThenDown" orientation="landscape" r:id="rId1"/>
  <headerFooter alignWithMargins="0">
    <oddHeader>&amp;C&amp;12 2011 Preharvest Worksheet&amp;R&amp;D</oddHeader>
    <oddFooter>Page &amp;P</oddFooter>
  </headerFooter>
  <rowBreaks count="7" manualBreakCount="7">
    <brk id="39" min="75" max="84" man="1"/>
    <brk id="74" min="75" max="84" man="1"/>
    <brk id="112" min="75" max="84" man="1"/>
    <brk id="126" min="75" max="84" man="1"/>
    <brk id="195" min="4" max="26" man="1"/>
    <brk id="231" min="4" max="26" man="1"/>
    <brk id="253" min="4" max="2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workbookViewId="0">
      <pane ySplit="1" topLeftCell="A5" activePane="bottomLeft" state="frozen"/>
      <selection pane="bottomLeft" activeCell="A58" sqref="A58"/>
    </sheetView>
  </sheetViews>
  <sheetFormatPr defaultRowHeight="12.75" x14ac:dyDescent="0.2"/>
  <cols>
    <col min="1" max="1" width="23.140625" style="87" customWidth="1"/>
    <col min="2" max="3" width="9.140625" style="83"/>
    <col min="4" max="4" width="9.140625" style="31"/>
    <col min="5" max="5" width="16.85546875" style="7" customWidth="1"/>
    <col min="6" max="6" width="9.28515625" style="30" customWidth="1"/>
    <col min="7" max="7" width="9.42578125" style="8" customWidth="1"/>
    <col min="8" max="8" width="10.5703125" style="31" customWidth="1"/>
    <col min="9" max="9" width="9.140625" style="31"/>
    <col min="10" max="10" width="32.28515625" style="7" customWidth="1"/>
  </cols>
  <sheetData>
    <row r="1" spans="1:10" s="16" customFormat="1" ht="51" x14ac:dyDescent="0.2">
      <c r="A1" s="85" t="s">
        <v>1</v>
      </c>
      <c r="B1" s="13" t="s">
        <v>14</v>
      </c>
      <c r="C1" s="13" t="s">
        <v>0</v>
      </c>
      <c r="D1" s="14" t="s">
        <v>15</v>
      </c>
      <c r="E1" s="15" t="s">
        <v>16</v>
      </c>
      <c r="F1" s="29" t="s">
        <v>17</v>
      </c>
      <c r="G1" s="14" t="s">
        <v>18</v>
      </c>
      <c r="H1" s="14" t="s">
        <v>145</v>
      </c>
      <c r="I1" s="14" t="s">
        <v>19</v>
      </c>
      <c r="J1" s="15" t="s">
        <v>20</v>
      </c>
    </row>
    <row r="2" spans="1:10" x14ac:dyDescent="0.2">
      <c r="A2" s="86" t="s">
        <v>31</v>
      </c>
      <c r="B2" s="24">
        <v>518</v>
      </c>
      <c r="C2" s="24" t="s">
        <v>51</v>
      </c>
      <c r="D2" s="31">
        <v>40796</v>
      </c>
      <c r="E2" s="7" t="s">
        <v>134</v>
      </c>
      <c r="F2" s="30">
        <v>28.9</v>
      </c>
      <c r="G2" s="8">
        <v>40794</v>
      </c>
      <c r="H2" s="84" t="s">
        <v>129</v>
      </c>
      <c r="I2" s="31">
        <v>40817</v>
      </c>
    </row>
    <row r="3" spans="1:10" x14ac:dyDescent="0.2">
      <c r="A3" s="86" t="s">
        <v>135</v>
      </c>
      <c r="B3" s="24">
        <v>519</v>
      </c>
      <c r="C3" s="24" t="s">
        <v>51</v>
      </c>
      <c r="D3" s="31">
        <v>40797</v>
      </c>
      <c r="E3" s="7" t="s">
        <v>134</v>
      </c>
      <c r="F3" s="30">
        <v>28.4</v>
      </c>
      <c r="G3" s="8">
        <v>40794</v>
      </c>
      <c r="H3" s="84" t="s">
        <v>129</v>
      </c>
      <c r="I3" s="31">
        <v>40817</v>
      </c>
    </row>
    <row r="4" spans="1:10" x14ac:dyDescent="0.2">
      <c r="A4" s="86" t="s">
        <v>127</v>
      </c>
      <c r="B4" s="24">
        <v>431</v>
      </c>
      <c r="C4" s="24" t="s">
        <v>117</v>
      </c>
      <c r="D4" s="31">
        <v>40798</v>
      </c>
      <c r="E4" s="7" t="s">
        <v>128</v>
      </c>
      <c r="F4" s="30">
        <v>28.3</v>
      </c>
      <c r="G4" s="8">
        <v>40795</v>
      </c>
      <c r="H4" s="31" t="s">
        <v>129</v>
      </c>
      <c r="I4" s="84">
        <v>40802</v>
      </c>
    </row>
    <row r="5" spans="1:10" x14ac:dyDescent="0.2">
      <c r="A5" s="82" t="s">
        <v>43</v>
      </c>
      <c r="B5" s="24">
        <v>520</v>
      </c>
      <c r="C5" s="24" t="s">
        <v>52</v>
      </c>
      <c r="D5" s="31">
        <v>40806</v>
      </c>
      <c r="E5" s="7" t="s">
        <v>131</v>
      </c>
      <c r="F5" s="30">
        <v>25</v>
      </c>
      <c r="G5" s="8">
        <v>40799</v>
      </c>
      <c r="H5" s="31" t="s">
        <v>129</v>
      </c>
      <c r="I5" s="31">
        <v>40817</v>
      </c>
    </row>
    <row r="6" spans="1:10" x14ac:dyDescent="0.2">
      <c r="A6" s="86" t="s">
        <v>75</v>
      </c>
      <c r="B6" s="24">
        <v>422</v>
      </c>
      <c r="C6" s="24">
        <v>8418</v>
      </c>
      <c r="D6" s="31">
        <v>40807</v>
      </c>
      <c r="E6" s="88" t="s">
        <v>131</v>
      </c>
      <c r="F6" s="30">
        <v>23.6</v>
      </c>
      <c r="G6" s="8">
        <v>40805</v>
      </c>
      <c r="H6" s="31" t="s">
        <v>129</v>
      </c>
      <c r="I6" s="31">
        <v>40817</v>
      </c>
    </row>
    <row r="7" spans="1:10" x14ac:dyDescent="0.2">
      <c r="A7" s="86" t="s">
        <v>75</v>
      </c>
      <c r="B7" s="24">
        <v>410</v>
      </c>
      <c r="C7" s="24" t="s">
        <v>83</v>
      </c>
      <c r="D7" s="31">
        <v>40807</v>
      </c>
      <c r="E7" s="88" t="s">
        <v>131</v>
      </c>
      <c r="F7" s="30">
        <v>24.2</v>
      </c>
      <c r="G7" s="8">
        <v>40806</v>
      </c>
      <c r="H7" s="31" t="s">
        <v>129</v>
      </c>
      <c r="I7" s="31">
        <v>40817</v>
      </c>
    </row>
    <row r="8" spans="1:10" x14ac:dyDescent="0.2">
      <c r="A8" s="86" t="s">
        <v>132</v>
      </c>
      <c r="B8" s="24">
        <v>401</v>
      </c>
      <c r="C8" s="24">
        <v>8133</v>
      </c>
      <c r="D8" s="31">
        <v>40807</v>
      </c>
      <c r="E8" s="88" t="s">
        <v>133</v>
      </c>
      <c r="F8" s="30">
        <v>27.8</v>
      </c>
      <c r="G8" s="8">
        <v>40805</v>
      </c>
      <c r="H8" s="31" t="s">
        <v>129</v>
      </c>
      <c r="I8" s="31">
        <v>40817</v>
      </c>
    </row>
    <row r="9" spans="1:10" x14ac:dyDescent="0.2">
      <c r="A9" s="86" t="s">
        <v>132</v>
      </c>
      <c r="B9" s="24">
        <v>423</v>
      </c>
      <c r="C9" s="24">
        <v>8418</v>
      </c>
      <c r="D9" s="31">
        <v>40807</v>
      </c>
      <c r="E9" s="88" t="s">
        <v>133</v>
      </c>
      <c r="F9" s="30">
        <v>22.6</v>
      </c>
      <c r="G9" s="8">
        <v>40805</v>
      </c>
      <c r="H9" s="31" t="s">
        <v>129</v>
      </c>
      <c r="I9" s="31">
        <v>40817</v>
      </c>
    </row>
    <row r="10" spans="1:10" x14ac:dyDescent="0.2">
      <c r="A10" s="86" t="s">
        <v>86</v>
      </c>
      <c r="B10" s="24">
        <v>411</v>
      </c>
      <c r="C10" s="24" t="s">
        <v>83</v>
      </c>
      <c r="D10" s="31">
        <v>40807</v>
      </c>
      <c r="E10" s="88" t="s">
        <v>133</v>
      </c>
      <c r="F10" s="30">
        <v>23.9</v>
      </c>
      <c r="G10" s="8">
        <v>40806</v>
      </c>
      <c r="H10" s="31" t="s">
        <v>129</v>
      </c>
      <c r="I10" s="31">
        <v>40817</v>
      </c>
    </row>
    <row r="11" spans="1:10" x14ac:dyDescent="0.2">
      <c r="A11" s="82" t="s">
        <v>80</v>
      </c>
      <c r="B11" s="24">
        <v>420</v>
      </c>
      <c r="C11" s="24" t="s">
        <v>29</v>
      </c>
      <c r="D11" s="31">
        <v>40807</v>
      </c>
      <c r="E11" s="88" t="s">
        <v>133</v>
      </c>
      <c r="F11" s="30">
        <v>26.2</v>
      </c>
      <c r="G11" s="8">
        <v>40805</v>
      </c>
      <c r="H11" s="31" t="s">
        <v>129</v>
      </c>
      <c r="I11" s="31">
        <v>40817</v>
      </c>
    </row>
    <row r="12" spans="1:10" x14ac:dyDescent="0.2">
      <c r="A12" s="82" t="s">
        <v>43</v>
      </c>
      <c r="B12" s="24">
        <v>517</v>
      </c>
      <c r="C12" s="24" t="s">
        <v>51</v>
      </c>
      <c r="D12" s="31">
        <v>40807</v>
      </c>
      <c r="E12" s="7" t="s">
        <v>134</v>
      </c>
      <c r="F12" s="30">
        <v>23.1</v>
      </c>
      <c r="G12" s="8">
        <v>40807</v>
      </c>
      <c r="H12" s="31" t="s">
        <v>129</v>
      </c>
      <c r="I12" s="31">
        <v>40817</v>
      </c>
    </row>
    <row r="13" spans="1:10" x14ac:dyDescent="0.2">
      <c r="A13" s="82" t="s">
        <v>43</v>
      </c>
      <c r="B13" s="24">
        <v>525</v>
      </c>
      <c r="C13" s="24" t="s">
        <v>136</v>
      </c>
      <c r="D13" s="31">
        <v>40807</v>
      </c>
      <c r="E13" s="7" t="s">
        <v>134</v>
      </c>
      <c r="F13" s="30">
        <v>24.5</v>
      </c>
      <c r="G13" s="8">
        <v>40807</v>
      </c>
      <c r="H13" s="31" t="s">
        <v>129</v>
      </c>
      <c r="I13" s="31">
        <v>40817</v>
      </c>
    </row>
    <row r="14" spans="1:10" x14ac:dyDescent="0.2">
      <c r="A14" s="86" t="s">
        <v>43</v>
      </c>
      <c r="B14" s="24">
        <v>521</v>
      </c>
      <c r="C14" s="24" t="s">
        <v>53</v>
      </c>
      <c r="D14" s="31">
        <v>40807</v>
      </c>
      <c r="E14" s="7" t="s">
        <v>131</v>
      </c>
      <c r="F14" s="30">
        <v>21.9</v>
      </c>
      <c r="G14" s="8">
        <v>40807</v>
      </c>
      <c r="H14" s="31" t="s">
        <v>129</v>
      </c>
      <c r="I14" s="31">
        <v>40817</v>
      </c>
    </row>
    <row r="15" spans="1:10" x14ac:dyDescent="0.2">
      <c r="A15" s="86" t="s">
        <v>43</v>
      </c>
      <c r="B15" s="24">
        <v>526</v>
      </c>
      <c r="C15" s="24" t="s">
        <v>137</v>
      </c>
      <c r="D15" s="31">
        <v>40807</v>
      </c>
      <c r="E15" s="7" t="s">
        <v>131</v>
      </c>
      <c r="F15" s="30">
        <v>24.8</v>
      </c>
      <c r="G15" s="8">
        <v>40807</v>
      </c>
      <c r="H15" s="31" t="s">
        <v>129</v>
      </c>
      <c r="I15" s="31">
        <v>40817</v>
      </c>
    </row>
    <row r="16" spans="1:10" x14ac:dyDescent="0.2">
      <c r="A16" s="89" t="s">
        <v>69</v>
      </c>
      <c r="B16" s="61">
        <v>402</v>
      </c>
      <c r="C16" s="61" t="s">
        <v>71</v>
      </c>
      <c r="D16" s="31">
        <v>40809</v>
      </c>
      <c r="E16" s="7" t="s">
        <v>134</v>
      </c>
      <c r="F16" s="30">
        <v>23</v>
      </c>
      <c r="G16" s="8">
        <v>40807</v>
      </c>
      <c r="H16" s="31" t="s">
        <v>129</v>
      </c>
      <c r="I16" s="31">
        <v>40817</v>
      </c>
    </row>
    <row r="17" spans="1:9" x14ac:dyDescent="0.2">
      <c r="A17" s="89" t="s">
        <v>74</v>
      </c>
      <c r="B17" s="61">
        <v>404</v>
      </c>
      <c r="C17" s="61">
        <v>8282</v>
      </c>
      <c r="D17" s="31">
        <v>40809</v>
      </c>
      <c r="E17" s="7" t="s">
        <v>131</v>
      </c>
      <c r="F17" s="30">
        <v>26.1</v>
      </c>
      <c r="G17" s="8">
        <v>40806</v>
      </c>
      <c r="H17" s="31" t="s">
        <v>129</v>
      </c>
      <c r="I17" s="31">
        <v>40817</v>
      </c>
    </row>
    <row r="18" spans="1:9" x14ac:dyDescent="0.2">
      <c r="A18" s="89" t="s">
        <v>75</v>
      </c>
      <c r="B18" s="61">
        <v>405</v>
      </c>
      <c r="C18" s="61">
        <v>8282</v>
      </c>
      <c r="D18" s="31">
        <v>40809</v>
      </c>
      <c r="E18" s="7" t="s">
        <v>133</v>
      </c>
      <c r="F18" s="30">
        <v>23.9</v>
      </c>
      <c r="G18" s="8">
        <v>40806</v>
      </c>
      <c r="H18" s="31" t="s">
        <v>129</v>
      </c>
      <c r="I18" s="31">
        <v>40817</v>
      </c>
    </row>
    <row r="19" spans="1:9" x14ac:dyDescent="0.2">
      <c r="A19" s="89" t="s">
        <v>80</v>
      </c>
      <c r="B19" s="61">
        <v>408</v>
      </c>
      <c r="C19" s="61" t="s">
        <v>77</v>
      </c>
      <c r="D19" s="31">
        <v>40809</v>
      </c>
      <c r="E19" s="7" t="s">
        <v>133</v>
      </c>
      <c r="F19" s="30">
        <v>26</v>
      </c>
      <c r="G19" s="8">
        <v>40808</v>
      </c>
      <c r="H19" s="31" t="s">
        <v>129</v>
      </c>
      <c r="I19" s="31">
        <v>40817</v>
      </c>
    </row>
    <row r="20" spans="1:9" x14ac:dyDescent="0.2">
      <c r="A20" s="89" t="s">
        <v>82</v>
      </c>
      <c r="B20" s="61">
        <v>409</v>
      </c>
      <c r="C20" s="61" t="s">
        <v>83</v>
      </c>
      <c r="D20" s="31">
        <v>40809</v>
      </c>
      <c r="E20" s="7" t="s">
        <v>133</v>
      </c>
      <c r="F20" s="30">
        <v>26.4</v>
      </c>
      <c r="G20" s="8">
        <v>40806</v>
      </c>
      <c r="H20" s="31" t="s">
        <v>129</v>
      </c>
      <c r="I20" s="31">
        <v>40817</v>
      </c>
    </row>
    <row r="21" spans="1:9" x14ac:dyDescent="0.2">
      <c r="A21" s="89" t="s">
        <v>75</v>
      </c>
      <c r="B21" s="61">
        <v>412</v>
      </c>
      <c r="C21" s="61" t="s">
        <v>88</v>
      </c>
      <c r="D21" s="31">
        <v>40809</v>
      </c>
      <c r="E21" s="7" t="s">
        <v>131</v>
      </c>
      <c r="F21" s="30">
        <v>25.8</v>
      </c>
      <c r="G21" s="8">
        <v>40808</v>
      </c>
      <c r="H21" s="31" t="s">
        <v>129</v>
      </c>
      <c r="I21" s="31">
        <v>40817</v>
      </c>
    </row>
    <row r="22" spans="1:9" x14ac:dyDescent="0.2">
      <c r="A22" s="89" t="s">
        <v>75</v>
      </c>
      <c r="B22" s="61">
        <v>419</v>
      </c>
      <c r="C22" s="61" t="s">
        <v>29</v>
      </c>
      <c r="D22" s="31">
        <v>40809</v>
      </c>
      <c r="E22" s="7" t="s">
        <v>134</v>
      </c>
      <c r="F22" s="30">
        <v>20.7</v>
      </c>
      <c r="G22" s="8">
        <v>40808</v>
      </c>
      <c r="H22" s="31" t="s">
        <v>129</v>
      </c>
      <c r="I22" s="31">
        <v>40817</v>
      </c>
    </row>
    <row r="23" spans="1:9" x14ac:dyDescent="0.2">
      <c r="A23" s="89" t="s">
        <v>109</v>
      </c>
      <c r="B23" s="61">
        <v>427</v>
      </c>
      <c r="C23" s="61" t="s">
        <v>48</v>
      </c>
      <c r="D23" s="31">
        <v>40809</v>
      </c>
      <c r="E23" s="7" t="s">
        <v>131</v>
      </c>
      <c r="F23" s="30">
        <v>24.8</v>
      </c>
      <c r="G23" s="8">
        <v>40808</v>
      </c>
      <c r="H23" s="31" t="s">
        <v>129</v>
      </c>
      <c r="I23" s="31">
        <v>40817</v>
      </c>
    </row>
    <row r="24" spans="1:9" x14ac:dyDescent="0.2">
      <c r="A24" s="89" t="s">
        <v>80</v>
      </c>
      <c r="B24" s="61">
        <v>413</v>
      </c>
      <c r="C24" s="61" t="s">
        <v>88</v>
      </c>
      <c r="D24" s="31">
        <v>40809</v>
      </c>
      <c r="E24" s="7" t="s">
        <v>131</v>
      </c>
      <c r="F24" s="30">
        <v>27.3</v>
      </c>
      <c r="G24" s="8">
        <v>40807</v>
      </c>
      <c r="H24" s="31" t="s">
        <v>129</v>
      </c>
      <c r="I24" s="31">
        <v>40817</v>
      </c>
    </row>
    <row r="25" spans="1:9" x14ac:dyDescent="0.2">
      <c r="A25" s="89" t="s">
        <v>75</v>
      </c>
      <c r="B25" s="61">
        <v>414</v>
      </c>
      <c r="C25" s="61" t="s">
        <v>91</v>
      </c>
      <c r="D25" s="31">
        <v>40809</v>
      </c>
      <c r="E25" s="7" t="s">
        <v>131</v>
      </c>
      <c r="F25" s="30">
        <v>25.9</v>
      </c>
      <c r="G25" s="8">
        <v>40808</v>
      </c>
      <c r="H25" s="31" t="s">
        <v>129</v>
      </c>
      <c r="I25" s="31">
        <v>40817</v>
      </c>
    </row>
    <row r="26" spans="1:9" x14ac:dyDescent="0.2">
      <c r="A26" s="89" t="s">
        <v>80</v>
      </c>
      <c r="B26" s="61">
        <v>432</v>
      </c>
      <c r="C26" s="61" t="s">
        <v>118</v>
      </c>
      <c r="D26" s="31">
        <v>40809</v>
      </c>
      <c r="E26" s="7" t="s">
        <v>131</v>
      </c>
      <c r="F26" s="30">
        <v>27.2</v>
      </c>
      <c r="G26" s="8">
        <v>40807</v>
      </c>
      <c r="H26" s="31" t="s">
        <v>129</v>
      </c>
      <c r="I26" s="31">
        <v>40817</v>
      </c>
    </row>
    <row r="27" spans="1:9" x14ac:dyDescent="0.2">
      <c r="A27" s="89" t="s">
        <v>74</v>
      </c>
      <c r="B27" s="61">
        <v>424</v>
      </c>
      <c r="C27" s="61" t="s">
        <v>48</v>
      </c>
      <c r="D27" s="31">
        <v>40809</v>
      </c>
      <c r="E27" s="7" t="s">
        <v>131</v>
      </c>
      <c r="F27" s="30">
        <v>28.5</v>
      </c>
      <c r="G27" s="8">
        <v>40808</v>
      </c>
      <c r="H27" s="31" t="s">
        <v>129</v>
      </c>
      <c r="I27" s="31">
        <v>40817</v>
      </c>
    </row>
    <row r="28" spans="1:9" x14ac:dyDescent="0.2">
      <c r="A28" s="89" t="s">
        <v>80</v>
      </c>
      <c r="B28" s="61">
        <v>425</v>
      </c>
      <c r="C28" s="61" t="s">
        <v>48</v>
      </c>
      <c r="D28" s="31">
        <v>40809</v>
      </c>
      <c r="E28" s="7" t="s">
        <v>131</v>
      </c>
      <c r="F28" s="30">
        <v>28.6</v>
      </c>
      <c r="G28" s="8">
        <v>40808</v>
      </c>
      <c r="H28" s="31" t="s">
        <v>129</v>
      </c>
      <c r="I28" s="31">
        <v>40817</v>
      </c>
    </row>
    <row r="29" spans="1:9" x14ac:dyDescent="0.2">
      <c r="A29" s="89" t="s">
        <v>75</v>
      </c>
      <c r="B29" s="61">
        <v>433</v>
      </c>
      <c r="C29" s="61" t="s">
        <v>119</v>
      </c>
      <c r="D29" s="31">
        <v>40809</v>
      </c>
      <c r="E29" s="7" t="s">
        <v>131</v>
      </c>
      <c r="F29" s="30">
        <v>23.6</v>
      </c>
      <c r="G29" s="8">
        <v>40808</v>
      </c>
      <c r="H29" s="31" t="s">
        <v>129</v>
      </c>
      <c r="I29" s="31">
        <v>40817</v>
      </c>
    </row>
    <row r="30" spans="1:9" x14ac:dyDescent="0.2">
      <c r="A30" s="89" t="s">
        <v>75</v>
      </c>
      <c r="B30" s="61">
        <v>434</v>
      </c>
      <c r="C30" s="61" t="s">
        <v>120</v>
      </c>
      <c r="D30" s="31">
        <v>40809</v>
      </c>
      <c r="E30" s="7" t="s">
        <v>131</v>
      </c>
      <c r="F30" s="30">
        <v>22</v>
      </c>
      <c r="G30" s="8">
        <v>40808</v>
      </c>
      <c r="H30" s="31" t="s">
        <v>129</v>
      </c>
      <c r="I30" s="31">
        <v>40817</v>
      </c>
    </row>
    <row r="31" spans="1:9" x14ac:dyDescent="0.2">
      <c r="A31" s="89" t="s">
        <v>74</v>
      </c>
      <c r="B31" s="61">
        <v>418</v>
      </c>
      <c r="C31" s="61" t="s">
        <v>29</v>
      </c>
      <c r="D31" s="31">
        <v>40809</v>
      </c>
      <c r="E31" s="7" t="s">
        <v>133</v>
      </c>
      <c r="F31" s="30">
        <v>27.6</v>
      </c>
      <c r="G31" s="8">
        <v>40809</v>
      </c>
      <c r="H31" s="31" t="s">
        <v>129</v>
      </c>
      <c r="I31" s="31">
        <v>40817</v>
      </c>
    </row>
    <row r="32" spans="1:9" x14ac:dyDescent="0.2">
      <c r="A32" s="82" t="s">
        <v>44</v>
      </c>
      <c r="B32" s="24">
        <v>512</v>
      </c>
      <c r="C32" s="24" t="s">
        <v>49</v>
      </c>
      <c r="D32" s="31">
        <v>40813</v>
      </c>
      <c r="E32" s="88" t="s">
        <v>133</v>
      </c>
      <c r="F32" s="30">
        <v>20.5</v>
      </c>
      <c r="G32" s="8">
        <v>40812</v>
      </c>
      <c r="H32" s="31" t="s">
        <v>129</v>
      </c>
      <c r="I32" s="31">
        <v>40817</v>
      </c>
    </row>
    <row r="33" spans="1:9" x14ac:dyDescent="0.2">
      <c r="A33" s="82" t="s">
        <v>139</v>
      </c>
      <c r="B33" s="24">
        <v>507</v>
      </c>
      <c r="C33" s="24" t="s">
        <v>29</v>
      </c>
      <c r="D33" s="31">
        <v>40813</v>
      </c>
      <c r="E33" s="88" t="s">
        <v>133</v>
      </c>
      <c r="F33" s="30">
        <v>22</v>
      </c>
      <c r="G33" s="8">
        <v>40812</v>
      </c>
      <c r="H33" s="31" t="s">
        <v>129</v>
      </c>
      <c r="I33" s="31">
        <v>40817</v>
      </c>
    </row>
    <row r="34" spans="1:9" x14ac:dyDescent="0.2">
      <c r="A34" s="82" t="s">
        <v>139</v>
      </c>
      <c r="B34" s="24">
        <v>508</v>
      </c>
      <c r="C34" s="24" t="s">
        <v>29</v>
      </c>
      <c r="D34" s="31">
        <v>40813</v>
      </c>
      <c r="E34" s="88" t="s">
        <v>133</v>
      </c>
      <c r="F34" s="30">
        <v>22.2</v>
      </c>
      <c r="G34" s="8">
        <v>40812</v>
      </c>
      <c r="H34" s="31" t="s">
        <v>129</v>
      </c>
      <c r="I34" s="31">
        <v>40817</v>
      </c>
    </row>
    <row r="35" spans="1:9" x14ac:dyDescent="0.2">
      <c r="A35" s="82" t="s">
        <v>32</v>
      </c>
      <c r="B35" s="24">
        <v>513</v>
      </c>
      <c r="C35" s="24" t="s">
        <v>50</v>
      </c>
      <c r="D35" s="31">
        <v>40813</v>
      </c>
      <c r="E35" s="88" t="s">
        <v>131</v>
      </c>
      <c r="F35" s="30">
        <v>22.2</v>
      </c>
      <c r="G35" s="8">
        <v>40812</v>
      </c>
      <c r="H35" s="31" t="s">
        <v>129</v>
      </c>
      <c r="I35" s="31">
        <v>40817</v>
      </c>
    </row>
    <row r="36" spans="1:9" x14ac:dyDescent="0.2">
      <c r="A36" s="89" t="s">
        <v>74</v>
      </c>
      <c r="B36" s="61">
        <v>406</v>
      </c>
      <c r="C36" s="61" t="s">
        <v>77</v>
      </c>
      <c r="D36" s="31">
        <v>40814</v>
      </c>
      <c r="E36" s="7" t="s">
        <v>131</v>
      </c>
      <c r="F36" s="30">
        <v>29.2</v>
      </c>
      <c r="G36" s="8">
        <v>40812</v>
      </c>
      <c r="H36" s="31" t="s">
        <v>129</v>
      </c>
      <c r="I36" s="31">
        <v>40817</v>
      </c>
    </row>
    <row r="37" spans="1:9" x14ac:dyDescent="0.2">
      <c r="A37" s="89" t="s">
        <v>74</v>
      </c>
      <c r="B37" s="61">
        <v>407</v>
      </c>
      <c r="C37" s="61" t="s">
        <v>77</v>
      </c>
      <c r="D37" s="31">
        <v>40814</v>
      </c>
      <c r="E37" s="7" t="s">
        <v>131</v>
      </c>
      <c r="F37" s="30">
        <v>27.1</v>
      </c>
      <c r="G37" s="8">
        <v>40813</v>
      </c>
      <c r="H37" s="31" t="s">
        <v>129</v>
      </c>
      <c r="I37" s="31">
        <v>40817</v>
      </c>
    </row>
    <row r="38" spans="1:9" x14ac:dyDescent="0.2">
      <c r="A38" s="89" t="s">
        <v>96</v>
      </c>
      <c r="B38" s="61">
        <v>417</v>
      </c>
      <c r="C38" s="61" t="s">
        <v>91</v>
      </c>
      <c r="D38" s="31">
        <v>40814</v>
      </c>
      <c r="E38" s="7" t="s">
        <v>133</v>
      </c>
      <c r="F38" s="30">
        <v>26.3</v>
      </c>
      <c r="G38" s="8">
        <v>40814</v>
      </c>
      <c r="H38" s="31" t="s">
        <v>129</v>
      </c>
      <c r="I38" s="31">
        <v>40817</v>
      </c>
    </row>
    <row r="39" spans="1:9" x14ac:dyDescent="0.2">
      <c r="A39" s="89" t="s">
        <v>80</v>
      </c>
      <c r="B39" s="61">
        <v>421</v>
      </c>
      <c r="C39" s="61" t="s">
        <v>29</v>
      </c>
      <c r="D39" s="31">
        <v>40814</v>
      </c>
      <c r="E39" s="7" t="s">
        <v>133</v>
      </c>
      <c r="F39" s="30">
        <v>27.6</v>
      </c>
      <c r="G39" s="8">
        <v>40814</v>
      </c>
      <c r="H39" s="31" t="s">
        <v>129</v>
      </c>
      <c r="I39" s="31">
        <v>40817</v>
      </c>
    </row>
    <row r="40" spans="1:9" x14ac:dyDescent="0.2">
      <c r="A40" s="89" t="s">
        <v>75</v>
      </c>
      <c r="B40" s="61">
        <v>428</v>
      </c>
      <c r="C40" s="61" t="s">
        <v>111</v>
      </c>
      <c r="D40" s="31">
        <v>40814</v>
      </c>
      <c r="E40" s="88" t="s">
        <v>131</v>
      </c>
      <c r="F40" s="30">
        <v>29.7</v>
      </c>
      <c r="G40" s="8">
        <v>40813</v>
      </c>
      <c r="H40" s="31" t="s">
        <v>129</v>
      </c>
      <c r="I40" s="31">
        <v>40817</v>
      </c>
    </row>
    <row r="41" spans="1:9" x14ac:dyDescent="0.2">
      <c r="A41" s="89" t="s">
        <v>75</v>
      </c>
      <c r="B41" s="61">
        <v>430</v>
      </c>
      <c r="C41" s="61" t="s">
        <v>115</v>
      </c>
      <c r="D41" s="31">
        <v>40814</v>
      </c>
      <c r="E41" s="88" t="s">
        <v>131</v>
      </c>
      <c r="F41" s="30">
        <v>29.3</v>
      </c>
      <c r="G41" s="8">
        <v>40813</v>
      </c>
      <c r="H41" s="31" t="s">
        <v>129</v>
      </c>
      <c r="I41" s="31">
        <v>40817</v>
      </c>
    </row>
    <row r="42" spans="1:9" x14ac:dyDescent="0.2">
      <c r="A42" s="89" t="s">
        <v>96</v>
      </c>
      <c r="B42" s="61">
        <v>436</v>
      </c>
      <c r="C42" s="61" t="s">
        <v>122</v>
      </c>
      <c r="D42" s="31">
        <v>40814</v>
      </c>
      <c r="E42" s="88" t="s">
        <v>133</v>
      </c>
      <c r="F42" s="30">
        <v>29.9</v>
      </c>
      <c r="G42" s="8">
        <v>40814</v>
      </c>
      <c r="H42" s="31" t="s">
        <v>129</v>
      </c>
      <c r="I42" s="31">
        <v>40817</v>
      </c>
    </row>
    <row r="43" spans="1:9" x14ac:dyDescent="0.2">
      <c r="A43" s="89" t="s">
        <v>72</v>
      </c>
      <c r="B43" s="61">
        <v>403</v>
      </c>
      <c r="C43" s="61" t="s">
        <v>71</v>
      </c>
      <c r="D43" s="31">
        <v>40817</v>
      </c>
      <c r="E43" s="88" t="s">
        <v>133</v>
      </c>
      <c r="F43" s="30">
        <v>26.5</v>
      </c>
      <c r="G43" s="8">
        <v>40816</v>
      </c>
      <c r="H43" s="31" t="s">
        <v>129</v>
      </c>
      <c r="I43" s="31">
        <v>40817</v>
      </c>
    </row>
    <row r="44" spans="1:9" x14ac:dyDescent="0.2">
      <c r="A44" s="89" t="s">
        <v>72</v>
      </c>
      <c r="B44" s="61">
        <v>415</v>
      </c>
      <c r="C44" s="61" t="s">
        <v>91</v>
      </c>
      <c r="D44" s="31">
        <v>40817</v>
      </c>
      <c r="E44" s="88" t="s">
        <v>133</v>
      </c>
      <c r="F44" s="30">
        <v>22.3</v>
      </c>
      <c r="G44" s="8">
        <v>40816</v>
      </c>
      <c r="H44" s="31" t="s">
        <v>129</v>
      </c>
      <c r="I44" s="31">
        <v>40817</v>
      </c>
    </row>
    <row r="45" spans="1:9" x14ac:dyDescent="0.2">
      <c r="A45" s="89" t="s">
        <v>94</v>
      </c>
      <c r="B45" s="61">
        <v>416</v>
      </c>
      <c r="C45" s="61" t="s">
        <v>91</v>
      </c>
      <c r="D45" s="31">
        <v>40817</v>
      </c>
      <c r="E45" s="88" t="s">
        <v>133</v>
      </c>
      <c r="F45" s="30">
        <v>22.9</v>
      </c>
      <c r="G45" s="8">
        <v>40816</v>
      </c>
      <c r="H45" s="31" t="s">
        <v>129</v>
      </c>
      <c r="I45" s="31">
        <v>40817</v>
      </c>
    </row>
    <row r="46" spans="1:9" x14ac:dyDescent="0.2">
      <c r="A46" s="89" t="s">
        <v>107</v>
      </c>
      <c r="B46" s="61">
        <v>426</v>
      </c>
      <c r="C46" s="61" t="s">
        <v>48</v>
      </c>
      <c r="D46" s="31">
        <v>40817</v>
      </c>
      <c r="E46" s="88" t="s">
        <v>133</v>
      </c>
      <c r="F46" s="30">
        <v>26.3</v>
      </c>
      <c r="G46" s="8">
        <v>40814</v>
      </c>
      <c r="H46" s="31" t="s">
        <v>129</v>
      </c>
      <c r="I46" s="31">
        <v>40817</v>
      </c>
    </row>
    <row r="47" spans="1:9" x14ac:dyDescent="0.2">
      <c r="A47" s="89" t="s">
        <v>107</v>
      </c>
      <c r="B47" s="61">
        <v>429</v>
      </c>
      <c r="C47" s="61" t="s">
        <v>113</v>
      </c>
      <c r="D47" s="31">
        <v>40817</v>
      </c>
      <c r="E47" s="88" t="s">
        <v>133</v>
      </c>
      <c r="F47" s="30">
        <v>30</v>
      </c>
      <c r="G47" s="8">
        <v>40814</v>
      </c>
      <c r="H47" s="31" t="s">
        <v>129</v>
      </c>
      <c r="I47" s="31">
        <v>40817</v>
      </c>
    </row>
    <row r="48" spans="1:9" x14ac:dyDescent="0.2">
      <c r="A48" s="82" t="s">
        <v>30</v>
      </c>
      <c r="B48" s="24">
        <v>501</v>
      </c>
      <c r="C48" s="24">
        <v>8282</v>
      </c>
      <c r="D48" s="31">
        <v>40820</v>
      </c>
      <c r="E48" s="7" t="s">
        <v>133</v>
      </c>
      <c r="F48" s="30">
        <v>26</v>
      </c>
      <c r="G48" s="8">
        <v>40819</v>
      </c>
      <c r="H48" s="31" t="s">
        <v>129</v>
      </c>
      <c r="I48" s="31">
        <v>40828</v>
      </c>
    </row>
    <row r="49" spans="1:9" x14ac:dyDescent="0.2">
      <c r="A49" s="82" t="s">
        <v>40</v>
      </c>
      <c r="B49" s="24">
        <v>502</v>
      </c>
      <c r="C49" s="24" t="s">
        <v>47</v>
      </c>
      <c r="D49" s="31">
        <v>40820</v>
      </c>
      <c r="E49" s="7" t="s">
        <v>133</v>
      </c>
      <c r="F49" s="30">
        <v>24.5</v>
      </c>
      <c r="G49" s="8">
        <v>40820</v>
      </c>
      <c r="H49" s="31" t="s">
        <v>129</v>
      </c>
      <c r="I49" s="31">
        <v>40828</v>
      </c>
    </row>
    <row r="50" spans="1:9" x14ac:dyDescent="0.2">
      <c r="A50" s="82" t="s">
        <v>30</v>
      </c>
      <c r="B50" s="24">
        <v>503</v>
      </c>
      <c r="C50" s="24" t="s">
        <v>47</v>
      </c>
      <c r="D50" s="31">
        <v>40820</v>
      </c>
      <c r="E50" s="7" t="s">
        <v>133</v>
      </c>
      <c r="F50" s="30">
        <v>28.2</v>
      </c>
      <c r="G50" s="8">
        <v>40819</v>
      </c>
      <c r="H50" s="31" t="s">
        <v>129</v>
      </c>
      <c r="I50" s="31">
        <v>40828</v>
      </c>
    </row>
    <row r="51" spans="1:9" x14ac:dyDescent="0.2">
      <c r="A51" s="82" t="s">
        <v>41</v>
      </c>
      <c r="B51" s="24">
        <v>504</v>
      </c>
      <c r="C51" s="24">
        <v>8313</v>
      </c>
      <c r="D51" s="31">
        <v>40820</v>
      </c>
      <c r="E51" s="7" t="s">
        <v>133</v>
      </c>
      <c r="F51" s="30">
        <v>19</v>
      </c>
      <c r="G51" s="8">
        <v>40820</v>
      </c>
      <c r="H51" s="31" t="s">
        <v>129</v>
      </c>
      <c r="I51" s="31">
        <v>40828</v>
      </c>
    </row>
    <row r="52" spans="1:9" x14ac:dyDescent="0.2">
      <c r="A52" s="82" t="s">
        <v>41</v>
      </c>
      <c r="B52" s="24">
        <v>505</v>
      </c>
      <c r="C52" s="24">
        <v>8313</v>
      </c>
      <c r="D52" s="31">
        <v>40820</v>
      </c>
      <c r="E52" s="7" t="s">
        <v>133</v>
      </c>
      <c r="F52" s="30">
        <v>19.2</v>
      </c>
      <c r="G52" s="8">
        <v>40820</v>
      </c>
      <c r="H52" s="31" t="s">
        <v>129</v>
      </c>
      <c r="I52" s="31">
        <v>40828</v>
      </c>
    </row>
    <row r="53" spans="1:9" x14ac:dyDescent="0.2">
      <c r="A53" s="82" t="s">
        <v>30</v>
      </c>
      <c r="B53" s="24">
        <v>506</v>
      </c>
      <c r="C53" s="24">
        <v>8313</v>
      </c>
      <c r="D53" s="31">
        <v>40820</v>
      </c>
      <c r="E53" s="7" t="s">
        <v>133</v>
      </c>
      <c r="F53" s="30">
        <v>27.9</v>
      </c>
      <c r="G53" s="8">
        <v>40819</v>
      </c>
      <c r="H53" s="31" t="s">
        <v>129</v>
      </c>
      <c r="I53" s="31">
        <v>40828</v>
      </c>
    </row>
    <row r="54" spans="1:9" x14ac:dyDescent="0.2">
      <c r="A54" s="82" t="s">
        <v>43</v>
      </c>
      <c r="B54" s="24">
        <v>510</v>
      </c>
      <c r="C54" s="24" t="s">
        <v>38</v>
      </c>
      <c r="D54" s="31">
        <v>40820</v>
      </c>
      <c r="E54" s="7" t="s">
        <v>133</v>
      </c>
      <c r="F54" s="30">
        <v>24</v>
      </c>
      <c r="G54" s="8">
        <v>40819</v>
      </c>
      <c r="H54" s="31" t="s">
        <v>129</v>
      </c>
      <c r="I54" s="31">
        <v>40828</v>
      </c>
    </row>
    <row r="55" spans="1:9" x14ac:dyDescent="0.2">
      <c r="A55" s="82" t="s">
        <v>43</v>
      </c>
      <c r="B55" s="24">
        <v>511</v>
      </c>
      <c r="C55" s="24" t="s">
        <v>48</v>
      </c>
      <c r="D55" s="31">
        <v>40820</v>
      </c>
      <c r="E55" s="7" t="s">
        <v>133</v>
      </c>
      <c r="F55" s="30">
        <v>25.1</v>
      </c>
      <c r="G55" s="8">
        <v>40819</v>
      </c>
      <c r="H55" s="31" t="s">
        <v>129</v>
      </c>
      <c r="I55" s="31">
        <v>40828</v>
      </c>
    </row>
    <row r="56" spans="1:9" x14ac:dyDescent="0.2">
      <c r="A56" s="82" t="s">
        <v>30</v>
      </c>
      <c r="B56" s="24">
        <v>514</v>
      </c>
      <c r="C56" s="24" t="s">
        <v>50</v>
      </c>
      <c r="D56" s="31">
        <v>40820</v>
      </c>
      <c r="E56" s="7" t="s">
        <v>133</v>
      </c>
      <c r="F56" s="30">
        <v>26.3</v>
      </c>
      <c r="G56" s="8">
        <v>40819</v>
      </c>
      <c r="H56" s="31" t="s">
        <v>129</v>
      </c>
      <c r="I56" s="31">
        <v>40828</v>
      </c>
    </row>
    <row r="57" spans="1:9" x14ac:dyDescent="0.2">
      <c r="A57" s="82" t="s">
        <v>146</v>
      </c>
      <c r="B57" s="24">
        <v>515</v>
      </c>
      <c r="C57" s="24" t="s">
        <v>54</v>
      </c>
      <c r="D57" s="31">
        <v>40820</v>
      </c>
      <c r="E57" s="7" t="s">
        <v>133</v>
      </c>
      <c r="F57" s="30">
        <v>30.8</v>
      </c>
      <c r="G57" s="8">
        <v>40819</v>
      </c>
      <c r="H57" s="31" t="s">
        <v>129</v>
      </c>
      <c r="I57" s="31">
        <v>40828</v>
      </c>
    </row>
    <row r="58" spans="1:9" x14ac:dyDescent="0.2">
      <c r="A58" s="86"/>
      <c r="B58" s="24"/>
      <c r="C58" s="24"/>
    </row>
    <row r="59" spans="1:9" x14ac:dyDescent="0.2">
      <c r="A59" s="86"/>
      <c r="B59" s="24"/>
      <c r="C59" s="24"/>
    </row>
    <row r="60" spans="1:9" x14ac:dyDescent="0.2">
      <c r="A60" s="86"/>
      <c r="B60" s="24"/>
      <c r="C60" s="24"/>
    </row>
    <row r="61" spans="1:9" x14ac:dyDescent="0.2">
      <c r="A61" s="86"/>
      <c r="B61" s="24"/>
      <c r="C61" s="24"/>
    </row>
    <row r="62" spans="1:9" x14ac:dyDescent="0.2">
      <c r="A62" s="86"/>
      <c r="B62" s="24"/>
      <c r="C62" s="24"/>
    </row>
    <row r="63" spans="1:9" x14ac:dyDescent="0.2">
      <c r="A63" s="86"/>
      <c r="B63" s="24"/>
      <c r="C63" s="24"/>
    </row>
    <row r="64" spans="1:9" x14ac:dyDescent="0.2">
      <c r="A64" s="86"/>
      <c r="B64" s="24"/>
      <c r="C64" s="24"/>
    </row>
    <row r="65" spans="1:3" x14ac:dyDescent="0.2">
      <c r="A65" s="86"/>
      <c r="B65" s="24"/>
      <c r="C65" s="24"/>
    </row>
    <row r="66" spans="1:3" x14ac:dyDescent="0.2">
      <c r="A66" s="86"/>
      <c r="B66" s="24"/>
      <c r="C66" s="24"/>
    </row>
    <row r="67" spans="1:3" x14ac:dyDescent="0.2">
      <c r="A67" s="86"/>
      <c r="B67" s="24"/>
      <c r="C67" s="24"/>
    </row>
    <row r="68" spans="1:3" x14ac:dyDescent="0.2">
      <c r="A68" s="86"/>
      <c r="B68" s="24"/>
      <c r="C68" s="24"/>
    </row>
    <row r="69" spans="1:3" x14ac:dyDescent="0.2">
      <c r="A69" s="86"/>
      <c r="B69" s="24"/>
      <c r="C69" s="24"/>
    </row>
    <row r="70" spans="1:3" x14ac:dyDescent="0.2">
      <c r="A70" s="86"/>
      <c r="B70" s="24"/>
      <c r="C70" s="24"/>
    </row>
    <row r="71" spans="1:3" x14ac:dyDescent="0.2">
      <c r="A71" s="86"/>
      <c r="B71" s="24"/>
      <c r="C71" s="24"/>
    </row>
    <row r="72" spans="1:3" x14ac:dyDescent="0.2">
      <c r="A72" s="86"/>
      <c r="B72" s="24"/>
      <c r="C72" s="24"/>
    </row>
    <row r="73" spans="1:3" x14ac:dyDescent="0.2">
      <c r="A73" s="86"/>
      <c r="B73" s="24"/>
      <c r="C73" s="24"/>
    </row>
    <row r="74" spans="1:3" x14ac:dyDescent="0.2">
      <c r="A74" s="86"/>
      <c r="B74" s="24"/>
      <c r="C74" s="24"/>
    </row>
    <row r="75" spans="1:3" x14ac:dyDescent="0.2">
      <c r="A75" s="86"/>
      <c r="B75" s="24"/>
      <c r="C75" s="24"/>
    </row>
    <row r="76" spans="1:3" x14ac:dyDescent="0.2">
      <c r="A76" s="86"/>
      <c r="B76" s="24"/>
      <c r="C76" s="24"/>
    </row>
    <row r="77" spans="1:3" x14ac:dyDescent="0.2">
      <c r="A77" s="86"/>
      <c r="B77" s="24"/>
      <c r="C77" s="24"/>
    </row>
    <row r="78" spans="1:3" x14ac:dyDescent="0.2">
      <c r="A78" s="86"/>
      <c r="B78" s="24"/>
      <c r="C78" s="24"/>
    </row>
    <row r="79" spans="1:3" x14ac:dyDescent="0.2">
      <c r="A79" s="86"/>
      <c r="B79" s="24"/>
      <c r="C79" s="24"/>
    </row>
    <row r="80" spans="1:3" x14ac:dyDescent="0.2">
      <c r="A80" s="86"/>
      <c r="B80" s="24"/>
      <c r="C80" s="24"/>
    </row>
    <row r="81" spans="1:3" x14ac:dyDescent="0.2">
      <c r="A81" s="86"/>
      <c r="B81" s="24"/>
      <c r="C81" s="24"/>
    </row>
    <row r="82" spans="1:3" x14ac:dyDescent="0.2">
      <c r="A82" s="86"/>
      <c r="B82" s="24"/>
      <c r="C82" s="24"/>
    </row>
    <row r="83" spans="1:3" x14ac:dyDescent="0.2">
      <c r="A83" s="86"/>
      <c r="B83" s="24"/>
      <c r="C83" s="24"/>
    </row>
    <row r="84" spans="1:3" x14ac:dyDescent="0.2">
      <c r="A84" s="86"/>
      <c r="B84" s="24"/>
      <c r="C84" s="24"/>
    </row>
    <row r="85" spans="1:3" x14ac:dyDescent="0.2">
      <c r="A85" s="86"/>
      <c r="B85" s="24"/>
      <c r="C85" s="24"/>
    </row>
    <row r="86" spans="1:3" x14ac:dyDescent="0.2">
      <c r="A86" s="86"/>
      <c r="B86" s="24"/>
      <c r="C86" s="24"/>
    </row>
    <row r="87" spans="1:3" x14ac:dyDescent="0.2">
      <c r="A87" s="86"/>
      <c r="B87" s="24"/>
      <c r="C87" s="24"/>
    </row>
    <row r="88" spans="1:3" x14ac:dyDescent="0.2">
      <c r="A88" s="86"/>
      <c r="B88" s="24"/>
      <c r="C88" s="24"/>
    </row>
    <row r="89" spans="1:3" x14ac:dyDescent="0.2">
      <c r="A89" s="86"/>
      <c r="B89" s="24"/>
      <c r="C89" s="24"/>
    </row>
    <row r="90" spans="1:3" x14ac:dyDescent="0.2">
      <c r="A90" s="86"/>
      <c r="B90" s="24"/>
      <c r="C90" s="24"/>
    </row>
    <row r="91" spans="1:3" x14ac:dyDescent="0.2">
      <c r="A91" s="86"/>
      <c r="B91" s="24"/>
      <c r="C91" s="24"/>
    </row>
    <row r="92" spans="1:3" x14ac:dyDescent="0.2">
      <c r="A92" s="86"/>
      <c r="B92" s="24"/>
      <c r="C92" s="24"/>
    </row>
    <row r="93" spans="1:3" x14ac:dyDescent="0.2">
      <c r="A93" s="86"/>
      <c r="B93" s="24"/>
      <c r="C93" s="24"/>
    </row>
    <row r="94" spans="1:3" x14ac:dyDescent="0.2">
      <c r="A94" s="86"/>
      <c r="B94" s="24"/>
      <c r="C94" s="24"/>
    </row>
    <row r="95" spans="1:3" x14ac:dyDescent="0.2">
      <c r="A95" s="86"/>
      <c r="B95" s="24"/>
      <c r="C95" s="24"/>
    </row>
    <row r="96" spans="1:3" x14ac:dyDescent="0.2">
      <c r="A96" s="86"/>
      <c r="B96" s="24"/>
      <c r="C96" s="24"/>
    </row>
    <row r="97" spans="1:3" x14ac:dyDescent="0.2">
      <c r="A97" s="86"/>
      <c r="B97" s="24"/>
      <c r="C97" s="24"/>
    </row>
    <row r="98" spans="1:3" x14ac:dyDescent="0.2">
      <c r="A98" s="86"/>
      <c r="B98" s="24"/>
      <c r="C98" s="24"/>
    </row>
    <row r="99" spans="1:3" x14ac:dyDescent="0.2">
      <c r="A99" s="86"/>
      <c r="B99" s="24"/>
      <c r="C99" s="24"/>
    </row>
    <row r="100" spans="1:3" x14ac:dyDescent="0.2">
      <c r="A100" s="86"/>
      <c r="B100" s="24"/>
      <c r="C100" s="24"/>
    </row>
    <row r="101" spans="1:3" x14ac:dyDescent="0.2">
      <c r="A101" s="86"/>
      <c r="B101" s="24"/>
      <c r="C101" s="24"/>
    </row>
    <row r="102" spans="1:3" x14ac:dyDescent="0.2">
      <c r="A102" s="86"/>
      <c r="B102" s="24"/>
      <c r="C102" s="24"/>
    </row>
    <row r="103" spans="1:3" x14ac:dyDescent="0.2">
      <c r="A103" s="86"/>
      <c r="B103" s="24"/>
      <c r="C103" s="24"/>
    </row>
    <row r="104" spans="1:3" x14ac:dyDescent="0.2">
      <c r="A104" s="86"/>
      <c r="B104" s="24"/>
      <c r="C104" s="24"/>
    </row>
    <row r="105" spans="1:3" x14ac:dyDescent="0.2">
      <c r="A105" s="86"/>
      <c r="B105" s="24"/>
      <c r="C105" s="24"/>
    </row>
    <row r="106" spans="1:3" x14ac:dyDescent="0.2">
      <c r="A106" s="86"/>
      <c r="B106" s="24"/>
      <c r="C106" s="24"/>
    </row>
    <row r="107" spans="1:3" x14ac:dyDescent="0.2">
      <c r="A107" s="86"/>
      <c r="B107" s="24"/>
      <c r="C107" s="24"/>
    </row>
    <row r="108" spans="1:3" x14ac:dyDescent="0.2">
      <c r="A108" s="86"/>
      <c r="B108" s="24"/>
      <c r="C108" s="24"/>
    </row>
    <row r="109" spans="1:3" x14ac:dyDescent="0.2">
      <c r="A109" s="86"/>
      <c r="B109" s="24"/>
      <c r="C109" s="24"/>
    </row>
    <row r="110" spans="1:3" x14ac:dyDescent="0.2">
      <c r="A110" s="86"/>
      <c r="B110" s="24"/>
      <c r="C110" s="24"/>
    </row>
    <row r="111" spans="1:3" x14ac:dyDescent="0.2">
      <c r="A111" s="86"/>
      <c r="B111" s="24"/>
      <c r="C111" s="24"/>
    </row>
    <row r="112" spans="1:3" x14ac:dyDescent="0.2">
      <c r="A112" s="86"/>
      <c r="B112" s="24"/>
      <c r="C112" s="24"/>
    </row>
    <row r="113" spans="1:3" x14ac:dyDescent="0.2">
      <c r="A113" s="86"/>
      <c r="B113" s="24"/>
      <c r="C113" s="24"/>
    </row>
    <row r="114" spans="1:3" x14ac:dyDescent="0.2">
      <c r="A114" s="86"/>
      <c r="B114" s="24"/>
      <c r="C114" s="24"/>
    </row>
    <row r="115" spans="1:3" x14ac:dyDescent="0.2">
      <c r="A115" s="86"/>
      <c r="B115" s="24"/>
      <c r="C115" s="24"/>
    </row>
    <row r="116" spans="1:3" x14ac:dyDescent="0.2">
      <c r="A116" s="86"/>
      <c r="B116" s="24"/>
      <c r="C116" s="24"/>
    </row>
    <row r="117" spans="1:3" x14ac:dyDescent="0.2">
      <c r="A117" s="86"/>
      <c r="B117" s="24"/>
      <c r="C117" s="24"/>
    </row>
    <row r="118" spans="1:3" x14ac:dyDescent="0.2">
      <c r="A118" s="86"/>
      <c r="B118" s="24"/>
      <c r="C118" s="24"/>
    </row>
    <row r="119" spans="1:3" x14ac:dyDescent="0.2">
      <c r="A119" s="86"/>
      <c r="B119" s="24"/>
      <c r="C119" s="24"/>
    </row>
    <row r="120" spans="1:3" x14ac:dyDescent="0.2">
      <c r="A120" s="86"/>
      <c r="B120" s="24"/>
      <c r="C120" s="24"/>
    </row>
    <row r="121" spans="1:3" x14ac:dyDescent="0.2">
      <c r="A121" s="86"/>
      <c r="B121" s="24"/>
      <c r="C121" s="24"/>
    </row>
    <row r="122" spans="1:3" x14ac:dyDescent="0.2">
      <c r="A122" s="86"/>
      <c r="B122" s="24"/>
      <c r="C122" s="24"/>
    </row>
    <row r="123" spans="1:3" x14ac:dyDescent="0.2">
      <c r="A123" s="86"/>
      <c r="B123" s="24"/>
      <c r="C123" s="24"/>
    </row>
    <row r="124" spans="1:3" x14ac:dyDescent="0.2">
      <c r="A124" s="86"/>
      <c r="B124" s="24"/>
      <c r="C124" s="24"/>
    </row>
    <row r="125" spans="1:3" x14ac:dyDescent="0.2">
      <c r="A125" s="86"/>
      <c r="B125" s="24"/>
      <c r="C125" s="24"/>
    </row>
    <row r="126" spans="1:3" x14ac:dyDescent="0.2">
      <c r="A126" s="86"/>
      <c r="B126" s="24"/>
      <c r="C126" s="24"/>
    </row>
    <row r="127" spans="1:3" x14ac:dyDescent="0.2">
      <c r="A127" s="86"/>
      <c r="B127" s="24"/>
      <c r="C127" s="24"/>
    </row>
    <row r="128" spans="1:3" x14ac:dyDescent="0.2">
      <c r="A128" s="86"/>
      <c r="B128" s="24"/>
      <c r="C128" s="24"/>
    </row>
    <row r="129" spans="1:3" x14ac:dyDescent="0.2">
      <c r="A129" s="86"/>
      <c r="B129" s="24"/>
      <c r="C129" s="24"/>
    </row>
    <row r="130" spans="1:3" x14ac:dyDescent="0.2">
      <c r="A130" s="86"/>
      <c r="B130" s="24"/>
      <c r="C130" s="24"/>
    </row>
    <row r="131" spans="1:3" x14ac:dyDescent="0.2">
      <c r="A131" s="86"/>
      <c r="B131" s="24"/>
      <c r="C131" s="24"/>
    </row>
    <row r="132" spans="1:3" x14ac:dyDescent="0.2">
      <c r="A132" s="86"/>
      <c r="B132" s="24"/>
      <c r="C132" s="24"/>
    </row>
    <row r="133" spans="1:3" x14ac:dyDescent="0.2">
      <c r="A133" s="86"/>
      <c r="B133" s="24"/>
      <c r="C133" s="24"/>
    </row>
    <row r="134" spans="1:3" x14ac:dyDescent="0.2">
      <c r="A134" s="86"/>
      <c r="B134" s="24"/>
      <c r="C134" s="24"/>
    </row>
    <row r="135" spans="1:3" x14ac:dyDescent="0.2">
      <c r="A135" s="86"/>
      <c r="B135" s="24"/>
      <c r="C135" s="24"/>
    </row>
    <row r="136" spans="1:3" x14ac:dyDescent="0.2">
      <c r="A136" s="86"/>
      <c r="B136" s="24"/>
      <c r="C136" s="24"/>
    </row>
    <row r="137" spans="1:3" x14ac:dyDescent="0.2">
      <c r="A137" s="86"/>
      <c r="B137" s="24"/>
      <c r="C137" s="24"/>
    </row>
    <row r="138" spans="1:3" x14ac:dyDescent="0.2">
      <c r="A138" s="86"/>
      <c r="B138" s="24"/>
      <c r="C138" s="24"/>
    </row>
    <row r="139" spans="1:3" x14ac:dyDescent="0.2">
      <c r="A139" s="86"/>
      <c r="B139" s="24"/>
      <c r="C139" s="24"/>
    </row>
    <row r="140" spans="1:3" x14ac:dyDescent="0.2">
      <c r="A140" s="86"/>
      <c r="B140" s="24"/>
      <c r="C140" s="24"/>
    </row>
    <row r="141" spans="1:3" x14ac:dyDescent="0.2">
      <c r="A141" s="86"/>
      <c r="B141" s="24"/>
      <c r="C141" s="24"/>
    </row>
    <row r="142" spans="1:3" x14ac:dyDescent="0.2">
      <c r="A142" s="86"/>
      <c r="B142" s="24"/>
      <c r="C142" s="24"/>
    </row>
    <row r="143" spans="1:3" x14ac:dyDescent="0.2">
      <c r="A143" s="86"/>
      <c r="B143" s="24"/>
      <c r="C143" s="24"/>
    </row>
    <row r="144" spans="1:3" x14ac:dyDescent="0.2">
      <c r="A144" s="86"/>
      <c r="B144" s="24"/>
      <c r="C144" s="24"/>
    </row>
    <row r="145" spans="1:3" x14ac:dyDescent="0.2">
      <c r="A145" s="86"/>
      <c r="B145" s="24"/>
      <c r="C145" s="24"/>
    </row>
    <row r="146" spans="1:3" x14ac:dyDescent="0.2">
      <c r="A146" s="86"/>
      <c r="B146" s="24"/>
      <c r="C146" s="24"/>
    </row>
    <row r="147" spans="1:3" x14ac:dyDescent="0.2">
      <c r="A147" s="86"/>
      <c r="B147" s="24"/>
      <c r="C147" s="24"/>
    </row>
    <row r="148" spans="1:3" x14ac:dyDescent="0.2">
      <c r="A148" s="86"/>
      <c r="B148" s="24"/>
      <c r="C148" s="24"/>
    </row>
    <row r="149" spans="1:3" x14ac:dyDescent="0.2">
      <c r="A149" s="86"/>
      <c r="B149" s="24"/>
      <c r="C149" s="24"/>
    </row>
    <row r="150" spans="1:3" x14ac:dyDescent="0.2">
      <c r="A150" s="86"/>
      <c r="B150" s="24"/>
      <c r="C150" s="24"/>
    </row>
    <row r="151" spans="1:3" x14ac:dyDescent="0.2">
      <c r="A151" s="86"/>
      <c r="B151" s="24"/>
      <c r="C151" s="24"/>
    </row>
    <row r="152" spans="1:3" x14ac:dyDescent="0.2">
      <c r="A152" s="86"/>
      <c r="B152" s="24"/>
      <c r="C152" s="24"/>
    </row>
    <row r="153" spans="1:3" x14ac:dyDescent="0.2">
      <c r="A153" s="86"/>
      <c r="B153" s="24"/>
      <c r="C153" s="24"/>
    </row>
    <row r="154" spans="1:3" x14ac:dyDescent="0.2">
      <c r="A154" s="86"/>
      <c r="B154" s="24"/>
      <c r="C154" s="24"/>
    </row>
    <row r="155" spans="1:3" x14ac:dyDescent="0.2">
      <c r="A155" s="86"/>
      <c r="B155" s="24"/>
      <c r="C155" s="24"/>
    </row>
    <row r="156" spans="1:3" x14ac:dyDescent="0.2">
      <c r="A156" s="86"/>
      <c r="B156" s="24"/>
      <c r="C156" s="24"/>
    </row>
    <row r="157" spans="1:3" x14ac:dyDescent="0.2">
      <c r="A157" s="86"/>
      <c r="B157" s="24"/>
      <c r="C157" s="24"/>
    </row>
    <row r="158" spans="1:3" x14ac:dyDescent="0.2">
      <c r="A158" s="86"/>
      <c r="B158" s="24"/>
      <c r="C158" s="24"/>
    </row>
    <row r="159" spans="1:3" x14ac:dyDescent="0.2">
      <c r="A159" s="86"/>
      <c r="B159" s="24"/>
      <c r="C159" s="24"/>
    </row>
    <row r="160" spans="1:3" x14ac:dyDescent="0.2">
      <c r="A160" s="86"/>
      <c r="B160" s="24"/>
      <c r="C160" s="24"/>
    </row>
  </sheetData>
  <autoFilter ref="A1:J47"/>
  <sortState ref="A2:J160">
    <sortCondition ref="D1"/>
  </sortState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2.75" x14ac:dyDescent="0.2"/>
  <cols>
    <col min="1" max="1" width="9.140625" style="10"/>
    <col min="2" max="3" width="9.140625" style="3"/>
    <col min="4" max="4" width="23.28515625" style="3" customWidth="1"/>
    <col min="5" max="5" width="10.7109375" style="3" customWidth="1"/>
    <col min="6" max="6" width="9.140625" style="10"/>
    <col min="7" max="7" width="25.140625" style="3" customWidth="1"/>
  </cols>
  <sheetData>
    <row r="1" spans="1:7" s="12" customFormat="1" ht="51" x14ac:dyDescent="0.2">
      <c r="A1" s="11" t="s">
        <v>21</v>
      </c>
      <c r="B1" s="12" t="s">
        <v>22</v>
      </c>
      <c r="C1" s="12" t="s">
        <v>23</v>
      </c>
      <c r="D1" s="12" t="s">
        <v>24</v>
      </c>
      <c r="E1" s="12" t="s">
        <v>145</v>
      </c>
      <c r="F1" s="11" t="s">
        <v>25</v>
      </c>
      <c r="G1" s="12" t="s">
        <v>26</v>
      </c>
    </row>
    <row r="2" spans="1:7" s="7" customFormat="1" ht="25.5" x14ac:dyDescent="0.2">
      <c r="A2" s="31">
        <v>40817</v>
      </c>
      <c r="B2" s="9">
        <v>8418</v>
      </c>
      <c r="C2" s="9">
        <v>423</v>
      </c>
      <c r="D2" s="9" t="s">
        <v>141</v>
      </c>
      <c r="E2" s="123" t="s">
        <v>129</v>
      </c>
      <c r="F2" s="31">
        <v>40817</v>
      </c>
      <c r="G2" s="9"/>
    </row>
    <row r="3" spans="1:7" s="7" customFormat="1" ht="25.5" x14ac:dyDescent="0.2">
      <c r="A3" s="31">
        <v>40819</v>
      </c>
      <c r="B3" s="9" t="s">
        <v>48</v>
      </c>
      <c r="C3" s="9">
        <v>427</v>
      </c>
      <c r="D3" s="9" t="s">
        <v>143</v>
      </c>
      <c r="E3" s="123" t="s">
        <v>129</v>
      </c>
      <c r="F3" s="31">
        <v>40820</v>
      </c>
      <c r="G3" s="9"/>
    </row>
    <row r="4" spans="1:7" s="7" customFormat="1" ht="25.5" x14ac:dyDescent="0.2">
      <c r="A4" s="31">
        <v>40820</v>
      </c>
      <c r="B4" s="9" t="s">
        <v>83</v>
      </c>
      <c r="C4" s="9">
        <v>411</v>
      </c>
      <c r="D4" s="9" t="s">
        <v>144</v>
      </c>
      <c r="E4" s="123" t="s">
        <v>129</v>
      </c>
      <c r="F4" s="31">
        <v>40820</v>
      </c>
      <c r="G4" s="9"/>
    </row>
    <row r="5" spans="1:7" s="7" customFormat="1" ht="25.5" x14ac:dyDescent="0.2">
      <c r="A5" s="31">
        <v>40821</v>
      </c>
      <c r="B5" s="9" t="s">
        <v>83</v>
      </c>
      <c r="C5" s="9">
        <v>409</v>
      </c>
      <c r="D5" s="9" t="s">
        <v>144</v>
      </c>
      <c r="E5" s="9" t="s">
        <v>129</v>
      </c>
      <c r="F5" s="31">
        <v>40821</v>
      </c>
      <c r="G5" s="9"/>
    </row>
    <row r="6" spans="1:7" s="7" customFormat="1" ht="25.5" x14ac:dyDescent="0.2">
      <c r="A6" s="31">
        <v>40827</v>
      </c>
      <c r="B6" s="9">
        <v>8418</v>
      </c>
      <c r="C6" s="9">
        <v>422</v>
      </c>
      <c r="D6" s="9" t="s">
        <v>147</v>
      </c>
      <c r="E6" s="9" t="s">
        <v>129</v>
      </c>
      <c r="F6" s="31">
        <v>40828</v>
      </c>
      <c r="G6" s="9"/>
    </row>
    <row r="7" spans="1:7" s="7" customFormat="1" ht="38.25" x14ac:dyDescent="0.2">
      <c r="A7" s="31">
        <v>40828</v>
      </c>
      <c r="B7" s="9">
        <v>8133</v>
      </c>
      <c r="C7" s="9">
        <v>401</v>
      </c>
      <c r="D7" s="9" t="s">
        <v>148</v>
      </c>
      <c r="E7" s="9" t="s">
        <v>129</v>
      </c>
      <c r="F7" s="31">
        <v>40828</v>
      </c>
      <c r="G7" s="9"/>
    </row>
    <row r="8" spans="1:7" s="7" customFormat="1" ht="25.5" x14ac:dyDescent="0.2">
      <c r="A8" s="31">
        <v>40830</v>
      </c>
      <c r="B8" s="9">
        <v>8282</v>
      </c>
      <c r="C8" s="9">
        <v>404</v>
      </c>
      <c r="D8" s="9" t="s">
        <v>149</v>
      </c>
      <c r="E8" s="9" t="s">
        <v>129</v>
      </c>
      <c r="F8" s="31">
        <v>40830</v>
      </c>
      <c r="G8" s="9"/>
    </row>
    <row r="9" spans="1:7" s="7" customFormat="1" ht="25.5" x14ac:dyDescent="0.2">
      <c r="A9" s="31">
        <v>40830</v>
      </c>
      <c r="B9" s="9">
        <v>8282</v>
      </c>
      <c r="C9" s="9">
        <v>405</v>
      </c>
      <c r="D9" s="9" t="s">
        <v>149</v>
      </c>
      <c r="E9" s="9" t="s">
        <v>129</v>
      </c>
      <c r="F9" s="31">
        <v>40830</v>
      </c>
      <c r="G9" s="9"/>
    </row>
    <row r="10" spans="1:7" s="7" customFormat="1" ht="25.5" x14ac:dyDescent="0.2">
      <c r="A10" s="31">
        <v>40833</v>
      </c>
      <c r="B10" s="9" t="s">
        <v>29</v>
      </c>
      <c r="C10" s="9">
        <v>419</v>
      </c>
      <c r="D10" s="9" t="s">
        <v>150</v>
      </c>
      <c r="E10" s="9" t="s">
        <v>129</v>
      </c>
      <c r="F10" s="31">
        <v>40830</v>
      </c>
      <c r="G10" s="9"/>
    </row>
    <row r="11" spans="1:7" s="7" customFormat="1" ht="25.5" x14ac:dyDescent="0.2">
      <c r="A11" s="31">
        <v>40833</v>
      </c>
      <c r="B11" s="9" t="s">
        <v>29</v>
      </c>
      <c r="C11" s="9">
        <v>418</v>
      </c>
      <c r="D11" s="9" t="s">
        <v>151</v>
      </c>
      <c r="E11" s="9" t="s">
        <v>129</v>
      </c>
      <c r="F11" s="31">
        <v>40834</v>
      </c>
      <c r="G11" s="9"/>
    </row>
    <row r="12" spans="1:7" s="7" customFormat="1" x14ac:dyDescent="0.2">
      <c r="A12" s="31">
        <v>40836</v>
      </c>
      <c r="B12" s="9" t="s">
        <v>91</v>
      </c>
      <c r="C12" s="9">
        <v>414</v>
      </c>
      <c r="D12" s="9" t="s">
        <v>152</v>
      </c>
      <c r="E12" s="9" t="s">
        <v>129</v>
      </c>
      <c r="F12" s="31">
        <v>40838</v>
      </c>
      <c r="G12" s="9"/>
    </row>
    <row r="13" spans="1:7" s="7" customFormat="1" x14ac:dyDescent="0.2">
      <c r="A13" s="31">
        <v>40836</v>
      </c>
      <c r="B13" s="9" t="s">
        <v>120</v>
      </c>
      <c r="C13" s="9">
        <v>434</v>
      </c>
      <c r="D13" s="9" t="s">
        <v>152</v>
      </c>
      <c r="E13" s="9" t="s">
        <v>129</v>
      </c>
      <c r="F13" s="31">
        <v>40838</v>
      </c>
      <c r="G13" s="9"/>
    </row>
    <row r="14" spans="1:7" s="7" customFormat="1" x14ac:dyDescent="0.2">
      <c r="A14" s="31">
        <v>40838</v>
      </c>
      <c r="B14" s="9" t="s">
        <v>71</v>
      </c>
      <c r="C14" s="9">
        <v>403</v>
      </c>
      <c r="D14" s="9" t="s">
        <v>153</v>
      </c>
      <c r="E14" s="9" t="s">
        <v>129</v>
      </c>
      <c r="F14" s="31">
        <v>40838</v>
      </c>
      <c r="G14" s="9"/>
    </row>
    <row r="15" spans="1:7" s="7" customFormat="1" x14ac:dyDescent="0.2">
      <c r="A15" s="31">
        <v>40838</v>
      </c>
      <c r="B15" s="9" t="s">
        <v>91</v>
      </c>
      <c r="C15" s="9">
        <v>415</v>
      </c>
      <c r="D15" s="9" t="s">
        <v>153</v>
      </c>
      <c r="E15" s="9" t="s">
        <v>129</v>
      </c>
      <c r="F15" s="31">
        <v>40838</v>
      </c>
      <c r="G15" s="9"/>
    </row>
    <row r="16" spans="1:7" s="7" customFormat="1" x14ac:dyDescent="0.2">
      <c r="A16" s="31"/>
      <c r="B16" s="9"/>
      <c r="C16" s="9"/>
      <c r="D16" s="9"/>
      <c r="E16" s="9"/>
      <c r="F16" s="31"/>
      <c r="G16" s="9"/>
    </row>
    <row r="17" spans="1:7" s="7" customFormat="1" x14ac:dyDescent="0.2">
      <c r="A17" s="31"/>
      <c r="B17" s="9"/>
      <c r="C17" s="9"/>
      <c r="D17" s="9"/>
      <c r="E17" s="9"/>
      <c r="F17" s="31"/>
      <c r="G17" s="9"/>
    </row>
    <row r="18" spans="1:7" s="7" customFormat="1" x14ac:dyDescent="0.2">
      <c r="A18" s="31"/>
      <c r="B18" s="9"/>
      <c r="C18" s="9"/>
      <c r="D18" s="9"/>
      <c r="E18" s="9"/>
      <c r="F18" s="31"/>
      <c r="G18" s="9"/>
    </row>
    <row r="19" spans="1:7" s="7" customFormat="1" x14ac:dyDescent="0.2">
      <c r="A19" s="31"/>
      <c r="B19" s="9"/>
      <c r="C19" s="9"/>
      <c r="D19" s="9"/>
      <c r="E19" s="9"/>
      <c r="F19" s="31"/>
      <c r="G19" s="9"/>
    </row>
    <row r="20" spans="1:7" s="7" customFormat="1" x14ac:dyDescent="0.2">
      <c r="A20" s="31"/>
      <c r="B20" s="9"/>
      <c r="C20" s="9"/>
      <c r="D20" s="9"/>
      <c r="E20" s="9"/>
      <c r="F20" s="31"/>
      <c r="G20" s="9"/>
    </row>
    <row r="21" spans="1:7" s="7" customFormat="1" x14ac:dyDescent="0.2">
      <c r="A21" s="31"/>
      <c r="B21" s="9"/>
      <c r="C21" s="9"/>
      <c r="D21" s="9"/>
      <c r="E21" s="9"/>
      <c r="F21" s="31"/>
      <c r="G21" s="9"/>
    </row>
    <row r="22" spans="1:7" s="7" customFormat="1" x14ac:dyDescent="0.2">
      <c r="A22" s="31"/>
      <c r="B22" s="9"/>
      <c r="C22" s="9"/>
      <c r="D22" s="9"/>
      <c r="E22" s="9"/>
      <c r="F22" s="31"/>
      <c r="G22" s="9"/>
    </row>
    <row r="23" spans="1:7" s="7" customFormat="1" x14ac:dyDescent="0.2">
      <c r="A23" s="31"/>
      <c r="B23" s="9"/>
      <c r="C23" s="9"/>
      <c r="D23" s="9"/>
      <c r="E23" s="9"/>
      <c r="F23" s="31"/>
      <c r="G23" s="9"/>
    </row>
    <row r="24" spans="1:7" s="7" customFormat="1" x14ac:dyDescent="0.2">
      <c r="A24" s="31"/>
      <c r="B24" s="9"/>
      <c r="C24" s="9"/>
      <c r="D24" s="9"/>
      <c r="E24" s="9"/>
      <c r="F24" s="31"/>
      <c r="G24" s="9"/>
    </row>
    <row r="25" spans="1:7" s="7" customFormat="1" x14ac:dyDescent="0.2">
      <c r="A25" s="31"/>
      <c r="B25" s="9"/>
      <c r="C25" s="9"/>
      <c r="D25" s="9"/>
      <c r="E25" s="9"/>
      <c r="F25" s="31"/>
      <c r="G25" s="9"/>
    </row>
    <row r="26" spans="1:7" s="7" customFormat="1" x14ac:dyDescent="0.2">
      <c r="A26" s="31"/>
      <c r="B26" s="9"/>
      <c r="C26" s="9"/>
      <c r="D26" s="9"/>
      <c r="E26" s="9"/>
      <c r="F26" s="31"/>
      <c r="G26" s="9"/>
    </row>
    <row r="27" spans="1:7" s="7" customFormat="1" x14ac:dyDescent="0.2">
      <c r="A27" s="31"/>
      <c r="B27" s="9"/>
      <c r="C27" s="9"/>
      <c r="D27" s="9"/>
      <c r="E27" s="9"/>
      <c r="F27" s="31"/>
      <c r="G27" s="9"/>
    </row>
    <row r="28" spans="1:7" s="7" customFormat="1" x14ac:dyDescent="0.2">
      <c r="A28" s="31"/>
      <c r="B28" s="9"/>
      <c r="C28" s="9"/>
      <c r="D28" s="9"/>
      <c r="E28" s="9"/>
      <c r="F28" s="31"/>
      <c r="G28" s="9"/>
    </row>
    <row r="29" spans="1:7" s="7" customFormat="1" x14ac:dyDescent="0.2">
      <c r="A29" s="31"/>
      <c r="B29" s="9"/>
      <c r="C29" s="9"/>
      <c r="D29" s="9"/>
      <c r="E29" s="9"/>
      <c r="F29" s="31"/>
      <c r="G29" s="9"/>
    </row>
    <row r="30" spans="1:7" s="7" customFormat="1" x14ac:dyDescent="0.2">
      <c r="A30" s="31"/>
      <c r="B30" s="9"/>
      <c r="C30" s="9"/>
      <c r="D30" s="9"/>
      <c r="E30" s="9"/>
      <c r="F30" s="31"/>
      <c r="G30" s="9"/>
    </row>
    <row r="31" spans="1:7" s="7" customFormat="1" x14ac:dyDescent="0.2">
      <c r="A31" s="31"/>
      <c r="B31" s="9"/>
      <c r="C31" s="9"/>
      <c r="D31" s="9"/>
      <c r="E31" s="9"/>
      <c r="F31" s="31"/>
      <c r="G31" s="9"/>
    </row>
    <row r="32" spans="1:7" s="7" customFormat="1" x14ac:dyDescent="0.2">
      <c r="A32" s="31"/>
      <c r="B32" s="9"/>
      <c r="C32" s="9"/>
      <c r="D32" s="9"/>
      <c r="E32" s="9"/>
      <c r="F32" s="31"/>
      <c r="G32" s="9"/>
    </row>
    <row r="33" spans="1:7" s="7" customFormat="1" x14ac:dyDescent="0.2">
      <c r="A33" s="31"/>
      <c r="B33" s="9"/>
      <c r="C33" s="9"/>
      <c r="D33" s="9"/>
      <c r="E33" s="9"/>
      <c r="F33" s="31"/>
      <c r="G33" s="9"/>
    </row>
    <row r="34" spans="1:7" s="7" customFormat="1" x14ac:dyDescent="0.2">
      <c r="A34" s="31"/>
      <c r="B34" s="9"/>
      <c r="C34" s="9"/>
      <c r="D34" s="9"/>
      <c r="E34" s="9"/>
      <c r="F34" s="31"/>
      <c r="G34" s="9"/>
    </row>
    <row r="35" spans="1:7" s="7" customFormat="1" x14ac:dyDescent="0.2">
      <c r="A35" s="31"/>
      <c r="B35" s="9"/>
      <c r="C35" s="9"/>
      <c r="D35" s="9"/>
      <c r="E35" s="9"/>
      <c r="F35" s="31"/>
      <c r="G35" s="9"/>
    </row>
    <row r="36" spans="1:7" s="7" customFormat="1" x14ac:dyDescent="0.2">
      <c r="A36" s="31"/>
      <c r="B36" s="9"/>
      <c r="C36" s="9"/>
      <c r="D36" s="9"/>
      <c r="E36" s="9"/>
      <c r="F36" s="31"/>
      <c r="G36" s="9"/>
    </row>
    <row r="37" spans="1:7" s="7" customFormat="1" x14ac:dyDescent="0.2">
      <c r="A37" s="31"/>
      <c r="B37" s="9"/>
      <c r="C37" s="9"/>
      <c r="D37" s="9"/>
      <c r="E37" s="9"/>
      <c r="F37" s="31"/>
      <c r="G37" s="9"/>
    </row>
    <row r="38" spans="1:7" s="7" customFormat="1" x14ac:dyDescent="0.2">
      <c r="A38" s="31"/>
      <c r="B38" s="9"/>
      <c r="C38" s="9"/>
      <c r="D38" s="9"/>
      <c r="E38" s="9"/>
      <c r="F38" s="31"/>
      <c r="G38" s="9"/>
    </row>
    <row r="39" spans="1:7" s="7" customFormat="1" x14ac:dyDescent="0.2">
      <c r="A39" s="31"/>
      <c r="B39" s="9"/>
      <c r="C39" s="9"/>
      <c r="D39" s="9"/>
      <c r="E39" s="9"/>
      <c r="F39" s="31"/>
      <c r="G39" s="9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0"/>
  <sheetViews>
    <sheetView tabSelected="1" zoomScale="90" zoomScaleNormal="90" workbookViewId="0">
      <pane ySplit="1" topLeftCell="A2" activePane="bottomLeft" state="frozen"/>
      <selection pane="bottomLeft" activeCell="A16" sqref="A16"/>
    </sheetView>
  </sheetViews>
  <sheetFormatPr defaultRowHeight="12.75" x14ac:dyDescent="0.2"/>
  <cols>
    <col min="1" max="1" width="23.140625" style="149" customWidth="1"/>
    <col min="2" max="2" width="8.5703125" style="146" customWidth="1"/>
    <col min="3" max="3" width="8.42578125" style="146" customWidth="1"/>
    <col min="4" max="4" width="5.140625" style="148" customWidth="1"/>
    <col min="5" max="11" width="9.140625" style="148"/>
    <col min="12" max="12" width="10.85546875" style="148" customWidth="1"/>
    <col min="13" max="13" width="12.5703125" style="148" customWidth="1"/>
    <col min="14" max="14" width="18.5703125" style="148" bestFit="1" customWidth="1"/>
    <col min="15" max="15" width="10.140625" style="139" customWidth="1"/>
    <col min="16" max="16" width="10.7109375" style="139" customWidth="1"/>
    <col min="17" max="17" width="45.42578125" style="139" customWidth="1"/>
    <col min="18" max="16384" width="9.140625" style="139"/>
  </cols>
  <sheetData>
    <row r="1" spans="1:17" ht="51" customHeight="1" x14ac:dyDescent="0.2">
      <c r="A1" s="17" t="s">
        <v>1</v>
      </c>
      <c r="B1" s="18" t="s">
        <v>14</v>
      </c>
      <c r="C1" s="18" t="s">
        <v>0</v>
      </c>
      <c r="D1" s="19" t="s">
        <v>2</v>
      </c>
      <c r="E1" s="19" t="s">
        <v>154</v>
      </c>
      <c r="F1" s="19" t="s">
        <v>155</v>
      </c>
      <c r="G1" s="150" t="s">
        <v>173</v>
      </c>
      <c r="H1" s="19" t="s">
        <v>156</v>
      </c>
      <c r="I1" s="19" t="s">
        <v>157</v>
      </c>
      <c r="J1" s="150" t="s">
        <v>159</v>
      </c>
      <c r="K1" s="19" t="s">
        <v>158</v>
      </c>
      <c r="L1" s="150" t="s">
        <v>174</v>
      </c>
      <c r="M1" s="19" t="s">
        <v>160</v>
      </c>
      <c r="N1" s="150" t="s">
        <v>163</v>
      </c>
      <c r="O1" s="19" t="s">
        <v>161</v>
      </c>
      <c r="P1" s="19" t="s">
        <v>162</v>
      </c>
      <c r="Q1" s="156" t="s">
        <v>176</v>
      </c>
    </row>
    <row r="2" spans="1:17" x14ac:dyDescent="0.2">
      <c r="A2" s="82" t="s">
        <v>67</v>
      </c>
      <c r="B2" s="24">
        <v>401</v>
      </c>
      <c r="C2" s="24">
        <v>8133</v>
      </c>
      <c r="D2" s="2" t="s">
        <v>12</v>
      </c>
      <c r="E2" s="148">
        <v>4467</v>
      </c>
      <c r="F2" s="148">
        <v>4421</v>
      </c>
      <c r="H2" s="154" t="s">
        <v>36</v>
      </c>
      <c r="I2" s="154" t="s">
        <v>35</v>
      </c>
      <c r="J2" s="154" t="s">
        <v>35</v>
      </c>
      <c r="K2" s="148" t="s">
        <v>35</v>
      </c>
      <c r="L2" s="154"/>
      <c r="M2" s="148" t="s">
        <v>35</v>
      </c>
      <c r="N2" s="148" t="s">
        <v>164</v>
      </c>
      <c r="Q2" s="157" t="s">
        <v>177</v>
      </c>
    </row>
    <row r="3" spans="1:17" x14ac:dyDescent="0.2">
      <c r="A3" s="140" t="s">
        <v>68</v>
      </c>
      <c r="B3" s="24"/>
      <c r="C3" s="24"/>
      <c r="D3" s="152" t="s">
        <v>13</v>
      </c>
      <c r="E3" s="153">
        <v>4081</v>
      </c>
      <c r="Q3" s="158"/>
    </row>
    <row r="4" spans="1:17" x14ac:dyDescent="0.2">
      <c r="A4" s="82" t="s">
        <v>69</v>
      </c>
      <c r="B4" s="24">
        <v>402</v>
      </c>
      <c r="C4" s="24" t="s">
        <v>71</v>
      </c>
      <c r="D4" s="2" t="s">
        <v>12</v>
      </c>
      <c r="E4" s="148">
        <v>3986</v>
      </c>
      <c r="F4" s="148">
        <v>3933</v>
      </c>
      <c r="H4" s="154" t="s">
        <v>35</v>
      </c>
      <c r="I4" s="154" t="s">
        <v>36</v>
      </c>
      <c r="J4" s="154" t="s">
        <v>35</v>
      </c>
      <c r="K4" s="148" t="s">
        <v>36</v>
      </c>
      <c r="L4" s="154" t="s">
        <v>36</v>
      </c>
      <c r="M4" s="148" t="s">
        <v>35</v>
      </c>
      <c r="N4" s="148" t="s">
        <v>165</v>
      </c>
      <c r="Q4" s="158" t="s">
        <v>212</v>
      </c>
    </row>
    <row r="5" spans="1:17" x14ac:dyDescent="0.2">
      <c r="A5" s="140" t="s">
        <v>70</v>
      </c>
      <c r="B5" s="24"/>
      <c r="C5" s="24"/>
      <c r="D5" s="152" t="s">
        <v>13</v>
      </c>
      <c r="E5" s="153">
        <v>5733</v>
      </c>
      <c r="Q5" s="158"/>
    </row>
    <row r="6" spans="1:17" x14ac:dyDescent="0.2">
      <c r="A6" s="82" t="s">
        <v>72</v>
      </c>
      <c r="B6" s="24">
        <v>403</v>
      </c>
      <c r="C6" s="24" t="s">
        <v>71</v>
      </c>
      <c r="D6" s="2" t="s">
        <v>12</v>
      </c>
      <c r="E6" s="148">
        <v>596</v>
      </c>
      <c r="F6" s="148">
        <v>563</v>
      </c>
      <c r="H6" s="154" t="s">
        <v>36</v>
      </c>
      <c r="I6" s="154" t="s">
        <v>36</v>
      </c>
      <c r="J6" s="154" t="s">
        <v>36</v>
      </c>
      <c r="K6" s="151" t="s">
        <v>36</v>
      </c>
      <c r="L6" s="155" t="s">
        <v>175</v>
      </c>
      <c r="M6" s="151" t="s">
        <v>36</v>
      </c>
      <c r="N6" s="151" t="s">
        <v>166</v>
      </c>
      <c r="Q6" s="159" t="s">
        <v>178</v>
      </c>
    </row>
    <row r="7" spans="1:17" x14ac:dyDescent="0.2">
      <c r="A7" s="140" t="s">
        <v>73</v>
      </c>
      <c r="B7" s="141"/>
      <c r="C7" s="24"/>
      <c r="D7" s="152" t="s">
        <v>13</v>
      </c>
      <c r="E7" s="153">
        <v>5002</v>
      </c>
      <c r="Q7" s="158"/>
    </row>
    <row r="8" spans="1:17" x14ac:dyDescent="0.2">
      <c r="A8" s="82" t="s">
        <v>74</v>
      </c>
      <c r="B8" s="24">
        <v>404</v>
      </c>
      <c r="C8" s="24">
        <v>8282</v>
      </c>
      <c r="D8" s="2" t="s">
        <v>12</v>
      </c>
      <c r="E8" s="148">
        <v>5413</v>
      </c>
      <c r="F8" s="148">
        <v>5375</v>
      </c>
      <c r="H8" s="154" t="s">
        <v>35</v>
      </c>
      <c r="I8" s="154" t="s">
        <v>36</v>
      </c>
      <c r="J8" s="154" t="s">
        <v>35</v>
      </c>
      <c r="K8" s="148" t="s">
        <v>36</v>
      </c>
      <c r="L8" s="154" t="s">
        <v>36</v>
      </c>
      <c r="M8" s="148" t="s">
        <v>36</v>
      </c>
      <c r="N8" s="148" t="s">
        <v>166</v>
      </c>
      <c r="Q8" s="158" t="s">
        <v>213</v>
      </c>
    </row>
    <row r="9" spans="1:17" x14ac:dyDescent="0.2">
      <c r="A9" s="140" t="s">
        <v>99</v>
      </c>
      <c r="B9" s="24"/>
      <c r="C9" s="24"/>
      <c r="D9" s="152" t="s">
        <v>13</v>
      </c>
      <c r="E9" s="153">
        <v>6343</v>
      </c>
      <c r="Q9" s="158"/>
    </row>
    <row r="10" spans="1:17" x14ac:dyDescent="0.2">
      <c r="A10" s="82" t="s">
        <v>75</v>
      </c>
      <c r="B10" s="24">
        <v>405</v>
      </c>
      <c r="C10" s="24">
        <v>8282</v>
      </c>
      <c r="D10" s="2" t="s">
        <v>12</v>
      </c>
      <c r="E10" s="148">
        <v>999</v>
      </c>
      <c r="F10" s="148">
        <v>988</v>
      </c>
      <c r="H10" s="154" t="s">
        <v>36</v>
      </c>
      <c r="I10" s="154" t="s">
        <v>36</v>
      </c>
      <c r="J10" s="154" t="s">
        <v>35</v>
      </c>
      <c r="K10" s="148" t="s">
        <v>36</v>
      </c>
      <c r="L10" s="154" t="s">
        <v>175</v>
      </c>
      <c r="M10" s="148" t="s">
        <v>35</v>
      </c>
      <c r="N10" s="148" t="s">
        <v>166</v>
      </c>
      <c r="Q10" s="157" t="s">
        <v>179</v>
      </c>
    </row>
    <row r="11" spans="1:17" x14ac:dyDescent="0.2">
      <c r="A11" s="140" t="s">
        <v>76</v>
      </c>
      <c r="B11" s="24"/>
      <c r="C11" s="24"/>
      <c r="D11" s="152" t="s">
        <v>13</v>
      </c>
      <c r="E11" s="153">
        <v>4040</v>
      </c>
      <c r="Q11" s="158"/>
    </row>
    <row r="12" spans="1:17" x14ac:dyDescent="0.2">
      <c r="A12" s="82" t="s">
        <v>74</v>
      </c>
      <c r="B12" s="24">
        <v>406</v>
      </c>
      <c r="C12" s="24" t="s">
        <v>77</v>
      </c>
      <c r="D12" s="2" t="s">
        <v>12</v>
      </c>
      <c r="E12" s="148">
        <v>7855</v>
      </c>
      <c r="F12" s="148">
        <v>7739</v>
      </c>
      <c r="H12" s="154" t="s">
        <v>35</v>
      </c>
      <c r="I12" s="154" t="s">
        <v>35</v>
      </c>
      <c r="J12" s="154" t="s">
        <v>35</v>
      </c>
      <c r="K12" s="148" t="s">
        <v>35</v>
      </c>
      <c r="M12" s="148" t="s">
        <v>36</v>
      </c>
      <c r="N12" s="148" t="s">
        <v>167</v>
      </c>
      <c r="Q12" s="158"/>
    </row>
    <row r="13" spans="1:17" x14ac:dyDescent="0.2">
      <c r="A13" s="140" t="s">
        <v>78</v>
      </c>
      <c r="B13" s="141"/>
      <c r="C13" s="24"/>
      <c r="D13" s="152" t="s">
        <v>13</v>
      </c>
      <c r="E13" s="153">
        <v>8731</v>
      </c>
      <c r="Q13" s="158"/>
    </row>
    <row r="14" spans="1:17" x14ac:dyDescent="0.2">
      <c r="A14" s="82" t="s">
        <v>74</v>
      </c>
      <c r="B14" s="24">
        <v>407</v>
      </c>
      <c r="C14" s="24" t="s">
        <v>77</v>
      </c>
      <c r="D14" s="2" t="s">
        <v>12</v>
      </c>
      <c r="E14" s="148">
        <v>7594</v>
      </c>
      <c r="F14" s="148">
        <v>7495</v>
      </c>
      <c r="H14" s="154" t="s">
        <v>35</v>
      </c>
      <c r="I14" s="154" t="s">
        <v>35</v>
      </c>
      <c r="J14" s="154" t="s">
        <v>35</v>
      </c>
      <c r="K14" s="148" t="s">
        <v>35</v>
      </c>
      <c r="M14" s="148" t="s">
        <v>35</v>
      </c>
      <c r="N14" s="148" t="s">
        <v>166</v>
      </c>
      <c r="Q14" s="158"/>
    </row>
    <row r="15" spans="1:17" x14ac:dyDescent="0.2">
      <c r="A15" s="140" t="s">
        <v>79</v>
      </c>
      <c r="B15" s="24"/>
      <c r="C15" s="24"/>
      <c r="D15" s="152" t="s">
        <v>13</v>
      </c>
      <c r="E15" s="153">
        <v>8322</v>
      </c>
      <c r="Q15" s="158"/>
    </row>
    <row r="16" spans="1:17" x14ac:dyDescent="0.2">
      <c r="A16" s="82" t="s">
        <v>80</v>
      </c>
      <c r="B16" s="24">
        <v>408</v>
      </c>
      <c r="C16" s="24" t="s">
        <v>77</v>
      </c>
      <c r="D16" s="2" t="s">
        <v>12</v>
      </c>
      <c r="E16" s="148">
        <v>5346</v>
      </c>
      <c r="F16" s="148">
        <v>5153</v>
      </c>
      <c r="H16" s="154" t="s">
        <v>35</v>
      </c>
      <c r="I16" s="154" t="s">
        <v>35</v>
      </c>
      <c r="J16" s="154" t="s">
        <v>36</v>
      </c>
      <c r="K16" s="148" t="s">
        <v>35</v>
      </c>
      <c r="M16" s="148" t="s">
        <v>35</v>
      </c>
      <c r="N16" s="148" t="s">
        <v>168</v>
      </c>
      <c r="Q16" s="157" t="s">
        <v>180</v>
      </c>
    </row>
    <row r="17" spans="1:17" x14ac:dyDescent="0.2">
      <c r="A17" s="140" t="s">
        <v>81</v>
      </c>
      <c r="B17" s="24"/>
      <c r="C17" s="24"/>
      <c r="D17" s="152" t="s">
        <v>13</v>
      </c>
      <c r="E17" s="153">
        <v>6692</v>
      </c>
      <c r="Q17" s="158"/>
    </row>
    <row r="18" spans="1:17" x14ac:dyDescent="0.2">
      <c r="A18" s="82" t="s">
        <v>82</v>
      </c>
      <c r="B18" s="24">
        <v>409</v>
      </c>
      <c r="C18" s="24" t="s">
        <v>83</v>
      </c>
      <c r="D18" s="2" t="s">
        <v>12</v>
      </c>
      <c r="E18" s="148">
        <v>1862</v>
      </c>
      <c r="F18" s="148">
        <v>1826</v>
      </c>
      <c r="H18" s="154" t="s">
        <v>36</v>
      </c>
      <c r="I18" s="154" t="s">
        <v>36</v>
      </c>
      <c r="J18" s="154" t="s">
        <v>35</v>
      </c>
      <c r="K18" s="148" t="s">
        <v>35</v>
      </c>
      <c r="M18" s="148" t="s">
        <v>36</v>
      </c>
      <c r="N18" s="148" t="s">
        <v>169</v>
      </c>
      <c r="Q18" s="157" t="s">
        <v>179</v>
      </c>
    </row>
    <row r="19" spans="1:17" x14ac:dyDescent="0.2">
      <c r="A19" s="140" t="s">
        <v>84</v>
      </c>
      <c r="B19" s="141"/>
      <c r="C19" s="24"/>
      <c r="D19" s="152" t="s">
        <v>13</v>
      </c>
      <c r="E19" s="153">
        <v>2727</v>
      </c>
      <c r="Q19" s="158"/>
    </row>
    <row r="20" spans="1:17" x14ac:dyDescent="0.2">
      <c r="A20" s="82" t="s">
        <v>75</v>
      </c>
      <c r="B20" s="24">
        <v>410</v>
      </c>
      <c r="C20" s="24" t="s">
        <v>83</v>
      </c>
      <c r="D20" s="2" t="s">
        <v>12</v>
      </c>
      <c r="E20" s="148">
        <v>4471</v>
      </c>
      <c r="F20" s="148">
        <v>4448</v>
      </c>
      <c r="H20" s="154" t="s">
        <v>35</v>
      </c>
      <c r="I20" s="154" t="s">
        <v>35</v>
      </c>
      <c r="J20" s="154" t="s">
        <v>35</v>
      </c>
      <c r="K20" s="148" t="s">
        <v>35</v>
      </c>
      <c r="M20" s="148" t="s">
        <v>35</v>
      </c>
      <c r="N20" s="148" t="s">
        <v>164</v>
      </c>
      <c r="Q20" s="158" t="s">
        <v>214</v>
      </c>
    </row>
    <row r="21" spans="1:17" x14ac:dyDescent="0.2">
      <c r="A21" s="140" t="s">
        <v>85</v>
      </c>
      <c r="B21" s="24"/>
      <c r="C21" s="24"/>
      <c r="D21" s="152" t="s">
        <v>13</v>
      </c>
      <c r="E21" s="153">
        <v>4850</v>
      </c>
      <c r="Q21" s="158"/>
    </row>
    <row r="22" spans="1:17" x14ac:dyDescent="0.2">
      <c r="A22" s="82" t="s">
        <v>86</v>
      </c>
      <c r="B22" s="24">
        <v>411</v>
      </c>
      <c r="C22" s="24" t="s">
        <v>83</v>
      </c>
      <c r="D22" s="142" t="s">
        <v>12</v>
      </c>
      <c r="E22" s="148">
        <v>1005</v>
      </c>
      <c r="F22" s="148">
        <v>994</v>
      </c>
      <c r="H22" s="154" t="s">
        <v>36</v>
      </c>
      <c r="I22" s="154" t="s">
        <v>36</v>
      </c>
      <c r="J22" s="154" t="s">
        <v>35</v>
      </c>
      <c r="K22" s="148" t="s">
        <v>35</v>
      </c>
      <c r="M22" s="148" t="s">
        <v>35</v>
      </c>
      <c r="N22" s="148" t="s">
        <v>170</v>
      </c>
      <c r="Q22" s="157" t="s">
        <v>179</v>
      </c>
    </row>
    <row r="23" spans="1:17" x14ac:dyDescent="0.2">
      <c r="A23" s="140" t="s">
        <v>87</v>
      </c>
      <c r="B23" s="141"/>
      <c r="C23" s="24"/>
      <c r="D23" s="152" t="s">
        <v>13</v>
      </c>
      <c r="E23" s="153">
        <v>3323</v>
      </c>
      <c r="Q23" s="158"/>
    </row>
    <row r="24" spans="1:17" x14ac:dyDescent="0.2">
      <c r="A24" s="82" t="s">
        <v>75</v>
      </c>
      <c r="B24" s="24">
        <v>412</v>
      </c>
      <c r="C24" s="24" t="s">
        <v>88</v>
      </c>
      <c r="D24" s="142" t="s">
        <v>12</v>
      </c>
      <c r="E24" s="148">
        <v>6551</v>
      </c>
      <c r="F24" s="148">
        <v>6521</v>
      </c>
      <c r="H24" s="154" t="s">
        <v>35</v>
      </c>
      <c r="I24" s="154" t="s">
        <v>35</v>
      </c>
      <c r="J24" s="154" t="s">
        <v>35</v>
      </c>
      <c r="K24" s="148" t="s">
        <v>35</v>
      </c>
      <c r="M24" s="148" t="s">
        <v>35</v>
      </c>
      <c r="N24" s="148" t="s">
        <v>165</v>
      </c>
      <c r="Q24" s="158"/>
    </row>
    <row r="25" spans="1:17" x14ac:dyDescent="0.2">
      <c r="A25" s="140" t="s">
        <v>89</v>
      </c>
      <c r="B25" s="141"/>
      <c r="C25" s="24"/>
      <c r="D25" s="152" t="s">
        <v>13</v>
      </c>
      <c r="E25" s="153">
        <v>7656</v>
      </c>
      <c r="Q25" s="158"/>
    </row>
    <row r="26" spans="1:17" x14ac:dyDescent="0.2">
      <c r="A26" s="82" t="s">
        <v>80</v>
      </c>
      <c r="B26" s="24">
        <v>413</v>
      </c>
      <c r="C26" s="24" t="s">
        <v>88</v>
      </c>
      <c r="D26" s="142" t="s">
        <v>12</v>
      </c>
      <c r="E26" s="148">
        <v>6697</v>
      </c>
      <c r="F26" s="148">
        <v>6557</v>
      </c>
      <c r="H26" s="154" t="s">
        <v>35</v>
      </c>
      <c r="I26" s="154" t="s">
        <v>35</v>
      </c>
      <c r="J26" s="154" t="s">
        <v>35</v>
      </c>
      <c r="K26" s="148" t="s">
        <v>35</v>
      </c>
      <c r="M26" s="148" t="s">
        <v>35</v>
      </c>
      <c r="N26" s="148" t="s">
        <v>166</v>
      </c>
      <c r="Q26" s="158"/>
    </row>
    <row r="27" spans="1:17" x14ac:dyDescent="0.2">
      <c r="A27" s="140" t="s">
        <v>90</v>
      </c>
      <c r="B27" s="24"/>
      <c r="C27" s="24"/>
      <c r="D27" s="152" t="s">
        <v>13</v>
      </c>
      <c r="E27" s="153">
        <v>4293</v>
      </c>
      <c r="Q27" s="158"/>
    </row>
    <row r="28" spans="1:17" x14ac:dyDescent="0.2">
      <c r="A28" s="82" t="s">
        <v>75</v>
      </c>
      <c r="B28" s="24">
        <v>414</v>
      </c>
      <c r="C28" s="24" t="s">
        <v>91</v>
      </c>
      <c r="D28" s="142" t="s">
        <v>12</v>
      </c>
      <c r="E28" s="148">
        <v>4086</v>
      </c>
      <c r="F28" s="148">
        <v>4053</v>
      </c>
      <c r="H28" s="154" t="s">
        <v>35</v>
      </c>
      <c r="I28" s="154" t="s">
        <v>36</v>
      </c>
      <c r="J28" s="154" t="s">
        <v>36</v>
      </c>
      <c r="K28" s="148" t="s">
        <v>36</v>
      </c>
      <c r="L28" s="154" t="s">
        <v>36</v>
      </c>
      <c r="M28" s="148" t="s">
        <v>35</v>
      </c>
      <c r="N28" s="148" t="s">
        <v>165</v>
      </c>
      <c r="Q28" s="157" t="s">
        <v>183</v>
      </c>
    </row>
    <row r="29" spans="1:17" x14ac:dyDescent="0.2">
      <c r="A29" s="140" t="s">
        <v>92</v>
      </c>
      <c r="B29" s="141"/>
      <c r="C29" s="24"/>
      <c r="D29" s="152" t="s">
        <v>13</v>
      </c>
      <c r="E29" s="153">
        <v>7199</v>
      </c>
      <c r="Q29" s="158"/>
    </row>
    <row r="30" spans="1:17" x14ac:dyDescent="0.2">
      <c r="A30" s="82" t="s">
        <v>72</v>
      </c>
      <c r="B30" s="24">
        <v>415</v>
      </c>
      <c r="C30" s="24" t="s">
        <v>91</v>
      </c>
      <c r="D30" s="142" t="s">
        <v>12</v>
      </c>
      <c r="E30" s="148">
        <v>2584</v>
      </c>
      <c r="F30" s="148">
        <v>2551</v>
      </c>
      <c r="H30" s="154" t="s">
        <v>36</v>
      </c>
      <c r="I30" s="154" t="s">
        <v>36</v>
      </c>
      <c r="J30" s="154" t="s">
        <v>36</v>
      </c>
      <c r="K30" s="148" t="s">
        <v>36</v>
      </c>
      <c r="L30" s="154" t="s">
        <v>36</v>
      </c>
      <c r="M30" s="148" t="s">
        <v>35</v>
      </c>
      <c r="N30" s="148" t="s">
        <v>166</v>
      </c>
      <c r="Q30" s="157" t="s">
        <v>181</v>
      </c>
    </row>
    <row r="31" spans="1:17" x14ac:dyDescent="0.2">
      <c r="A31" s="140" t="s">
        <v>93</v>
      </c>
      <c r="B31" s="24"/>
      <c r="C31" s="24"/>
      <c r="D31" s="152" t="s">
        <v>13</v>
      </c>
      <c r="E31" s="153">
        <v>4007</v>
      </c>
      <c r="Q31" s="158"/>
    </row>
    <row r="32" spans="1:17" x14ac:dyDescent="0.2">
      <c r="A32" s="82" t="s">
        <v>94</v>
      </c>
      <c r="B32" s="24">
        <v>416</v>
      </c>
      <c r="C32" s="24" t="s">
        <v>91</v>
      </c>
      <c r="D32" s="142" t="s">
        <v>12</v>
      </c>
      <c r="E32" s="148">
        <v>1924</v>
      </c>
      <c r="F32" s="148">
        <v>1899</v>
      </c>
      <c r="H32" s="154" t="s">
        <v>35</v>
      </c>
      <c r="I32" s="154" t="s">
        <v>36</v>
      </c>
      <c r="J32" s="154" t="s">
        <v>36</v>
      </c>
      <c r="K32" s="148" t="s">
        <v>36</v>
      </c>
      <c r="L32" s="154" t="s">
        <v>35</v>
      </c>
      <c r="M32" s="148" t="s">
        <v>35</v>
      </c>
      <c r="N32" s="148" t="s">
        <v>169</v>
      </c>
      <c r="Q32" s="157" t="s">
        <v>182</v>
      </c>
    </row>
    <row r="33" spans="1:17" x14ac:dyDescent="0.2">
      <c r="A33" s="140" t="s">
        <v>95</v>
      </c>
      <c r="B33" s="141"/>
      <c r="C33" s="24"/>
      <c r="D33" s="152" t="s">
        <v>13</v>
      </c>
      <c r="E33" s="153">
        <v>5522</v>
      </c>
      <c r="Q33" s="158"/>
    </row>
    <row r="34" spans="1:17" x14ac:dyDescent="0.2">
      <c r="A34" s="82" t="s">
        <v>96</v>
      </c>
      <c r="B34" s="24">
        <v>417</v>
      </c>
      <c r="C34" s="24" t="s">
        <v>91</v>
      </c>
      <c r="D34" s="142" t="s">
        <v>12</v>
      </c>
      <c r="H34" s="154" t="s">
        <v>35</v>
      </c>
      <c r="I34" s="154" t="s">
        <v>36</v>
      </c>
      <c r="J34" s="154" t="s">
        <v>36</v>
      </c>
      <c r="K34" s="148" t="s">
        <v>36</v>
      </c>
      <c r="L34" s="154" t="s">
        <v>35</v>
      </c>
      <c r="M34" s="148" t="s">
        <v>35</v>
      </c>
      <c r="N34" s="148" t="s">
        <v>165</v>
      </c>
      <c r="Q34" s="157" t="s">
        <v>184</v>
      </c>
    </row>
    <row r="35" spans="1:17" x14ac:dyDescent="0.2">
      <c r="A35" s="140" t="s">
        <v>97</v>
      </c>
      <c r="B35" s="24"/>
      <c r="C35" s="24"/>
      <c r="D35" s="152" t="s">
        <v>13</v>
      </c>
      <c r="E35" s="153">
        <v>4528</v>
      </c>
      <c r="Q35" s="158"/>
    </row>
    <row r="36" spans="1:17" x14ac:dyDescent="0.2">
      <c r="A36" s="82" t="s">
        <v>74</v>
      </c>
      <c r="B36" s="24">
        <v>418</v>
      </c>
      <c r="C36" s="24" t="s">
        <v>29</v>
      </c>
      <c r="D36" s="142" t="s">
        <v>12</v>
      </c>
      <c r="E36" s="148">
        <v>3128</v>
      </c>
      <c r="F36" s="148">
        <v>3095</v>
      </c>
      <c r="H36" s="154" t="s">
        <v>35</v>
      </c>
      <c r="I36" s="154" t="s">
        <v>36</v>
      </c>
      <c r="J36" s="154" t="s">
        <v>35</v>
      </c>
      <c r="K36" s="148" t="s">
        <v>36</v>
      </c>
      <c r="L36" s="154" t="s">
        <v>36</v>
      </c>
      <c r="M36" s="148" t="s">
        <v>36</v>
      </c>
      <c r="N36" s="148" t="s">
        <v>166</v>
      </c>
      <c r="Q36" s="157" t="s">
        <v>184</v>
      </c>
    </row>
    <row r="37" spans="1:17" x14ac:dyDescent="0.2">
      <c r="A37" s="140" t="s">
        <v>98</v>
      </c>
      <c r="B37" s="24"/>
      <c r="C37" s="24"/>
      <c r="D37" s="152" t="s">
        <v>13</v>
      </c>
      <c r="E37" s="153">
        <v>7102</v>
      </c>
      <c r="Q37" s="158"/>
    </row>
    <row r="38" spans="1:17" x14ac:dyDescent="0.2">
      <c r="A38" s="82" t="s">
        <v>75</v>
      </c>
      <c r="B38" s="24">
        <v>419</v>
      </c>
      <c r="C38" s="24" t="s">
        <v>29</v>
      </c>
      <c r="D38" s="142" t="s">
        <v>12</v>
      </c>
      <c r="E38" s="148">
        <v>834</v>
      </c>
      <c r="F38" s="148">
        <v>824</v>
      </c>
      <c r="H38" s="154" t="s">
        <v>36</v>
      </c>
      <c r="I38" s="154" t="s">
        <v>36</v>
      </c>
      <c r="J38" s="154" t="s">
        <v>35</v>
      </c>
      <c r="K38" s="148" t="s">
        <v>36</v>
      </c>
      <c r="L38" s="154" t="s">
        <v>35</v>
      </c>
      <c r="M38" s="148" t="s">
        <v>35</v>
      </c>
      <c r="N38" s="148" t="s">
        <v>166</v>
      </c>
      <c r="Q38" s="157" t="s">
        <v>179</v>
      </c>
    </row>
    <row r="39" spans="1:17" x14ac:dyDescent="0.2">
      <c r="A39" s="140" t="s">
        <v>100</v>
      </c>
      <c r="B39" s="24"/>
      <c r="C39" s="24"/>
      <c r="D39" s="152" t="s">
        <v>13</v>
      </c>
      <c r="E39" s="153">
        <v>5616</v>
      </c>
      <c r="Q39" s="158"/>
    </row>
    <row r="40" spans="1:17" x14ac:dyDescent="0.2">
      <c r="A40" s="82" t="s">
        <v>80</v>
      </c>
      <c r="B40" s="24">
        <v>420</v>
      </c>
      <c r="C40" s="24" t="s">
        <v>29</v>
      </c>
      <c r="D40" s="142" t="s">
        <v>12</v>
      </c>
      <c r="E40" s="148">
        <v>1980</v>
      </c>
      <c r="F40" s="148">
        <v>1949</v>
      </c>
      <c r="H40" s="154" t="s">
        <v>36</v>
      </c>
      <c r="I40" s="154" t="s">
        <v>36</v>
      </c>
      <c r="J40" s="154" t="s">
        <v>36</v>
      </c>
      <c r="K40" s="148" t="s">
        <v>36</v>
      </c>
      <c r="M40" s="148" t="s">
        <v>35</v>
      </c>
      <c r="N40" s="148" t="s">
        <v>171</v>
      </c>
      <c r="Q40" s="158" t="s">
        <v>215</v>
      </c>
    </row>
    <row r="41" spans="1:17" x14ac:dyDescent="0.2">
      <c r="A41" s="140" t="s">
        <v>101</v>
      </c>
      <c r="B41" s="24"/>
      <c r="C41" s="24"/>
      <c r="D41" s="152" t="s">
        <v>13</v>
      </c>
      <c r="E41" s="153">
        <v>6210</v>
      </c>
      <c r="Q41" s="158"/>
    </row>
    <row r="42" spans="1:17" x14ac:dyDescent="0.2">
      <c r="A42" s="82" t="s">
        <v>80</v>
      </c>
      <c r="B42" s="24">
        <v>421</v>
      </c>
      <c r="C42" s="24" t="s">
        <v>29</v>
      </c>
      <c r="D42" s="142" t="s">
        <v>12</v>
      </c>
      <c r="E42" s="148">
        <v>894</v>
      </c>
      <c r="F42" s="148">
        <v>876</v>
      </c>
      <c r="H42" s="154" t="s">
        <v>36</v>
      </c>
      <c r="I42" s="154" t="s">
        <v>36</v>
      </c>
      <c r="J42" s="154" t="s">
        <v>36</v>
      </c>
      <c r="K42" s="148" t="s">
        <v>36</v>
      </c>
      <c r="M42" s="148" t="s">
        <v>35</v>
      </c>
      <c r="N42" s="148" t="s">
        <v>171</v>
      </c>
      <c r="Q42" s="158" t="s">
        <v>215</v>
      </c>
    </row>
    <row r="43" spans="1:17" x14ac:dyDescent="0.2">
      <c r="A43" s="140" t="s">
        <v>102</v>
      </c>
      <c r="B43" s="24"/>
      <c r="C43" s="24"/>
      <c r="D43" s="152" t="s">
        <v>13</v>
      </c>
      <c r="E43" s="153">
        <v>4661</v>
      </c>
      <c r="Q43" s="158"/>
    </row>
    <row r="44" spans="1:17" x14ac:dyDescent="0.2">
      <c r="A44" s="82" t="s">
        <v>75</v>
      </c>
      <c r="B44" s="24">
        <v>422</v>
      </c>
      <c r="C44" s="24">
        <v>8418</v>
      </c>
      <c r="D44" s="142" t="s">
        <v>12</v>
      </c>
      <c r="E44" s="148">
        <v>3625</v>
      </c>
      <c r="F44" s="148">
        <v>3578</v>
      </c>
      <c r="H44" s="154" t="s">
        <v>35</v>
      </c>
      <c r="I44" s="154" t="s">
        <v>35</v>
      </c>
      <c r="J44" s="154" t="s">
        <v>35</v>
      </c>
      <c r="K44" s="148" t="s">
        <v>35</v>
      </c>
      <c r="M44" s="148" t="s">
        <v>35</v>
      </c>
      <c r="N44" s="148" t="s">
        <v>165</v>
      </c>
      <c r="Q44" s="158" t="s">
        <v>216</v>
      </c>
    </row>
    <row r="45" spans="1:17" x14ac:dyDescent="0.2">
      <c r="A45" s="140" t="s">
        <v>103</v>
      </c>
      <c r="B45" s="24"/>
      <c r="C45" s="24"/>
      <c r="D45" s="152" t="s">
        <v>13</v>
      </c>
      <c r="E45" s="153">
        <v>4546</v>
      </c>
      <c r="Q45" s="158"/>
    </row>
    <row r="46" spans="1:17" x14ac:dyDescent="0.2">
      <c r="A46" s="82" t="s">
        <v>67</v>
      </c>
      <c r="B46" s="24">
        <v>423</v>
      </c>
      <c r="C46" s="24">
        <v>8418</v>
      </c>
      <c r="D46" s="142" t="s">
        <v>12</v>
      </c>
      <c r="E46" s="148">
        <v>1948</v>
      </c>
      <c r="F46" s="148">
        <v>1926</v>
      </c>
      <c r="H46" s="154" t="s">
        <v>36</v>
      </c>
      <c r="I46" s="154" t="s">
        <v>36</v>
      </c>
      <c r="J46" s="154" t="s">
        <v>35</v>
      </c>
      <c r="K46" s="148" t="s">
        <v>35</v>
      </c>
      <c r="M46" s="148" t="s">
        <v>35</v>
      </c>
      <c r="N46" s="148" t="s">
        <v>164</v>
      </c>
      <c r="Q46" s="158" t="s">
        <v>217</v>
      </c>
    </row>
    <row r="47" spans="1:17" x14ac:dyDescent="0.2">
      <c r="A47" s="140" t="s">
        <v>104</v>
      </c>
      <c r="B47" s="24"/>
      <c r="C47" s="24"/>
      <c r="D47" s="152" t="s">
        <v>13</v>
      </c>
      <c r="E47" s="153">
        <v>4081</v>
      </c>
      <c r="Q47" s="158"/>
    </row>
    <row r="48" spans="1:17" x14ac:dyDescent="0.2">
      <c r="A48" s="82" t="s">
        <v>74</v>
      </c>
      <c r="B48" s="24">
        <v>424</v>
      </c>
      <c r="C48" s="24" t="s">
        <v>48</v>
      </c>
      <c r="D48" s="142" t="s">
        <v>12</v>
      </c>
      <c r="E48" s="148">
        <v>7047</v>
      </c>
      <c r="F48" s="148">
        <v>6974</v>
      </c>
      <c r="H48" s="154" t="s">
        <v>35</v>
      </c>
      <c r="I48" s="154" t="s">
        <v>35</v>
      </c>
      <c r="J48" s="154" t="s">
        <v>35</v>
      </c>
      <c r="K48" s="148" t="s">
        <v>35</v>
      </c>
      <c r="M48" s="148" t="s">
        <v>36</v>
      </c>
      <c r="N48" s="148" t="s">
        <v>166</v>
      </c>
      <c r="Q48" s="158"/>
    </row>
    <row r="49" spans="1:17" x14ac:dyDescent="0.2">
      <c r="A49" s="140" t="s">
        <v>105</v>
      </c>
      <c r="B49" s="24"/>
      <c r="C49" s="24"/>
      <c r="D49" s="152" t="s">
        <v>13</v>
      </c>
      <c r="E49" s="153">
        <v>7927</v>
      </c>
      <c r="Q49" s="158"/>
    </row>
    <row r="50" spans="1:17" x14ac:dyDescent="0.2">
      <c r="A50" s="82" t="s">
        <v>80</v>
      </c>
      <c r="B50" s="24">
        <v>425</v>
      </c>
      <c r="C50" s="24" t="s">
        <v>48</v>
      </c>
      <c r="D50" s="142" t="s">
        <v>12</v>
      </c>
      <c r="E50" s="148">
        <v>7308</v>
      </c>
      <c r="F50" s="148">
        <v>7219</v>
      </c>
      <c r="H50" s="154" t="s">
        <v>35</v>
      </c>
      <c r="I50" s="154" t="s">
        <v>35</v>
      </c>
      <c r="J50" s="154" t="s">
        <v>35</v>
      </c>
      <c r="K50" s="148" t="s">
        <v>35</v>
      </c>
      <c r="M50" s="148" t="s">
        <v>35</v>
      </c>
      <c r="N50" s="148" t="s">
        <v>170</v>
      </c>
      <c r="Q50" s="158" t="s">
        <v>218</v>
      </c>
    </row>
    <row r="51" spans="1:17" x14ac:dyDescent="0.2">
      <c r="A51" s="140" t="s">
        <v>106</v>
      </c>
      <c r="B51" s="24"/>
      <c r="C51" s="24"/>
      <c r="D51" s="152" t="s">
        <v>13</v>
      </c>
      <c r="E51" s="153">
        <v>8883</v>
      </c>
      <c r="Q51" s="158"/>
    </row>
    <row r="52" spans="1:17" x14ac:dyDescent="0.2">
      <c r="A52" s="82" t="s">
        <v>107</v>
      </c>
      <c r="B52" s="24">
        <v>426</v>
      </c>
      <c r="C52" s="24" t="s">
        <v>48</v>
      </c>
      <c r="D52" s="142" t="s">
        <v>12</v>
      </c>
      <c r="E52" s="148">
        <v>6227</v>
      </c>
      <c r="F52" s="148">
        <v>6070</v>
      </c>
      <c r="H52" s="154" t="s">
        <v>35</v>
      </c>
      <c r="I52" s="154" t="s">
        <v>35</v>
      </c>
      <c r="J52" s="154" t="s">
        <v>35</v>
      </c>
      <c r="K52" s="148" t="s">
        <v>35</v>
      </c>
      <c r="M52" s="148" t="s">
        <v>35</v>
      </c>
      <c r="N52" s="148" t="s">
        <v>165</v>
      </c>
      <c r="Q52" s="158" t="s">
        <v>219</v>
      </c>
    </row>
    <row r="53" spans="1:17" x14ac:dyDescent="0.2">
      <c r="A53" s="140" t="s">
        <v>108</v>
      </c>
      <c r="B53" s="141"/>
      <c r="C53" s="24"/>
      <c r="D53" s="152" t="s">
        <v>13</v>
      </c>
      <c r="E53" s="153">
        <v>6371</v>
      </c>
      <c r="Q53" s="158"/>
    </row>
    <row r="54" spans="1:17" x14ac:dyDescent="0.2">
      <c r="A54" s="82" t="s">
        <v>109</v>
      </c>
      <c r="B54" s="24">
        <v>427</v>
      </c>
      <c r="C54" s="24" t="s">
        <v>48</v>
      </c>
      <c r="D54" s="142" t="s">
        <v>12</v>
      </c>
      <c r="E54" s="148">
        <v>6774</v>
      </c>
      <c r="F54" s="148">
        <v>6423</v>
      </c>
      <c r="H54" s="154" t="s">
        <v>35</v>
      </c>
      <c r="I54" s="154" t="s">
        <v>35</v>
      </c>
      <c r="J54" s="154" t="s">
        <v>35</v>
      </c>
      <c r="K54" s="148" t="s">
        <v>35</v>
      </c>
      <c r="M54" s="148" t="s">
        <v>35</v>
      </c>
      <c r="N54" s="148" t="s">
        <v>169</v>
      </c>
      <c r="Q54" s="158"/>
    </row>
    <row r="55" spans="1:17" x14ac:dyDescent="0.2">
      <c r="A55" s="140" t="s">
        <v>110</v>
      </c>
      <c r="B55" s="141"/>
      <c r="C55" s="24"/>
      <c r="D55" s="152" t="s">
        <v>13</v>
      </c>
      <c r="E55" s="153">
        <v>6253</v>
      </c>
      <c r="Q55" s="158"/>
    </row>
    <row r="56" spans="1:17" x14ac:dyDescent="0.2">
      <c r="A56" s="82" t="s">
        <v>75</v>
      </c>
      <c r="B56" s="24">
        <v>428</v>
      </c>
      <c r="C56" s="24" t="s">
        <v>111</v>
      </c>
      <c r="D56" s="142" t="s">
        <v>12</v>
      </c>
      <c r="E56" s="148">
        <v>3654</v>
      </c>
      <c r="F56" s="148">
        <v>3595</v>
      </c>
      <c r="H56" s="154" t="s">
        <v>35</v>
      </c>
      <c r="I56" s="154" t="s">
        <v>36</v>
      </c>
      <c r="J56" s="154" t="s">
        <v>35</v>
      </c>
      <c r="K56" s="148" t="s">
        <v>36</v>
      </c>
      <c r="L56" s="154" t="s">
        <v>36</v>
      </c>
      <c r="M56" s="148" t="s">
        <v>36</v>
      </c>
      <c r="N56" s="148" t="s">
        <v>166</v>
      </c>
      <c r="Q56" s="158" t="s">
        <v>220</v>
      </c>
    </row>
    <row r="57" spans="1:17" x14ac:dyDescent="0.2">
      <c r="A57" s="140" t="s">
        <v>112</v>
      </c>
      <c r="B57" s="24"/>
      <c r="C57" s="24"/>
      <c r="D57" s="152" t="s">
        <v>13</v>
      </c>
      <c r="E57" s="153">
        <v>7167</v>
      </c>
      <c r="Q57" s="158"/>
    </row>
    <row r="58" spans="1:17" x14ac:dyDescent="0.2">
      <c r="A58" s="82" t="s">
        <v>107</v>
      </c>
      <c r="B58" s="24">
        <v>429</v>
      </c>
      <c r="C58" s="24" t="s">
        <v>113</v>
      </c>
      <c r="D58" s="142" t="s">
        <v>12</v>
      </c>
      <c r="E58" s="148">
        <v>5688</v>
      </c>
      <c r="F58" s="148">
        <v>5548</v>
      </c>
      <c r="H58" s="154" t="s">
        <v>35</v>
      </c>
      <c r="I58" s="154" t="s">
        <v>35</v>
      </c>
      <c r="J58" s="154" t="s">
        <v>35</v>
      </c>
      <c r="K58" s="148" t="s">
        <v>35</v>
      </c>
      <c r="M58" s="148" t="s">
        <v>35</v>
      </c>
      <c r="N58" s="148" t="s">
        <v>165</v>
      </c>
      <c r="Q58" s="158" t="s">
        <v>219</v>
      </c>
    </row>
    <row r="59" spans="1:17" x14ac:dyDescent="0.2">
      <c r="A59" s="140" t="s">
        <v>114</v>
      </c>
      <c r="B59" s="24"/>
      <c r="C59" s="24"/>
      <c r="D59" s="152" t="s">
        <v>13</v>
      </c>
      <c r="E59" s="153">
        <v>6371</v>
      </c>
      <c r="Q59" s="158"/>
    </row>
    <row r="60" spans="1:17" s="140" customFormat="1" x14ac:dyDescent="0.2">
      <c r="A60" s="82" t="s">
        <v>75</v>
      </c>
      <c r="B60" s="76">
        <v>430</v>
      </c>
      <c r="C60" s="76" t="s">
        <v>115</v>
      </c>
      <c r="D60" s="76" t="s">
        <v>12</v>
      </c>
      <c r="E60" s="76">
        <v>5202</v>
      </c>
      <c r="F60" s="76">
        <v>5171</v>
      </c>
      <c r="G60" s="76"/>
      <c r="H60" s="76" t="s">
        <v>35</v>
      </c>
      <c r="I60" s="76" t="s">
        <v>35</v>
      </c>
      <c r="J60" s="76" t="s">
        <v>35</v>
      </c>
      <c r="K60" s="76" t="s">
        <v>35</v>
      </c>
      <c r="L60" s="76"/>
      <c r="M60" s="76" t="s">
        <v>36</v>
      </c>
      <c r="N60" s="76" t="s">
        <v>166</v>
      </c>
      <c r="Q60" s="82"/>
    </row>
    <row r="61" spans="1:17" x14ac:dyDescent="0.2">
      <c r="A61" s="140" t="s">
        <v>116</v>
      </c>
      <c r="B61" s="24"/>
      <c r="C61" s="24"/>
      <c r="D61" s="152" t="s">
        <v>13</v>
      </c>
      <c r="E61" s="153">
        <v>7167</v>
      </c>
      <c r="Q61" s="158"/>
    </row>
    <row r="62" spans="1:17" x14ac:dyDescent="0.2">
      <c r="A62" s="82" t="s">
        <v>74</v>
      </c>
      <c r="B62" s="24">
        <v>431</v>
      </c>
      <c r="C62" s="24" t="s">
        <v>117</v>
      </c>
      <c r="D62" s="142" t="s">
        <v>12</v>
      </c>
      <c r="E62" s="148">
        <v>7442</v>
      </c>
      <c r="F62" s="148">
        <v>7394</v>
      </c>
      <c r="H62" s="154" t="s">
        <v>35</v>
      </c>
      <c r="I62" s="154" t="s">
        <v>35</v>
      </c>
      <c r="J62" s="154" t="s">
        <v>35</v>
      </c>
      <c r="K62" s="148" t="s">
        <v>35</v>
      </c>
      <c r="M62" s="148" t="s">
        <v>35</v>
      </c>
      <c r="N62" s="148" t="s">
        <v>166</v>
      </c>
      <c r="Q62" s="158"/>
    </row>
    <row r="63" spans="1:17" x14ac:dyDescent="0.2">
      <c r="A63" s="140" t="s">
        <v>89</v>
      </c>
      <c r="B63" s="141"/>
      <c r="C63" s="24"/>
      <c r="D63" s="152" t="s">
        <v>13</v>
      </c>
      <c r="E63" s="153">
        <v>7751</v>
      </c>
      <c r="Q63" s="158"/>
    </row>
    <row r="64" spans="1:17" x14ac:dyDescent="0.2">
      <c r="A64" s="82" t="s">
        <v>80</v>
      </c>
      <c r="B64" s="24">
        <v>432</v>
      </c>
      <c r="C64" s="24" t="s">
        <v>118</v>
      </c>
      <c r="D64" s="142" t="s">
        <v>12</v>
      </c>
      <c r="E64" s="148">
        <v>3567</v>
      </c>
      <c r="F64" s="148">
        <v>3489</v>
      </c>
      <c r="H64" s="154" t="s">
        <v>35</v>
      </c>
      <c r="I64" s="154" t="s">
        <v>35</v>
      </c>
      <c r="J64" s="154" t="s">
        <v>35</v>
      </c>
      <c r="K64" s="148" t="s">
        <v>35</v>
      </c>
      <c r="M64" s="148" t="s">
        <v>35</v>
      </c>
      <c r="N64" s="148" t="s">
        <v>166</v>
      </c>
      <c r="Q64" s="158"/>
    </row>
    <row r="65" spans="1:17" x14ac:dyDescent="0.2">
      <c r="A65" s="140" t="s">
        <v>90</v>
      </c>
      <c r="B65" s="24"/>
      <c r="C65" s="24"/>
      <c r="D65" s="152" t="s">
        <v>13</v>
      </c>
      <c r="E65" s="153">
        <v>4293</v>
      </c>
      <c r="Q65" s="158"/>
    </row>
    <row r="66" spans="1:17" x14ac:dyDescent="0.2">
      <c r="A66" s="82" t="s">
        <v>75</v>
      </c>
      <c r="B66" s="24">
        <v>433</v>
      </c>
      <c r="C66" s="24" t="s">
        <v>119</v>
      </c>
      <c r="D66" s="2" t="s">
        <v>12</v>
      </c>
      <c r="E66" s="148">
        <v>7721</v>
      </c>
      <c r="F66" s="148">
        <v>7672</v>
      </c>
      <c r="H66" s="154" t="s">
        <v>35</v>
      </c>
      <c r="I66" s="154" t="s">
        <v>35</v>
      </c>
      <c r="J66" s="154" t="s">
        <v>35</v>
      </c>
      <c r="K66" s="148" t="s">
        <v>35</v>
      </c>
      <c r="M66" s="148" t="s">
        <v>35</v>
      </c>
      <c r="N66" s="148" t="s">
        <v>165</v>
      </c>
      <c r="Q66" s="158"/>
    </row>
    <row r="67" spans="1:17" x14ac:dyDescent="0.2">
      <c r="A67" s="140" t="s">
        <v>89</v>
      </c>
      <c r="B67" s="24"/>
      <c r="C67" s="24"/>
      <c r="D67" s="152" t="s">
        <v>13</v>
      </c>
      <c r="E67" s="153">
        <v>7703</v>
      </c>
      <c r="Q67" s="158"/>
    </row>
    <row r="68" spans="1:17" x14ac:dyDescent="0.2">
      <c r="A68" s="82" t="s">
        <v>75</v>
      </c>
      <c r="B68" s="24">
        <v>434</v>
      </c>
      <c r="C68" s="24" t="s">
        <v>120</v>
      </c>
      <c r="D68" s="2" t="s">
        <v>12</v>
      </c>
      <c r="E68" s="148">
        <v>2903</v>
      </c>
      <c r="F68" s="148">
        <v>2851</v>
      </c>
      <c r="H68" s="154" t="s">
        <v>35</v>
      </c>
      <c r="I68" s="154" t="s">
        <v>36</v>
      </c>
      <c r="J68" s="154" t="s">
        <v>36</v>
      </c>
      <c r="K68" s="148" t="s">
        <v>36</v>
      </c>
      <c r="L68" s="154" t="s">
        <v>36</v>
      </c>
      <c r="M68" s="148" t="s">
        <v>35</v>
      </c>
      <c r="N68" s="148" t="s">
        <v>165</v>
      </c>
      <c r="Q68" s="158" t="s">
        <v>221</v>
      </c>
    </row>
    <row r="69" spans="1:17" x14ac:dyDescent="0.2">
      <c r="A69" s="140" t="s">
        <v>92</v>
      </c>
      <c r="B69" s="24"/>
      <c r="C69" s="24"/>
      <c r="D69" s="152" t="s">
        <v>13</v>
      </c>
      <c r="E69" s="153">
        <v>7198</v>
      </c>
      <c r="Q69" s="158"/>
    </row>
    <row r="70" spans="1:17" x14ac:dyDescent="0.2">
      <c r="A70" s="82" t="s">
        <v>80</v>
      </c>
      <c r="B70" s="24">
        <v>435</v>
      </c>
      <c r="C70" s="24" t="s">
        <v>121</v>
      </c>
      <c r="D70" s="2" t="s">
        <v>12</v>
      </c>
      <c r="E70" s="148">
        <v>1835</v>
      </c>
      <c r="F70" s="148">
        <v>1818</v>
      </c>
      <c r="H70" s="154" t="s">
        <v>35</v>
      </c>
      <c r="I70" s="154" t="s">
        <v>35</v>
      </c>
      <c r="J70" s="154" t="s">
        <v>35</v>
      </c>
      <c r="K70" s="148" t="s">
        <v>35</v>
      </c>
      <c r="M70" s="148" t="s">
        <v>35</v>
      </c>
      <c r="N70" s="148" t="s">
        <v>172</v>
      </c>
      <c r="Q70" s="158" t="s">
        <v>222</v>
      </c>
    </row>
    <row r="71" spans="1:17" x14ac:dyDescent="0.2">
      <c r="A71" s="140" t="s">
        <v>81</v>
      </c>
      <c r="B71" s="24"/>
      <c r="C71" s="24"/>
      <c r="D71" s="152" t="s">
        <v>13</v>
      </c>
      <c r="E71" s="153">
        <v>2306</v>
      </c>
      <c r="Q71" s="158"/>
    </row>
    <row r="72" spans="1:17" x14ac:dyDescent="0.2">
      <c r="A72" s="82" t="s">
        <v>96</v>
      </c>
      <c r="B72" s="24">
        <v>436</v>
      </c>
      <c r="C72" s="24" t="s">
        <v>122</v>
      </c>
      <c r="D72" s="2" t="s">
        <v>12</v>
      </c>
      <c r="E72" s="148">
        <v>2797</v>
      </c>
      <c r="F72" s="148">
        <v>2724</v>
      </c>
      <c r="H72" s="154" t="s">
        <v>35</v>
      </c>
      <c r="I72" s="154" t="s">
        <v>36</v>
      </c>
      <c r="J72" s="154" t="s">
        <v>35</v>
      </c>
      <c r="K72" s="148" t="s">
        <v>36</v>
      </c>
      <c r="L72" s="154" t="s">
        <v>36</v>
      </c>
      <c r="M72" s="148" t="s">
        <v>35</v>
      </c>
      <c r="N72" s="148" t="s">
        <v>165</v>
      </c>
      <c r="Q72" s="158" t="s">
        <v>223</v>
      </c>
    </row>
    <row r="73" spans="1:17" x14ac:dyDescent="0.2">
      <c r="A73" s="140" t="s">
        <v>97</v>
      </c>
      <c r="B73" s="24"/>
      <c r="C73" s="24"/>
      <c r="D73" s="152" t="s">
        <v>13</v>
      </c>
      <c r="E73" s="153">
        <v>4528</v>
      </c>
      <c r="Q73" s="158"/>
    </row>
    <row r="74" spans="1:17" x14ac:dyDescent="0.2">
      <c r="A74" s="140"/>
      <c r="B74" s="24"/>
      <c r="C74" s="24"/>
      <c r="D74" s="142"/>
      <c r="Q74" s="158"/>
    </row>
    <row r="75" spans="1:17" x14ac:dyDescent="0.2">
      <c r="A75" s="76" t="s">
        <v>30</v>
      </c>
      <c r="B75" s="24">
        <v>501</v>
      </c>
      <c r="C75" s="24">
        <v>8282</v>
      </c>
      <c r="D75" s="142" t="s">
        <v>12</v>
      </c>
      <c r="E75" s="148">
        <v>2882</v>
      </c>
      <c r="F75" s="148">
        <v>2771</v>
      </c>
      <c r="H75" s="148" t="s">
        <v>36</v>
      </c>
      <c r="I75" s="148" t="s">
        <v>36</v>
      </c>
      <c r="J75" s="148" t="s">
        <v>36</v>
      </c>
      <c r="K75" s="148" t="s">
        <v>36</v>
      </c>
      <c r="L75" s="148" t="s">
        <v>36</v>
      </c>
      <c r="M75" s="148" t="s">
        <v>36</v>
      </c>
      <c r="N75" s="148" t="s">
        <v>166</v>
      </c>
      <c r="Q75" s="158" t="s">
        <v>224</v>
      </c>
    </row>
    <row r="76" spans="1:17" x14ac:dyDescent="0.2">
      <c r="A76" s="76"/>
      <c r="B76" s="24"/>
      <c r="C76" s="24"/>
      <c r="D76" s="152" t="s">
        <v>13</v>
      </c>
      <c r="E76" s="153">
        <v>4774</v>
      </c>
      <c r="Q76" s="158"/>
    </row>
    <row r="77" spans="1:17" x14ac:dyDescent="0.2">
      <c r="A77" s="76" t="s">
        <v>40</v>
      </c>
      <c r="B77" s="24">
        <v>502</v>
      </c>
      <c r="C77" s="24" t="s">
        <v>47</v>
      </c>
      <c r="D77" s="2" t="s">
        <v>12</v>
      </c>
      <c r="E77" s="148">
        <v>4349</v>
      </c>
      <c r="F77" s="148">
        <v>4266</v>
      </c>
      <c r="H77" s="148" t="s">
        <v>35</v>
      </c>
      <c r="I77" s="148" t="s">
        <v>35</v>
      </c>
      <c r="J77" s="148" t="s">
        <v>36</v>
      </c>
      <c r="K77" s="148" t="s">
        <v>35</v>
      </c>
      <c r="M77" s="148" t="s">
        <v>35</v>
      </c>
      <c r="N77" s="148" t="s">
        <v>166</v>
      </c>
      <c r="Q77" s="158" t="s">
        <v>185</v>
      </c>
    </row>
    <row r="78" spans="1:17" x14ac:dyDescent="0.2">
      <c r="A78" s="76"/>
      <c r="B78" s="24"/>
      <c r="C78" s="24"/>
      <c r="D78" s="152" t="s">
        <v>13</v>
      </c>
      <c r="E78" s="153">
        <v>3381</v>
      </c>
      <c r="Q78" s="158"/>
    </row>
    <row r="79" spans="1:17" x14ac:dyDescent="0.2">
      <c r="A79" s="76" t="s">
        <v>30</v>
      </c>
      <c r="B79" s="24">
        <v>503</v>
      </c>
      <c r="C79" s="24" t="s">
        <v>47</v>
      </c>
      <c r="D79" s="2" t="s">
        <v>12</v>
      </c>
      <c r="E79" s="148">
        <v>6233</v>
      </c>
      <c r="F79" s="148">
        <v>6134</v>
      </c>
      <c r="H79" s="148" t="s">
        <v>35</v>
      </c>
      <c r="I79" s="148" t="s">
        <v>35</v>
      </c>
      <c r="J79" s="148" t="s">
        <v>35</v>
      </c>
      <c r="K79" s="148" t="s">
        <v>35</v>
      </c>
      <c r="M79" s="148" t="s">
        <v>36</v>
      </c>
      <c r="N79" s="148" t="s">
        <v>166</v>
      </c>
      <c r="Q79" s="158"/>
    </row>
    <row r="80" spans="1:17" x14ac:dyDescent="0.2">
      <c r="A80" s="76"/>
      <c r="B80" s="24"/>
      <c r="C80" s="24"/>
      <c r="D80" s="152" t="s">
        <v>13</v>
      </c>
      <c r="E80" s="153">
        <v>4429</v>
      </c>
      <c r="Q80" s="158"/>
    </row>
    <row r="81" spans="1:17" x14ac:dyDescent="0.2">
      <c r="A81" s="76" t="s">
        <v>41</v>
      </c>
      <c r="B81" s="24">
        <v>504</v>
      </c>
      <c r="C81" s="24">
        <v>8313</v>
      </c>
      <c r="D81" s="2" t="s">
        <v>12</v>
      </c>
      <c r="E81" s="148">
        <v>2479</v>
      </c>
      <c r="F81" s="148">
        <v>2442</v>
      </c>
      <c r="H81" s="148" t="s">
        <v>36</v>
      </c>
      <c r="I81" s="148" t="s">
        <v>36</v>
      </c>
      <c r="J81" s="148" t="s">
        <v>36</v>
      </c>
      <c r="K81" s="148" t="s">
        <v>35</v>
      </c>
      <c r="M81" s="148" t="s">
        <v>35</v>
      </c>
      <c r="N81" s="148" t="s">
        <v>166</v>
      </c>
      <c r="Q81" s="157" t="s">
        <v>197</v>
      </c>
    </row>
    <row r="82" spans="1:17" x14ac:dyDescent="0.2">
      <c r="A82" s="76"/>
      <c r="B82" s="24"/>
      <c r="C82" s="24"/>
      <c r="D82" s="152" t="s">
        <v>13</v>
      </c>
      <c r="E82" s="153">
        <v>2040</v>
      </c>
      <c r="Q82" s="158"/>
    </row>
    <row r="83" spans="1:17" x14ac:dyDescent="0.2">
      <c r="A83" s="76" t="s">
        <v>41</v>
      </c>
      <c r="B83" s="24">
        <v>505</v>
      </c>
      <c r="C83" s="24">
        <v>8313</v>
      </c>
      <c r="D83" s="2" t="s">
        <v>12</v>
      </c>
      <c r="E83" s="148">
        <v>2533</v>
      </c>
      <c r="F83" s="148">
        <v>2439</v>
      </c>
      <c r="H83" s="148" t="s">
        <v>36</v>
      </c>
      <c r="I83" s="148" t="s">
        <v>36</v>
      </c>
      <c r="J83" s="148" t="s">
        <v>36</v>
      </c>
      <c r="K83" s="148" t="s">
        <v>35</v>
      </c>
      <c r="M83" s="148" t="s">
        <v>35</v>
      </c>
      <c r="N83" s="148" t="s">
        <v>166</v>
      </c>
      <c r="Q83" s="157" t="s">
        <v>197</v>
      </c>
    </row>
    <row r="84" spans="1:17" x14ac:dyDescent="0.2">
      <c r="A84" s="76"/>
      <c r="B84" s="24"/>
      <c r="C84" s="24"/>
      <c r="D84" s="152" t="s">
        <v>13</v>
      </c>
      <c r="E84" s="153">
        <v>2037</v>
      </c>
      <c r="Q84" s="158"/>
    </row>
    <row r="85" spans="1:17" x14ac:dyDescent="0.2">
      <c r="A85" s="76" t="s">
        <v>30</v>
      </c>
      <c r="B85" s="24">
        <v>506</v>
      </c>
      <c r="C85" s="24">
        <v>8313</v>
      </c>
      <c r="D85" s="2" t="s">
        <v>12</v>
      </c>
      <c r="E85" s="148">
        <v>3341</v>
      </c>
      <c r="F85" s="148">
        <v>3266</v>
      </c>
      <c r="H85" s="154" t="s">
        <v>36</v>
      </c>
      <c r="I85" s="154" t="s">
        <v>36</v>
      </c>
      <c r="J85" s="154" t="s">
        <v>36</v>
      </c>
      <c r="K85" s="154" t="s">
        <v>36</v>
      </c>
      <c r="L85" s="154" t="s">
        <v>36</v>
      </c>
      <c r="M85" s="154" t="s">
        <v>36</v>
      </c>
      <c r="N85" s="154" t="s">
        <v>166</v>
      </c>
      <c r="Q85" s="157" t="s">
        <v>199</v>
      </c>
    </row>
    <row r="86" spans="1:17" x14ac:dyDescent="0.2">
      <c r="A86" s="76"/>
      <c r="B86" s="24"/>
      <c r="C86" s="24"/>
      <c r="D86" s="152" t="s">
        <v>13</v>
      </c>
      <c r="E86" s="153">
        <v>4405</v>
      </c>
      <c r="Q86" s="158"/>
    </row>
    <row r="87" spans="1:17" x14ac:dyDescent="0.2">
      <c r="A87" s="76" t="s">
        <v>42</v>
      </c>
      <c r="B87" s="24">
        <v>507</v>
      </c>
      <c r="C87" s="24" t="s">
        <v>29</v>
      </c>
      <c r="D87" s="2" t="s">
        <v>12</v>
      </c>
      <c r="E87" s="148">
        <v>3152</v>
      </c>
      <c r="F87" s="148">
        <v>3097</v>
      </c>
      <c r="H87" s="154" t="s">
        <v>35</v>
      </c>
      <c r="I87" s="154" t="s">
        <v>35</v>
      </c>
      <c r="J87" s="154" t="s">
        <v>36</v>
      </c>
      <c r="K87" s="154" t="s">
        <v>35</v>
      </c>
      <c r="M87" s="154" t="s">
        <v>35</v>
      </c>
      <c r="N87" s="154" t="s">
        <v>166</v>
      </c>
      <c r="Q87" s="157" t="s">
        <v>199</v>
      </c>
    </row>
    <row r="88" spans="1:17" x14ac:dyDescent="0.2">
      <c r="A88" s="76"/>
      <c r="B88" s="24"/>
      <c r="C88" s="24"/>
      <c r="D88" s="152" t="s">
        <v>13</v>
      </c>
      <c r="E88" s="153">
        <v>5797</v>
      </c>
      <c r="Q88" s="158"/>
    </row>
    <row r="89" spans="1:17" x14ac:dyDescent="0.2">
      <c r="A89" s="76" t="s">
        <v>42</v>
      </c>
      <c r="B89" s="24">
        <v>508</v>
      </c>
      <c r="C89" s="24" t="s">
        <v>29</v>
      </c>
      <c r="D89" s="2" t="s">
        <v>12</v>
      </c>
      <c r="E89" s="148">
        <v>601</v>
      </c>
      <c r="F89" s="148">
        <v>574</v>
      </c>
      <c r="H89" s="154" t="s">
        <v>36</v>
      </c>
      <c r="I89" s="154" t="s">
        <v>36</v>
      </c>
      <c r="J89" s="154" t="s">
        <v>36</v>
      </c>
      <c r="K89" s="154" t="s">
        <v>36</v>
      </c>
      <c r="L89" s="154" t="s">
        <v>36</v>
      </c>
      <c r="M89" s="154" t="s">
        <v>35</v>
      </c>
      <c r="N89" s="154" t="s">
        <v>166</v>
      </c>
      <c r="Q89" s="157" t="s">
        <v>205</v>
      </c>
    </row>
    <row r="90" spans="1:17" x14ac:dyDescent="0.2">
      <c r="A90" s="76"/>
      <c r="B90" s="24"/>
      <c r="C90" s="24"/>
      <c r="D90" s="152" t="s">
        <v>13</v>
      </c>
      <c r="E90" s="153">
        <v>3998</v>
      </c>
      <c r="Q90" s="158"/>
    </row>
    <row r="91" spans="1:17" x14ac:dyDescent="0.2">
      <c r="A91" s="76" t="s">
        <v>43</v>
      </c>
      <c r="B91" s="24">
        <v>510</v>
      </c>
      <c r="C91" s="24" t="s">
        <v>38</v>
      </c>
      <c r="D91" s="2" t="s">
        <v>12</v>
      </c>
      <c r="E91" s="148">
        <v>2747</v>
      </c>
      <c r="F91" s="148">
        <v>2713</v>
      </c>
      <c r="H91" s="154" t="s">
        <v>35</v>
      </c>
      <c r="I91" s="154" t="s">
        <v>36</v>
      </c>
      <c r="J91" s="154" t="s">
        <v>36</v>
      </c>
      <c r="K91" s="154" t="s">
        <v>35</v>
      </c>
      <c r="M91" s="154" t="s">
        <v>35</v>
      </c>
      <c r="N91" s="154" t="s">
        <v>200</v>
      </c>
      <c r="Q91" s="157" t="s">
        <v>198</v>
      </c>
    </row>
    <row r="92" spans="1:17" x14ac:dyDescent="0.2">
      <c r="A92" s="76"/>
      <c r="B92" s="24"/>
      <c r="C92" s="24"/>
      <c r="D92" s="152" t="s">
        <v>13</v>
      </c>
      <c r="E92" s="153">
        <v>6063</v>
      </c>
      <c r="Q92" s="158"/>
    </row>
    <row r="93" spans="1:17" x14ac:dyDescent="0.2">
      <c r="A93" s="76" t="s">
        <v>43</v>
      </c>
      <c r="B93" s="24">
        <v>511</v>
      </c>
      <c r="C93" s="24" t="s">
        <v>48</v>
      </c>
      <c r="D93" s="2" t="s">
        <v>12</v>
      </c>
      <c r="E93" s="148">
        <v>5179</v>
      </c>
      <c r="F93" s="148">
        <v>5126</v>
      </c>
      <c r="H93" s="154" t="s">
        <v>35</v>
      </c>
      <c r="I93" s="154" t="s">
        <v>35</v>
      </c>
      <c r="J93" s="154" t="s">
        <v>36</v>
      </c>
      <c r="K93" s="154" t="s">
        <v>35</v>
      </c>
      <c r="M93" s="154" t="s">
        <v>35</v>
      </c>
      <c r="N93" s="154" t="s">
        <v>200</v>
      </c>
      <c r="Q93" s="157" t="s">
        <v>201</v>
      </c>
    </row>
    <row r="94" spans="1:17" x14ac:dyDescent="0.2">
      <c r="A94" s="76"/>
      <c r="B94" s="24"/>
      <c r="C94" s="24"/>
      <c r="D94" s="152" t="s">
        <v>13</v>
      </c>
      <c r="E94" s="153">
        <v>6120</v>
      </c>
      <c r="Q94" s="158"/>
    </row>
    <row r="95" spans="1:17" x14ac:dyDescent="0.2">
      <c r="A95" s="76" t="s">
        <v>44</v>
      </c>
      <c r="B95" s="24">
        <v>512</v>
      </c>
      <c r="C95" s="24" t="s">
        <v>49</v>
      </c>
      <c r="D95" s="2" t="s">
        <v>12</v>
      </c>
      <c r="E95" s="148">
        <v>3894</v>
      </c>
      <c r="F95" s="148">
        <v>3839</v>
      </c>
      <c r="H95" s="154" t="s">
        <v>35</v>
      </c>
      <c r="I95" s="154" t="s">
        <v>35</v>
      </c>
      <c r="J95" s="154" t="s">
        <v>36</v>
      </c>
      <c r="K95" s="154" t="s">
        <v>35</v>
      </c>
      <c r="M95" s="154" t="s">
        <v>36</v>
      </c>
      <c r="N95" s="154" t="s">
        <v>166</v>
      </c>
      <c r="Q95" s="157" t="s">
        <v>202</v>
      </c>
    </row>
    <row r="96" spans="1:17" x14ac:dyDescent="0.2">
      <c r="A96" s="76"/>
      <c r="B96" s="24"/>
      <c r="C96" s="24"/>
      <c r="D96" s="152" t="s">
        <v>13</v>
      </c>
      <c r="E96" s="153">
        <v>6000</v>
      </c>
      <c r="Q96" s="158"/>
    </row>
    <row r="97" spans="1:17" x14ac:dyDescent="0.2">
      <c r="A97" s="76" t="s">
        <v>32</v>
      </c>
      <c r="B97" s="24">
        <v>513</v>
      </c>
      <c r="C97" s="24" t="s">
        <v>50</v>
      </c>
      <c r="D97" s="2" t="s">
        <v>12</v>
      </c>
      <c r="E97" s="148">
        <v>6768</v>
      </c>
      <c r="F97" s="148">
        <v>6710</v>
      </c>
      <c r="H97" s="154" t="s">
        <v>35</v>
      </c>
      <c r="I97" s="154" t="s">
        <v>35</v>
      </c>
      <c r="J97" s="154" t="s">
        <v>35</v>
      </c>
      <c r="K97" s="154" t="s">
        <v>35</v>
      </c>
      <c r="M97" s="154" t="s">
        <v>35</v>
      </c>
      <c r="N97" s="154" t="s">
        <v>166</v>
      </c>
      <c r="Q97" s="158"/>
    </row>
    <row r="98" spans="1:17" x14ac:dyDescent="0.2">
      <c r="A98" s="76"/>
      <c r="B98" s="24"/>
      <c r="C98" s="24"/>
      <c r="D98" s="152" t="s">
        <v>13</v>
      </c>
      <c r="E98" s="153">
        <v>6658</v>
      </c>
      <c r="Q98" s="158"/>
    </row>
    <row r="99" spans="1:17" x14ac:dyDescent="0.2">
      <c r="A99" s="76" t="s">
        <v>30</v>
      </c>
      <c r="B99" s="24">
        <v>514</v>
      </c>
      <c r="C99" s="24" t="s">
        <v>50</v>
      </c>
      <c r="D99" s="2" t="s">
        <v>12</v>
      </c>
      <c r="E99" s="148">
        <v>5786</v>
      </c>
      <c r="F99" s="148">
        <v>5718</v>
      </c>
      <c r="H99" s="154" t="s">
        <v>35</v>
      </c>
      <c r="I99" s="154" t="s">
        <v>35</v>
      </c>
      <c r="J99" s="154" t="s">
        <v>36</v>
      </c>
      <c r="K99" s="154" t="s">
        <v>35</v>
      </c>
      <c r="M99" s="154" t="s">
        <v>35</v>
      </c>
      <c r="N99" s="154" t="s">
        <v>169</v>
      </c>
      <c r="Q99" s="157" t="s">
        <v>203</v>
      </c>
    </row>
    <row r="100" spans="1:17" x14ac:dyDescent="0.2">
      <c r="A100" s="76"/>
      <c r="B100" s="24"/>
      <c r="C100" s="24"/>
      <c r="D100" s="152" t="s">
        <v>13</v>
      </c>
      <c r="E100" s="153">
        <v>6920</v>
      </c>
      <c r="Q100" s="158"/>
    </row>
    <row r="101" spans="1:17" x14ac:dyDescent="0.2">
      <c r="A101" s="76" t="s">
        <v>39</v>
      </c>
      <c r="B101" s="24">
        <v>515</v>
      </c>
      <c r="C101" s="24" t="s">
        <v>54</v>
      </c>
      <c r="D101" s="2" t="s">
        <v>12</v>
      </c>
      <c r="E101" s="148">
        <v>3498</v>
      </c>
      <c r="F101" s="148">
        <v>3446</v>
      </c>
      <c r="H101" s="154" t="s">
        <v>35</v>
      </c>
      <c r="I101" s="154" t="s">
        <v>36</v>
      </c>
      <c r="J101" s="154" t="s">
        <v>35</v>
      </c>
      <c r="K101" s="154" t="s">
        <v>36</v>
      </c>
      <c r="L101" s="154" t="s">
        <v>35</v>
      </c>
      <c r="M101" s="154" t="s">
        <v>36</v>
      </c>
      <c r="N101" s="154" t="s">
        <v>169</v>
      </c>
      <c r="Q101" s="157" t="s">
        <v>204</v>
      </c>
    </row>
    <row r="102" spans="1:17" x14ac:dyDescent="0.2">
      <c r="A102" s="76"/>
      <c r="B102" s="24"/>
      <c r="C102" s="24"/>
      <c r="D102" s="152" t="s">
        <v>13</v>
      </c>
      <c r="E102" s="153">
        <v>7524</v>
      </c>
      <c r="Q102" s="158"/>
    </row>
    <row r="103" spans="1:17" x14ac:dyDescent="0.2">
      <c r="A103" s="76" t="s">
        <v>33</v>
      </c>
      <c r="B103" s="24">
        <v>516</v>
      </c>
      <c r="C103" s="24" t="s">
        <v>54</v>
      </c>
      <c r="D103" s="2" t="s">
        <v>12</v>
      </c>
      <c r="E103" s="148">
        <v>1720</v>
      </c>
      <c r="F103" s="148">
        <v>1681</v>
      </c>
      <c r="H103" s="154" t="s">
        <v>35</v>
      </c>
      <c r="I103" s="154" t="s">
        <v>36</v>
      </c>
      <c r="J103" s="154" t="s">
        <v>35</v>
      </c>
      <c r="K103" s="154" t="s">
        <v>36</v>
      </c>
      <c r="L103" s="154" t="s">
        <v>35</v>
      </c>
      <c r="M103" s="154" t="s">
        <v>35</v>
      </c>
      <c r="N103" s="154" t="s">
        <v>166</v>
      </c>
      <c r="Q103" s="157" t="s">
        <v>204</v>
      </c>
    </row>
    <row r="104" spans="1:17" x14ac:dyDescent="0.2">
      <c r="A104" s="76"/>
      <c r="B104" s="24"/>
      <c r="C104" s="24"/>
      <c r="D104" s="152" t="s">
        <v>13</v>
      </c>
      <c r="E104" s="153">
        <v>7903</v>
      </c>
      <c r="Q104" s="158"/>
    </row>
    <row r="105" spans="1:17" x14ac:dyDescent="0.2">
      <c r="A105" s="76" t="s">
        <v>43</v>
      </c>
      <c r="B105" s="24">
        <v>517</v>
      </c>
      <c r="C105" s="24" t="s">
        <v>51</v>
      </c>
      <c r="D105" s="2" t="s">
        <v>12</v>
      </c>
      <c r="E105" s="148">
        <v>3841</v>
      </c>
      <c r="F105" s="148">
        <v>3784</v>
      </c>
      <c r="H105" s="154" t="s">
        <v>36</v>
      </c>
      <c r="I105" s="154" t="s">
        <v>36</v>
      </c>
      <c r="J105" s="154" t="s">
        <v>36</v>
      </c>
      <c r="K105" s="154" t="s">
        <v>35</v>
      </c>
      <c r="M105" s="154" t="s">
        <v>35</v>
      </c>
      <c r="N105" s="154" t="s">
        <v>166</v>
      </c>
      <c r="Q105" s="157" t="s">
        <v>206</v>
      </c>
    </row>
    <row r="106" spans="1:17" x14ac:dyDescent="0.2">
      <c r="A106" s="76"/>
      <c r="B106" s="24"/>
      <c r="C106" s="24"/>
      <c r="D106" s="152" t="s">
        <v>13</v>
      </c>
      <c r="E106" s="153">
        <v>6846</v>
      </c>
      <c r="Q106" s="158"/>
    </row>
    <row r="107" spans="1:17" x14ac:dyDescent="0.2">
      <c r="A107" s="76" t="s">
        <v>31</v>
      </c>
      <c r="B107" s="24">
        <v>518</v>
      </c>
      <c r="C107" s="24" t="s">
        <v>51</v>
      </c>
      <c r="D107" s="2" t="s">
        <v>12</v>
      </c>
      <c r="E107" s="148">
        <v>1330</v>
      </c>
      <c r="F107" s="148">
        <v>1290</v>
      </c>
      <c r="H107" s="154" t="s">
        <v>36</v>
      </c>
      <c r="I107" s="154" t="s">
        <v>36</v>
      </c>
      <c r="J107" s="154" t="s">
        <v>36</v>
      </c>
      <c r="K107" s="154" t="s">
        <v>36</v>
      </c>
      <c r="L107" s="154" t="s">
        <v>35</v>
      </c>
      <c r="M107" s="154" t="s">
        <v>36</v>
      </c>
      <c r="N107" s="154" t="s">
        <v>166</v>
      </c>
      <c r="Q107" s="157" t="s">
        <v>206</v>
      </c>
    </row>
    <row r="108" spans="1:17" x14ac:dyDescent="0.2">
      <c r="A108" s="76"/>
      <c r="B108" s="24"/>
      <c r="C108" s="24"/>
      <c r="D108" s="152" t="s">
        <v>13</v>
      </c>
      <c r="E108" s="153">
        <v>3508</v>
      </c>
      <c r="Q108" s="158"/>
    </row>
    <row r="109" spans="1:17" x14ac:dyDescent="0.2">
      <c r="A109" s="76" t="s">
        <v>45</v>
      </c>
      <c r="B109" s="24">
        <v>519</v>
      </c>
      <c r="C109" s="24" t="s">
        <v>51</v>
      </c>
      <c r="D109" s="2" t="s">
        <v>12</v>
      </c>
      <c r="E109" s="148">
        <v>2000</v>
      </c>
      <c r="F109" s="148">
        <v>1883</v>
      </c>
      <c r="H109" s="154" t="s">
        <v>36</v>
      </c>
      <c r="I109" s="154" t="s">
        <v>36</v>
      </c>
      <c r="J109" s="154" t="s">
        <v>36</v>
      </c>
      <c r="K109" s="154" t="s">
        <v>35</v>
      </c>
      <c r="M109" s="154" t="s">
        <v>35</v>
      </c>
      <c r="N109" s="154" t="s">
        <v>166</v>
      </c>
      <c r="Q109" s="157" t="s">
        <v>206</v>
      </c>
    </row>
    <row r="110" spans="1:17" x14ac:dyDescent="0.2">
      <c r="A110" s="76"/>
      <c r="B110" s="24"/>
      <c r="C110" s="24"/>
      <c r="D110" s="152" t="s">
        <v>13</v>
      </c>
      <c r="E110" s="153">
        <v>5206</v>
      </c>
      <c r="Q110" s="158"/>
    </row>
    <row r="111" spans="1:17" x14ac:dyDescent="0.2">
      <c r="A111" s="76" t="s">
        <v>46</v>
      </c>
      <c r="B111" s="24">
        <v>520</v>
      </c>
      <c r="C111" s="24" t="s">
        <v>52</v>
      </c>
      <c r="D111" s="2" t="s">
        <v>12</v>
      </c>
      <c r="E111" s="148">
        <v>4935</v>
      </c>
      <c r="F111" s="148">
        <v>4681</v>
      </c>
      <c r="H111" s="154" t="s">
        <v>35</v>
      </c>
      <c r="I111" s="154" t="s">
        <v>35</v>
      </c>
      <c r="J111" s="154" t="s">
        <v>36</v>
      </c>
      <c r="K111" s="154" t="s">
        <v>35</v>
      </c>
      <c r="M111" s="154" t="s">
        <v>36</v>
      </c>
      <c r="N111" s="154" t="s">
        <v>169</v>
      </c>
      <c r="Q111" s="158"/>
    </row>
    <row r="112" spans="1:17" x14ac:dyDescent="0.2">
      <c r="A112" s="76"/>
      <c r="B112" s="24"/>
      <c r="C112" s="24"/>
      <c r="D112" s="152" t="s">
        <v>13</v>
      </c>
      <c r="E112" s="153">
        <v>5626</v>
      </c>
      <c r="Q112" s="158"/>
    </row>
    <row r="113" spans="1:17" x14ac:dyDescent="0.2">
      <c r="A113" s="76" t="s">
        <v>43</v>
      </c>
      <c r="B113" s="24">
        <v>521</v>
      </c>
      <c r="C113" s="24" t="s">
        <v>53</v>
      </c>
      <c r="D113" s="2" t="s">
        <v>12</v>
      </c>
      <c r="E113" s="148">
        <v>3147</v>
      </c>
      <c r="F113" s="148">
        <v>3069</v>
      </c>
      <c r="H113" s="154" t="s">
        <v>36</v>
      </c>
      <c r="I113" s="154" t="s">
        <v>36</v>
      </c>
      <c r="J113" s="154" t="s">
        <v>36</v>
      </c>
      <c r="K113" s="154" t="s">
        <v>35</v>
      </c>
      <c r="M113" s="154" t="s">
        <v>36</v>
      </c>
      <c r="N113" s="154" t="s">
        <v>166</v>
      </c>
      <c r="Q113" s="157" t="s">
        <v>207</v>
      </c>
    </row>
    <row r="114" spans="1:17" x14ac:dyDescent="0.2">
      <c r="A114" s="76"/>
      <c r="B114" s="24"/>
      <c r="C114" s="24"/>
      <c r="D114" s="152" t="s">
        <v>13</v>
      </c>
      <c r="E114" s="153">
        <v>4210</v>
      </c>
      <c r="Q114" s="158"/>
    </row>
    <row r="115" spans="1:17" x14ac:dyDescent="0.2">
      <c r="A115" s="76" t="s">
        <v>34</v>
      </c>
      <c r="B115" s="24">
        <v>522</v>
      </c>
      <c r="C115" s="24" t="s">
        <v>53</v>
      </c>
      <c r="D115" s="2" t="s">
        <v>12</v>
      </c>
      <c r="E115" s="148">
        <v>563</v>
      </c>
      <c r="F115" s="148">
        <v>542</v>
      </c>
      <c r="H115" s="154" t="s">
        <v>36</v>
      </c>
      <c r="I115" s="154" t="s">
        <v>36</v>
      </c>
      <c r="J115" s="154" t="s">
        <v>36</v>
      </c>
      <c r="K115" s="154" t="s">
        <v>35</v>
      </c>
      <c r="M115" s="154" t="s">
        <v>36</v>
      </c>
      <c r="N115" s="154" t="s">
        <v>169</v>
      </c>
      <c r="Q115" s="157" t="s">
        <v>208</v>
      </c>
    </row>
    <row r="116" spans="1:17" x14ac:dyDescent="0.2">
      <c r="A116" s="76"/>
      <c r="B116" s="24"/>
      <c r="C116" s="24"/>
      <c r="D116" s="152" t="s">
        <v>13</v>
      </c>
      <c r="E116" s="153">
        <v>1844</v>
      </c>
      <c r="Q116" s="158"/>
    </row>
    <row r="117" spans="1:17" x14ac:dyDescent="0.2">
      <c r="A117" s="76" t="s">
        <v>44</v>
      </c>
      <c r="B117" s="24">
        <v>523</v>
      </c>
      <c r="C117" s="24" t="s">
        <v>125</v>
      </c>
      <c r="D117" s="2" t="s">
        <v>12</v>
      </c>
      <c r="E117" s="148">
        <v>3255</v>
      </c>
      <c r="F117" s="148">
        <v>3158</v>
      </c>
      <c r="H117" s="154" t="s">
        <v>35</v>
      </c>
      <c r="I117" s="154" t="s">
        <v>35</v>
      </c>
      <c r="J117" s="154" t="s">
        <v>36</v>
      </c>
      <c r="K117" s="154" t="s">
        <v>35</v>
      </c>
      <c r="M117" s="154" t="s">
        <v>36</v>
      </c>
      <c r="N117" s="154" t="s">
        <v>166</v>
      </c>
      <c r="Q117" s="157" t="s">
        <v>209</v>
      </c>
    </row>
    <row r="118" spans="1:17" x14ac:dyDescent="0.2">
      <c r="A118" s="76"/>
      <c r="B118" s="24"/>
      <c r="C118" s="24"/>
      <c r="D118" s="152" t="s">
        <v>13</v>
      </c>
      <c r="E118" s="153">
        <v>4057</v>
      </c>
      <c r="Q118" s="158"/>
    </row>
    <row r="119" spans="1:17" x14ac:dyDescent="0.2">
      <c r="A119" s="76" t="s">
        <v>44</v>
      </c>
      <c r="B119" s="24">
        <v>524</v>
      </c>
      <c r="C119" s="24" t="s">
        <v>55</v>
      </c>
      <c r="D119" s="2" t="s">
        <v>12</v>
      </c>
      <c r="E119" s="148">
        <v>3073</v>
      </c>
      <c r="F119" s="148">
        <v>2822</v>
      </c>
      <c r="H119" s="154" t="s">
        <v>35</v>
      </c>
      <c r="I119" s="154" t="s">
        <v>35</v>
      </c>
      <c r="J119" s="154" t="s">
        <v>36</v>
      </c>
      <c r="K119" s="154" t="s">
        <v>35</v>
      </c>
      <c r="M119" s="154" t="s">
        <v>36</v>
      </c>
      <c r="N119" s="154" t="s">
        <v>166</v>
      </c>
      <c r="Q119" s="157" t="s">
        <v>209</v>
      </c>
    </row>
    <row r="120" spans="1:17" x14ac:dyDescent="0.2">
      <c r="A120" s="76"/>
      <c r="B120" s="24"/>
      <c r="C120" s="24"/>
      <c r="D120" s="152" t="s">
        <v>13</v>
      </c>
      <c r="E120" s="153">
        <v>4057</v>
      </c>
      <c r="Q120" s="158"/>
    </row>
    <row r="121" spans="1:17" x14ac:dyDescent="0.2">
      <c r="A121" s="76" t="s">
        <v>43</v>
      </c>
      <c r="B121" s="24">
        <v>525</v>
      </c>
      <c r="C121" s="24" t="s">
        <v>136</v>
      </c>
      <c r="D121" s="2" t="s">
        <v>12</v>
      </c>
      <c r="E121" s="148">
        <v>5151</v>
      </c>
      <c r="F121" s="148">
        <v>5083</v>
      </c>
      <c r="H121" s="154" t="s">
        <v>35</v>
      </c>
      <c r="I121" s="154" t="s">
        <v>35</v>
      </c>
      <c r="J121" s="154" t="s">
        <v>35</v>
      </c>
      <c r="K121" s="154" t="s">
        <v>35</v>
      </c>
      <c r="M121" s="154" t="s">
        <v>35</v>
      </c>
      <c r="N121" s="154" t="s">
        <v>166</v>
      </c>
      <c r="Q121" s="158"/>
    </row>
    <row r="122" spans="1:17" x14ac:dyDescent="0.2">
      <c r="A122" s="76"/>
      <c r="B122" s="24"/>
      <c r="C122" s="24"/>
      <c r="D122" s="152" t="s">
        <v>13</v>
      </c>
      <c r="E122" s="153">
        <v>6845</v>
      </c>
      <c r="Q122" s="158"/>
    </row>
    <row r="123" spans="1:17" x14ac:dyDescent="0.2">
      <c r="A123" s="76" t="s">
        <v>43</v>
      </c>
      <c r="B123" s="24">
        <v>526</v>
      </c>
      <c r="C123" s="24" t="s">
        <v>137</v>
      </c>
      <c r="D123" s="2" t="s">
        <v>12</v>
      </c>
      <c r="E123" s="148">
        <v>2616</v>
      </c>
      <c r="F123" s="148">
        <v>2523</v>
      </c>
      <c r="H123" s="154" t="s">
        <v>36</v>
      </c>
      <c r="I123" s="154" t="s">
        <v>36</v>
      </c>
      <c r="J123" s="154" t="s">
        <v>36</v>
      </c>
      <c r="K123" s="154" t="s">
        <v>35</v>
      </c>
      <c r="M123" s="154" t="s">
        <v>36</v>
      </c>
      <c r="N123" s="154" t="s">
        <v>166</v>
      </c>
      <c r="Q123" s="157" t="s">
        <v>210</v>
      </c>
    </row>
    <row r="124" spans="1:17" x14ac:dyDescent="0.2">
      <c r="A124" s="76"/>
      <c r="B124" s="24"/>
      <c r="C124" s="24"/>
      <c r="D124" s="152" t="s">
        <v>13</v>
      </c>
      <c r="E124" s="153">
        <v>4212</v>
      </c>
      <c r="Q124" s="158"/>
    </row>
    <row r="125" spans="1:17" x14ac:dyDescent="0.2">
      <c r="A125" s="76" t="s">
        <v>33</v>
      </c>
      <c r="B125" s="24">
        <v>527</v>
      </c>
      <c r="C125" s="24" t="s">
        <v>37</v>
      </c>
      <c r="D125" s="2" t="s">
        <v>12</v>
      </c>
      <c r="E125" s="148">
        <v>1032</v>
      </c>
      <c r="F125" s="148">
        <v>976</v>
      </c>
      <c r="H125" s="154" t="s">
        <v>36</v>
      </c>
      <c r="I125" s="154" t="s">
        <v>36</v>
      </c>
      <c r="J125" s="154" t="s">
        <v>36</v>
      </c>
      <c r="K125" s="154" t="s">
        <v>36</v>
      </c>
      <c r="L125" s="154" t="s">
        <v>35</v>
      </c>
      <c r="M125" s="154" t="s">
        <v>35</v>
      </c>
      <c r="N125" s="154" t="s">
        <v>166</v>
      </c>
      <c r="Q125" s="157" t="s">
        <v>210</v>
      </c>
    </row>
    <row r="126" spans="1:17" x14ac:dyDescent="0.2">
      <c r="A126" s="76"/>
      <c r="B126" s="24"/>
      <c r="C126" s="24"/>
      <c r="D126" s="152" t="s">
        <v>13</v>
      </c>
      <c r="E126" s="153">
        <v>2496</v>
      </c>
      <c r="Q126" s="158"/>
    </row>
    <row r="127" spans="1:17" x14ac:dyDescent="0.2">
      <c r="A127" s="76" t="s">
        <v>60</v>
      </c>
      <c r="B127" s="24">
        <v>701</v>
      </c>
      <c r="C127" s="24" t="s">
        <v>56</v>
      </c>
      <c r="D127" s="2" t="s">
        <v>12</v>
      </c>
      <c r="E127" s="148">
        <v>169</v>
      </c>
      <c r="F127" s="148">
        <v>123</v>
      </c>
      <c r="G127" s="148">
        <v>3400</v>
      </c>
      <c r="H127" s="148" t="s">
        <v>36</v>
      </c>
      <c r="I127" s="148" t="s">
        <v>36</v>
      </c>
      <c r="J127" s="148" t="s">
        <v>36</v>
      </c>
      <c r="K127" s="148" t="s">
        <v>36</v>
      </c>
      <c r="M127" s="148" t="s">
        <v>35</v>
      </c>
      <c r="N127" s="148" t="s">
        <v>186</v>
      </c>
      <c r="Q127" s="158" t="s">
        <v>196</v>
      </c>
    </row>
    <row r="128" spans="1:17" x14ac:dyDescent="0.2">
      <c r="A128" s="76"/>
      <c r="B128" s="24"/>
      <c r="C128" s="24"/>
      <c r="D128" s="2" t="s">
        <v>13</v>
      </c>
      <c r="Q128" s="158"/>
    </row>
    <row r="129" spans="1:17" x14ac:dyDescent="0.2">
      <c r="A129" s="76" t="s">
        <v>61</v>
      </c>
      <c r="B129" s="24">
        <v>801</v>
      </c>
      <c r="C129" s="24" t="s">
        <v>57</v>
      </c>
      <c r="D129" s="2" t="s">
        <v>12</v>
      </c>
      <c r="E129" s="148">
        <v>3510</v>
      </c>
      <c r="F129" s="148">
        <v>3429</v>
      </c>
      <c r="G129" s="148">
        <v>5400</v>
      </c>
      <c r="H129" s="148" t="s">
        <v>35</v>
      </c>
      <c r="I129" s="148" t="s">
        <v>36</v>
      </c>
      <c r="J129" s="148" t="s">
        <v>36</v>
      </c>
      <c r="K129" s="148" t="s">
        <v>35</v>
      </c>
      <c r="M129" s="148" t="s">
        <v>35</v>
      </c>
      <c r="N129" s="148" t="s">
        <v>186</v>
      </c>
      <c r="Q129" s="158" t="s">
        <v>187</v>
      </c>
    </row>
    <row r="130" spans="1:17" x14ac:dyDescent="0.2">
      <c r="A130" s="76"/>
      <c r="B130" s="24"/>
      <c r="C130" s="24"/>
      <c r="D130" s="2" t="s">
        <v>13</v>
      </c>
      <c r="Q130" s="158"/>
    </row>
    <row r="131" spans="1:17" x14ac:dyDescent="0.2">
      <c r="A131" s="76" t="s">
        <v>62</v>
      </c>
      <c r="B131" s="24">
        <v>802</v>
      </c>
      <c r="C131" s="24" t="s">
        <v>57</v>
      </c>
      <c r="D131" s="2" t="s">
        <v>12</v>
      </c>
      <c r="E131" s="148">
        <v>1187</v>
      </c>
      <c r="F131" s="148">
        <v>1136</v>
      </c>
      <c r="G131" s="148">
        <v>5400</v>
      </c>
      <c r="H131" s="148" t="s">
        <v>36</v>
      </c>
      <c r="I131" s="148" t="s">
        <v>36</v>
      </c>
      <c r="J131" s="148" t="s">
        <v>36</v>
      </c>
      <c r="K131" s="148" t="s">
        <v>35</v>
      </c>
      <c r="M131" s="148" t="s">
        <v>36</v>
      </c>
      <c r="N131" s="148" t="s">
        <v>188</v>
      </c>
      <c r="Q131" s="158" t="s">
        <v>193</v>
      </c>
    </row>
    <row r="132" spans="1:17" x14ac:dyDescent="0.2">
      <c r="A132" s="76"/>
      <c r="B132" s="24"/>
      <c r="C132" s="24"/>
      <c r="D132" s="2" t="s">
        <v>13</v>
      </c>
      <c r="Q132" s="158"/>
    </row>
    <row r="133" spans="1:17" x14ac:dyDescent="0.2">
      <c r="A133" s="76" t="s">
        <v>59</v>
      </c>
      <c r="B133" s="24">
        <v>803</v>
      </c>
      <c r="C133" s="24" t="s">
        <v>58</v>
      </c>
      <c r="D133" s="2" t="s">
        <v>12</v>
      </c>
      <c r="E133" s="148">
        <v>259</v>
      </c>
      <c r="F133" s="148">
        <v>227</v>
      </c>
      <c r="G133" s="148">
        <v>5000</v>
      </c>
      <c r="H133" s="148" t="s">
        <v>36</v>
      </c>
      <c r="I133" s="148" t="s">
        <v>36</v>
      </c>
      <c r="J133" s="148" t="s">
        <v>36</v>
      </c>
      <c r="K133" s="148" t="s">
        <v>35</v>
      </c>
      <c r="M133" s="148" t="s">
        <v>35</v>
      </c>
      <c r="N133" s="148" t="s">
        <v>186</v>
      </c>
      <c r="Q133" s="158" t="s">
        <v>189</v>
      </c>
    </row>
    <row r="134" spans="1:17" x14ac:dyDescent="0.2">
      <c r="A134" s="76"/>
      <c r="B134" s="24"/>
      <c r="C134" s="24"/>
      <c r="D134" s="2" t="s">
        <v>13</v>
      </c>
      <c r="Q134" s="158"/>
    </row>
    <row r="135" spans="1:17" x14ac:dyDescent="0.2">
      <c r="A135" s="76" t="s">
        <v>59</v>
      </c>
      <c r="B135" s="24">
        <v>804</v>
      </c>
      <c r="C135" s="24" t="s">
        <v>57</v>
      </c>
      <c r="D135" s="2" t="s">
        <v>12</v>
      </c>
      <c r="E135" s="148">
        <v>2022</v>
      </c>
      <c r="F135" s="148">
        <v>1919</v>
      </c>
      <c r="G135" s="148">
        <v>5400</v>
      </c>
      <c r="H135" s="148" t="s">
        <v>36</v>
      </c>
      <c r="I135" s="148" t="s">
        <v>36</v>
      </c>
      <c r="J135" s="148" t="s">
        <v>36</v>
      </c>
      <c r="K135" s="148" t="s">
        <v>35</v>
      </c>
      <c r="M135" s="148" t="s">
        <v>35</v>
      </c>
      <c r="N135" s="148" t="s">
        <v>186</v>
      </c>
      <c r="Q135" s="158" t="s">
        <v>194</v>
      </c>
    </row>
    <row r="136" spans="1:17" x14ac:dyDescent="0.2">
      <c r="A136" s="76"/>
      <c r="B136" s="24"/>
      <c r="C136" s="24"/>
      <c r="D136" s="2" t="s">
        <v>13</v>
      </c>
      <c r="Q136" s="158"/>
    </row>
    <row r="137" spans="1:17" x14ac:dyDescent="0.2">
      <c r="A137" s="76" t="s">
        <v>59</v>
      </c>
      <c r="B137" s="24">
        <v>805</v>
      </c>
      <c r="C137" s="24" t="s">
        <v>57</v>
      </c>
      <c r="D137" s="2" t="s">
        <v>12</v>
      </c>
      <c r="E137" s="148">
        <v>558</v>
      </c>
      <c r="F137" s="148">
        <v>515</v>
      </c>
      <c r="G137" s="148">
        <v>5400</v>
      </c>
      <c r="H137" s="148" t="s">
        <v>36</v>
      </c>
      <c r="I137" s="148" t="s">
        <v>36</v>
      </c>
      <c r="J137" s="148" t="s">
        <v>36</v>
      </c>
      <c r="K137" s="148" t="s">
        <v>35</v>
      </c>
      <c r="M137" s="148" t="s">
        <v>35</v>
      </c>
      <c r="N137" s="148" t="s">
        <v>186</v>
      </c>
      <c r="Q137" s="158" t="s">
        <v>194</v>
      </c>
    </row>
    <row r="138" spans="1:17" x14ac:dyDescent="0.2">
      <c r="A138" s="76"/>
      <c r="B138" s="24"/>
      <c r="C138" s="24"/>
      <c r="D138" s="2" t="s">
        <v>13</v>
      </c>
      <c r="Q138" s="158"/>
    </row>
    <row r="139" spans="1:17" x14ac:dyDescent="0.2">
      <c r="A139" s="76" t="s">
        <v>63</v>
      </c>
      <c r="B139" s="24">
        <v>806</v>
      </c>
      <c r="C139" s="24" t="s">
        <v>57</v>
      </c>
      <c r="D139" s="2" t="s">
        <v>12</v>
      </c>
      <c r="E139" s="148">
        <v>209</v>
      </c>
      <c r="F139" s="148">
        <v>166</v>
      </c>
      <c r="G139" s="148">
        <v>5400</v>
      </c>
      <c r="H139" s="148" t="s">
        <v>36</v>
      </c>
      <c r="I139" s="148" t="s">
        <v>36</v>
      </c>
      <c r="J139" s="148" t="s">
        <v>36</v>
      </c>
      <c r="K139" s="148" t="s">
        <v>35</v>
      </c>
      <c r="M139" s="148" t="s">
        <v>35</v>
      </c>
      <c r="N139" s="148" t="s">
        <v>211</v>
      </c>
      <c r="Q139" s="158" t="s">
        <v>195</v>
      </c>
    </row>
    <row r="140" spans="1:17" x14ac:dyDescent="0.2">
      <c r="A140" s="76"/>
      <c r="B140" s="24"/>
      <c r="C140" s="24"/>
      <c r="D140" s="2" t="s">
        <v>13</v>
      </c>
      <c r="Q140" s="158"/>
    </row>
    <row r="141" spans="1:17" x14ac:dyDescent="0.2">
      <c r="A141" s="76" t="s">
        <v>64</v>
      </c>
      <c r="B141" s="24">
        <v>807</v>
      </c>
      <c r="C141" s="24" t="s">
        <v>57</v>
      </c>
      <c r="D141" s="2" t="s">
        <v>12</v>
      </c>
      <c r="E141" s="148">
        <v>1996</v>
      </c>
      <c r="F141" s="148">
        <v>1869</v>
      </c>
      <c r="G141" s="148">
        <v>5400</v>
      </c>
      <c r="H141" s="148" t="s">
        <v>36</v>
      </c>
      <c r="I141" s="148" t="s">
        <v>36</v>
      </c>
      <c r="J141" s="148" t="s">
        <v>36</v>
      </c>
      <c r="K141" s="148" t="s">
        <v>35</v>
      </c>
      <c r="M141" s="148" t="s">
        <v>35</v>
      </c>
      <c r="N141" s="148" t="s">
        <v>190</v>
      </c>
      <c r="Q141" s="158" t="s">
        <v>191</v>
      </c>
    </row>
    <row r="142" spans="1:17" x14ac:dyDescent="0.2">
      <c r="A142" s="76"/>
      <c r="B142" s="24"/>
      <c r="C142" s="24"/>
      <c r="D142" s="2" t="s">
        <v>13</v>
      </c>
      <c r="Q142" s="158"/>
    </row>
    <row r="143" spans="1:17" x14ac:dyDescent="0.2">
      <c r="A143" s="76" t="s">
        <v>65</v>
      </c>
      <c r="B143" s="24">
        <v>808</v>
      </c>
      <c r="C143" s="24" t="s">
        <v>57</v>
      </c>
      <c r="D143" s="2" t="s">
        <v>12</v>
      </c>
      <c r="E143" s="148">
        <v>2092</v>
      </c>
      <c r="F143" s="148">
        <v>1870</v>
      </c>
      <c r="G143" s="148">
        <v>5400</v>
      </c>
      <c r="H143" s="148" t="s">
        <v>36</v>
      </c>
      <c r="I143" s="148" t="s">
        <v>36</v>
      </c>
      <c r="J143" s="148" t="s">
        <v>36</v>
      </c>
      <c r="K143" s="148" t="s">
        <v>35</v>
      </c>
      <c r="M143" s="148" t="s">
        <v>36</v>
      </c>
      <c r="N143" s="148" t="s">
        <v>186</v>
      </c>
      <c r="Q143" s="158" t="s">
        <v>192</v>
      </c>
    </row>
    <row r="144" spans="1:17" x14ac:dyDescent="0.2">
      <c r="A144" s="76"/>
      <c r="B144" s="24"/>
      <c r="C144" s="24"/>
      <c r="D144" s="2" t="s">
        <v>13</v>
      </c>
      <c r="Q144" s="158"/>
    </row>
    <row r="145" spans="1:17" x14ac:dyDescent="0.2">
      <c r="A145" s="76"/>
      <c r="B145" s="24"/>
      <c r="C145" s="24"/>
      <c r="D145" s="2"/>
      <c r="Q145" s="158"/>
    </row>
    <row r="146" spans="1:17" x14ac:dyDescent="0.2">
      <c r="A146" s="76"/>
      <c r="B146" s="24"/>
      <c r="C146" s="24"/>
      <c r="D146" s="2"/>
      <c r="Q146" s="158"/>
    </row>
    <row r="147" spans="1:17" x14ac:dyDescent="0.2">
      <c r="A147" s="76"/>
      <c r="B147" s="24"/>
      <c r="C147" s="24"/>
      <c r="D147" s="2"/>
      <c r="Q147" s="158"/>
    </row>
    <row r="148" spans="1:17" x14ac:dyDescent="0.2">
      <c r="A148" s="76"/>
      <c r="B148" s="24"/>
      <c r="C148" s="24"/>
      <c r="D148" s="2"/>
      <c r="Q148" s="158"/>
    </row>
    <row r="149" spans="1:17" x14ac:dyDescent="0.2">
      <c r="A149" s="76"/>
      <c r="B149" s="24"/>
      <c r="C149" s="24"/>
      <c r="D149" s="2"/>
      <c r="Q149" s="158"/>
    </row>
    <row r="150" spans="1:17" x14ac:dyDescent="0.2">
      <c r="A150" s="76"/>
      <c r="B150" s="24"/>
      <c r="C150" s="24"/>
      <c r="D150" s="2"/>
      <c r="Q150" s="158"/>
    </row>
    <row r="151" spans="1:17" x14ac:dyDescent="0.2">
      <c r="A151" s="76"/>
      <c r="B151" s="24"/>
      <c r="C151" s="24"/>
      <c r="D151" s="2"/>
      <c r="Q151" s="158"/>
    </row>
    <row r="152" spans="1:17" x14ac:dyDescent="0.2">
      <c r="A152" s="76"/>
      <c r="B152" s="24"/>
      <c r="C152" s="24"/>
      <c r="D152" s="2"/>
      <c r="Q152" s="158"/>
    </row>
    <row r="153" spans="1:17" x14ac:dyDescent="0.2">
      <c r="A153" s="76"/>
      <c r="B153" s="24"/>
      <c r="C153" s="24"/>
      <c r="D153" s="2"/>
      <c r="Q153" s="158"/>
    </row>
    <row r="154" spans="1:17" x14ac:dyDescent="0.2">
      <c r="A154" s="76"/>
      <c r="B154" s="24"/>
      <c r="C154" s="24"/>
      <c r="D154" s="2"/>
      <c r="Q154" s="158"/>
    </row>
    <row r="155" spans="1:17" x14ac:dyDescent="0.2">
      <c r="A155" s="76"/>
      <c r="B155" s="24"/>
      <c r="C155" s="24"/>
      <c r="D155" s="2"/>
      <c r="Q155" s="158"/>
    </row>
    <row r="156" spans="1:17" x14ac:dyDescent="0.2">
      <c r="A156" s="76"/>
      <c r="B156" s="24"/>
      <c r="C156" s="24"/>
      <c r="D156" s="2"/>
      <c r="Q156" s="158"/>
    </row>
    <row r="157" spans="1:17" x14ac:dyDescent="0.2">
      <c r="A157" s="76"/>
      <c r="B157" s="24"/>
      <c r="C157" s="24"/>
      <c r="D157" s="2"/>
      <c r="Q157" s="158"/>
    </row>
    <row r="158" spans="1:17" x14ac:dyDescent="0.2">
      <c r="A158" s="76"/>
      <c r="B158" s="24"/>
      <c r="C158" s="24"/>
      <c r="D158" s="2"/>
      <c r="Q158" s="158"/>
    </row>
    <row r="159" spans="1:17" x14ac:dyDescent="0.2">
      <c r="A159" s="76"/>
      <c r="B159" s="24"/>
      <c r="C159" s="24"/>
      <c r="D159" s="2"/>
      <c r="Q159" s="158"/>
    </row>
    <row r="160" spans="1:17" x14ac:dyDescent="0.2">
      <c r="A160" s="76"/>
      <c r="B160" s="24"/>
      <c r="C160" s="24"/>
      <c r="D160" s="2"/>
      <c r="Q160" s="158"/>
    </row>
    <row r="161" spans="1:17" x14ac:dyDescent="0.2">
      <c r="A161" s="76"/>
      <c r="B161" s="24"/>
      <c r="C161" s="24"/>
      <c r="D161" s="2"/>
      <c r="Q161" s="158"/>
    </row>
    <row r="162" spans="1:17" x14ac:dyDescent="0.2">
      <c r="A162" s="76"/>
      <c r="B162" s="24"/>
      <c r="C162" s="24"/>
      <c r="D162" s="2"/>
      <c r="Q162" s="158"/>
    </row>
    <row r="163" spans="1:17" x14ac:dyDescent="0.2">
      <c r="A163" s="76"/>
      <c r="B163" s="143"/>
      <c r="C163" s="143"/>
      <c r="D163" s="144"/>
      <c r="Q163" s="158"/>
    </row>
    <row r="164" spans="1:17" x14ac:dyDescent="0.2">
      <c r="A164" s="76"/>
      <c r="B164" s="24"/>
      <c r="C164" s="24"/>
      <c r="D164" s="2"/>
      <c r="Q164" s="158"/>
    </row>
    <row r="165" spans="1:17" x14ac:dyDescent="0.2">
      <c r="A165" s="145"/>
      <c r="B165" s="24"/>
      <c r="C165" s="24"/>
      <c r="D165" s="2"/>
      <c r="Q165" s="158"/>
    </row>
    <row r="166" spans="1:17" x14ac:dyDescent="0.2">
      <c r="A166" s="76"/>
      <c r="B166" s="24"/>
      <c r="C166" s="24"/>
      <c r="D166" s="2"/>
      <c r="Q166" s="158"/>
    </row>
    <row r="167" spans="1:17" x14ac:dyDescent="0.2">
      <c r="A167" s="76"/>
      <c r="B167" s="24"/>
      <c r="C167" s="24"/>
      <c r="D167" s="2"/>
      <c r="Q167" s="158"/>
    </row>
    <row r="168" spans="1:17" x14ac:dyDescent="0.2">
      <c r="A168" s="76"/>
      <c r="B168" s="24"/>
      <c r="C168" s="24"/>
      <c r="D168" s="2"/>
      <c r="Q168" s="158"/>
    </row>
    <row r="169" spans="1:17" x14ac:dyDescent="0.2">
      <c r="A169" s="76"/>
      <c r="B169" s="24"/>
      <c r="C169" s="24"/>
      <c r="D169" s="2"/>
      <c r="Q169" s="158"/>
    </row>
    <row r="170" spans="1:17" x14ac:dyDescent="0.2">
      <c r="A170" s="76"/>
      <c r="B170" s="24"/>
      <c r="C170" s="24"/>
      <c r="D170" s="2"/>
      <c r="Q170" s="158"/>
    </row>
    <row r="171" spans="1:17" x14ac:dyDescent="0.2">
      <c r="A171" s="76"/>
      <c r="B171" s="24"/>
      <c r="C171" s="24"/>
      <c r="D171" s="2"/>
      <c r="Q171" s="158"/>
    </row>
    <row r="172" spans="1:17" x14ac:dyDescent="0.2">
      <c r="A172" s="76"/>
      <c r="B172" s="24"/>
      <c r="C172" s="24"/>
      <c r="D172" s="2"/>
      <c r="Q172" s="158"/>
    </row>
    <row r="173" spans="1:17" x14ac:dyDescent="0.2">
      <c r="A173" s="76"/>
      <c r="B173" s="24"/>
      <c r="C173" s="24"/>
      <c r="D173" s="2"/>
      <c r="Q173" s="158"/>
    </row>
    <row r="174" spans="1:17" x14ac:dyDescent="0.2">
      <c r="A174" s="76"/>
      <c r="B174" s="24"/>
      <c r="C174" s="24"/>
      <c r="D174" s="2"/>
      <c r="Q174" s="158"/>
    </row>
    <row r="175" spans="1:17" x14ac:dyDescent="0.2">
      <c r="A175" s="76"/>
      <c r="B175" s="24"/>
      <c r="C175" s="24"/>
      <c r="D175" s="2"/>
      <c r="Q175" s="158"/>
    </row>
    <row r="176" spans="1:17" x14ac:dyDescent="0.2">
      <c r="A176" s="76"/>
      <c r="B176" s="24"/>
      <c r="C176" s="24"/>
      <c r="D176" s="2"/>
      <c r="Q176" s="158"/>
    </row>
    <row r="177" spans="1:17" x14ac:dyDescent="0.2">
      <c r="A177" s="76"/>
      <c r="B177" s="24"/>
      <c r="C177" s="24"/>
      <c r="D177" s="2"/>
      <c r="Q177" s="158"/>
    </row>
    <row r="178" spans="1:17" x14ac:dyDescent="0.2">
      <c r="A178" s="76"/>
      <c r="B178" s="24"/>
      <c r="C178" s="24"/>
      <c r="D178" s="2"/>
      <c r="Q178" s="158"/>
    </row>
    <row r="179" spans="1:17" x14ac:dyDescent="0.2">
      <c r="A179" s="76"/>
      <c r="B179" s="24"/>
      <c r="C179" s="24"/>
      <c r="D179" s="2"/>
      <c r="Q179" s="158"/>
    </row>
    <row r="180" spans="1:17" x14ac:dyDescent="0.2">
      <c r="A180" s="76"/>
      <c r="B180" s="24"/>
      <c r="C180" s="24"/>
      <c r="D180" s="2"/>
      <c r="Q180" s="158"/>
    </row>
    <row r="181" spans="1:17" x14ac:dyDescent="0.2">
      <c r="A181" s="76"/>
      <c r="B181" s="24"/>
      <c r="C181" s="24"/>
      <c r="D181" s="2"/>
      <c r="Q181" s="158"/>
    </row>
    <row r="182" spans="1:17" x14ac:dyDescent="0.2">
      <c r="A182" s="76"/>
      <c r="B182" s="24"/>
      <c r="C182" s="24"/>
      <c r="D182" s="2"/>
      <c r="Q182" s="158"/>
    </row>
    <row r="183" spans="1:17" x14ac:dyDescent="0.2">
      <c r="A183" s="76"/>
      <c r="B183" s="24"/>
      <c r="C183" s="24"/>
      <c r="D183" s="2"/>
      <c r="Q183" s="158"/>
    </row>
    <row r="184" spans="1:17" x14ac:dyDescent="0.2">
      <c r="A184" s="76"/>
      <c r="B184" s="24"/>
      <c r="C184" s="24"/>
      <c r="D184" s="2"/>
      <c r="Q184" s="158"/>
    </row>
    <row r="185" spans="1:17" x14ac:dyDescent="0.2">
      <c r="A185" s="76"/>
      <c r="B185" s="24"/>
      <c r="C185" s="24"/>
      <c r="D185" s="2"/>
      <c r="Q185" s="158"/>
    </row>
    <row r="186" spans="1:17" x14ac:dyDescent="0.2">
      <c r="A186" s="76"/>
      <c r="B186" s="24"/>
      <c r="C186" s="24"/>
      <c r="D186" s="2"/>
      <c r="Q186" s="158"/>
    </row>
    <row r="187" spans="1:17" x14ac:dyDescent="0.2">
      <c r="A187" s="76"/>
      <c r="B187" s="24"/>
      <c r="C187" s="24"/>
      <c r="D187" s="2"/>
      <c r="Q187" s="158"/>
    </row>
    <row r="188" spans="1:17" x14ac:dyDescent="0.2">
      <c r="A188" s="76"/>
      <c r="B188" s="24"/>
      <c r="C188" s="24"/>
      <c r="D188" s="2"/>
      <c r="Q188" s="158"/>
    </row>
    <row r="189" spans="1:17" x14ac:dyDescent="0.2">
      <c r="A189" s="76"/>
      <c r="B189" s="24"/>
      <c r="C189" s="24"/>
      <c r="D189" s="2"/>
      <c r="Q189" s="158"/>
    </row>
    <row r="190" spans="1:17" x14ac:dyDescent="0.2">
      <c r="A190" s="76"/>
      <c r="B190" s="24"/>
      <c r="C190" s="24"/>
      <c r="D190" s="2"/>
      <c r="Q190" s="158"/>
    </row>
    <row r="191" spans="1:17" x14ac:dyDescent="0.2">
      <c r="A191" s="76"/>
      <c r="B191" s="24"/>
      <c r="C191" s="24"/>
      <c r="D191" s="2"/>
      <c r="Q191" s="158"/>
    </row>
    <row r="192" spans="1:17" x14ac:dyDescent="0.2">
      <c r="A192" s="76"/>
      <c r="B192" s="24"/>
      <c r="C192" s="24"/>
      <c r="D192" s="2"/>
      <c r="Q192" s="158"/>
    </row>
    <row r="193" spans="1:17" x14ac:dyDescent="0.2">
      <c r="A193" s="76"/>
      <c r="B193" s="24"/>
      <c r="C193" s="24"/>
      <c r="D193" s="2"/>
      <c r="Q193" s="158"/>
    </row>
    <row r="194" spans="1:17" x14ac:dyDescent="0.2">
      <c r="A194" s="76"/>
      <c r="B194" s="24"/>
      <c r="C194" s="24"/>
      <c r="D194" s="2"/>
      <c r="Q194" s="158"/>
    </row>
    <row r="195" spans="1:17" x14ac:dyDescent="0.2">
      <c r="A195" s="76"/>
      <c r="B195" s="24"/>
      <c r="C195" s="24"/>
      <c r="D195" s="2"/>
      <c r="Q195" s="158"/>
    </row>
    <row r="196" spans="1:17" x14ac:dyDescent="0.2">
      <c r="A196" s="76"/>
      <c r="B196" s="24"/>
      <c r="C196" s="24"/>
      <c r="D196" s="2"/>
      <c r="Q196" s="158"/>
    </row>
    <row r="197" spans="1:17" x14ac:dyDescent="0.2">
      <c r="A197" s="76"/>
      <c r="B197" s="24"/>
      <c r="C197" s="24"/>
      <c r="D197" s="2"/>
      <c r="Q197" s="158"/>
    </row>
    <row r="198" spans="1:17" x14ac:dyDescent="0.2">
      <c r="A198" s="76"/>
      <c r="B198" s="24"/>
      <c r="C198" s="24"/>
      <c r="D198" s="2"/>
      <c r="Q198" s="158"/>
    </row>
    <row r="199" spans="1:17" x14ac:dyDescent="0.2">
      <c r="A199" s="76"/>
      <c r="B199" s="24"/>
      <c r="C199" s="24"/>
      <c r="D199" s="2"/>
      <c r="Q199" s="158"/>
    </row>
    <row r="200" spans="1:17" x14ac:dyDescent="0.2">
      <c r="A200" s="76"/>
      <c r="B200" s="24"/>
      <c r="C200" s="24"/>
      <c r="D200" s="2"/>
      <c r="Q200" s="158"/>
    </row>
    <row r="201" spans="1:17" x14ac:dyDescent="0.2">
      <c r="A201" s="76"/>
      <c r="B201" s="24"/>
      <c r="C201" s="24"/>
      <c r="D201" s="2"/>
      <c r="Q201" s="158"/>
    </row>
    <row r="202" spans="1:17" x14ac:dyDescent="0.2">
      <c r="A202" s="76"/>
      <c r="B202" s="24"/>
      <c r="C202" s="24"/>
      <c r="D202" s="2"/>
      <c r="Q202" s="158"/>
    </row>
    <row r="203" spans="1:17" x14ac:dyDescent="0.2">
      <c r="A203" s="76"/>
      <c r="B203" s="24"/>
      <c r="C203" s="24"/>
      <c r="D203" s="2"/>
      <c r="Q203" s="158"/>
    </row>
    <row r="204" spans="1:17" x14ac:dyDescent="0.2">
      <c r="A204" s="76"/>
      <c r="B204" s="24"/>
      <c r="C204" s="24"/>
      <c r="D204" s="2"/>
      <c r="Q204" s="158"/>
    </row>
    <row r="205" spans="1:17" x14ac:dyDescent="0.2">
      <c r="A205" s="76"/>
      <c r="B205" s="24"/>
      <c r="C205" s="24"/>
      <c r="D205" s="2"/>
      <c r="Q205" s="158"/>
    </row>
    <row r="206" spans="1:17" x14ac:dyDescent="0.2">
      <c r="A206" s="76"/>
      <c r="B206" s="24"/>
      <c r="C206" s="24"/>
      <c r="D206" s="2"/>
      <c r="Q206" s="158"/>
    </row>
    <row r="207" spans="1:17" x14ac:dyDescent="0.2">
      <c r="A207" s="76"/>
      <c r="B207" s="24"/>
      <c r="C207" s="24"/>
      <c r="D207" s="2"/>
      <c r="Q207" s="158"/>
    </row>
    <row r="208" spans="1:17" x14ac:dyDescent="0.2">
      <c r="A208" s="76"/>
      <c r="B208" s="24"/>
      <c r="C208" s="24"/>
      <c r="D208" s="2"/>
      <c r="Q208" s="158"/>
    </row>
    <row r="209" spans="1:17" x14ac:dyDescent="0.2">
      <c r="A209" s="76"/>
      <c r="B209" s="24"/>
      <c r="C209" s="24"/>
      <c r="D209" s="2"/>
      <c r="Q209" s="158"/>
    </row>
    <row r="210" spans="1:17" x14ac:dyDescent="0.2">
      <c r="A210" s="76"/>
      <c r="B210" s="24"/>
      <c r="C210" s="24"/>
      <c r="D210" s="2"/>
      <c r="Q210" s="158"/>
    </row>
    <row r="211" spans="1:17" x14ac:dyDescent="0.2">
      <c r="A211" s="76"/>
      <c r="B211" s="24"/>
      <c r="C211" s="24"/>
      <c r="D211" s="2"/>
      <c r="Q211" s="158"/>
    </row>
    <row r="212" spans="1:17" x14ac:dyDescent="0.2">
      <c r="A212" s="76"/>
      <c r="B212" s="24"/>
      <c r="C212" s="24"/>
      <c r="D212" s="2"/>
      <c r="Q212" s="158"/>
    </row>
    <row r="213" spans="1:17" x14ac:dyDescent="0.2">
      <c r="A213" s="76"/>
      <c r="B213" s="24"/>
      <c r="C213" s="24"/>
      <c r="D213" s="2"/>
      <c r="Q213" s="158"/>
    </row>
    <row r="214" spans="1:17" x14ac:dyDescent="0.2">
      <c r="A214" s="76"/>
      <c r="B214" s="24"/>
      <c r="C214" s="24"/>
      <c r="D214" s="2"/>
      <c r="Q214" s="158"/>
    </row>
    <row r="215" spans="1:17" x14ac:dyDescent="0.2">
      <c r="A215" s="76"/>
      <c r="B215" s="24"/>
      <c r="C215" s="24"/>
      <c r="D215" s="2"/>
      <c r="Q215" s="158"/>
    </row>
    <row r="216" spans="1:17" x14ac:dyDescent="0.2">
      <c r="A216" s="76"/>
      <c r="B216" s="24"/>
      <c r="C216" s="24"/>
      <c r="D216" s="2"/>
      <c r="Q216" s="158"/>
    </row>
    <row r="217" spans="1:17" x14ac:dyDescent="0.2">
      <c r="A217" s="76"/>
      <c r="B217" s="24"/>
      <c r="C217" s="24"/>
      <c r="D217" s="2"/>
      <c r="Q217" s="158"/>
    </row>
    <row r="218" spans="1:17" x14ac:dyDescent="0.2">
      <c r="A218" s="76"/>
      <c r="B218" s="24"/>
      <c r="C218" s="24"/>
      <c r="D218" s="2"/>
      <c r="Q218" s="158"/>
    </row>
    <row r="219" spans="1:17" x14ac:dyDescent="0.2">
      <c r="A219" s="76"/>
      <c r="B219" s="24"/>
      <c r="C219" s="24"/>
      <c r="D219" s="2"/>
      <c r="Q219" s="158"/>
    </row>
    <row r="220" spans="1:17" x14ac:dyDescent="0.2">
      <c r="A220" s="76"/>
      <c r="B220" s="24"/>
      <c r="C220" s="24"/>
      <c r="D220" s="2"/>
      <c r="Q220" s="158"/>
    </row>
    <row r="221" spans="1:17" x14ac:dyDescent="0.2">
      <c r="A221" s="76"/>
      <c r="B221" s="24"/>
      <c r="C221" s="24"/>
      <c r="D221" s="2"/>
      <c r="Q221" s="158"/>
    </row>
    <row r="222" spans="1:17" x14ac:dyDescent="0.2">
      <c r="A222" s="76"/>
      <c r="B222" s="24"/>
      <c r="C222" s="24"/>
      <c r="D222" s="2"/>
      <c r="Q222" s="158"/>
    </row>
    <row r="223" spans="1:17" x14ac:dyDescent="0.2">
      <c r="A223" s="76"/>
      <c r="B223" s="24"/>
      <c r="C223" s="24"/>
      <c r="D223" s="2"/>
      <c r="Q223" s="158"/>
    </row>
    <row r="224" spans="1:17" x14ac:dyDescent="0.2">
      <c r="A224" s="76"/>
      <c r="B224" s="24"/>
      <c r="C224" s="24"/>
      <c r="D224" s="2"/>
      <c r="Q224" s="158"/>
    </row>
    <row r="225" spans="1:17" x14ac:dyDescent="0.2">
      <c r="A225" s="76"/>
      <c r="B225" s="24"/>
      <c r="C225" s="24"/>
      <c r="D225" s="2"/>
      <c r="Q225" s="158"/>
    </row>
    <row r="226" spans="1:17" x14ac:dyDescent="0.2">
      <c r="A226" s="76"/>
      <c r="B226" s="24"/>
      <c r="C226" s="24"/>
      <c r="D226" s="2"/>
      <c r="Q226" s="158"/>
    </row>
    <row r="227" spans="1:17" x14ac:dyDescent="0.2">
      <c r="A227" s="76"/>
      <c r="B227" s="24"/>
      <c r="C227" s="24"/>
      <c r="D227" s="2"/>
      <c r="Q227" s="158"/>
    </row>
    <row r="228" spans="1:17" x14ac:dyDescent="0.2">
      <c r="A228" s="76"/>
      <c r="B228" s="24"/>
      <c r="C228" s="24"/>
      <c r="D228" s="2"/>
      <c r="Q228" s="158"/>
    </row>
    <row r="229" spans="1:17" x14ac:dyDescent="0.2">
      <c r="A229" s="76"/>
      <c r="B229" s="24"/>
      <c r="C229" s="24"/>
      <c r="D229" s="2"/>
      <c r="Q229" s="158"/>
    </row>
    <row r="230" spans="1:17" x14ac:dyDescent="0.2">
      <c r="A230" s="76"/>
      <c r="B230" s="24"/>
      <c r="C230" s="24"/>
      <c r="D230" s="2"/>
      <c r="Q230" s="158"/>
    </row>
    <row r="231" spans="1:17" x14ac:dyDescent="0.2">
      <c r="A231" s="76"/>
      <c r="B231" s="24"/>
      <c r="C231" s="24"/>
      <c r="D231" s="2"/>
      <c r="Q231" s="158"/>
    </row>
    <row r="232" spans="1:17" x14ac:dyDescent="0.2">
      <c r="A232" s="76"/>
      <c r="B232" s="24"/>
      <c r="C232" s="24"/>
      <c r="D232" s="2"/>
      <c r="Q232" s="158"/>
    </row>
    <row r="233" spans="1:17" x14ac:dyDescent="0.2">
      <c r="A233" s="76"/>
      <c r="B233" s="24"/>
      <c r="C233" s="24"/>
      <c r="D233" s="2"/>
      <c r="Q233" s="158"/>
    </row>
    <row r="234" spans="1:17" x14ac:dyDescent="0.2">
      <c r="A234" s="76"/>
      <c r="B234" s="24"/>
      <c r="C234" s="24"/>
      <c r="D234" s="2"/>
      <c r="Q234" s="158"/>
    </row>
    <row r="235" spans="1:17" x14ac:dyDescent="0.2">
      <c r="A235" s="76"/>
      <c r="B235" s="24"/>
      <c r="C235" s="24"/>
      <c r="D235" s="2"/>
      <c r="Q235" s="158"/>
    </row>
    <row r="236" spans="1:17" x14ac:dyDescent="0.2">
      <c r="A236" s="76"/>
      <c r="B236" s="24"/>
      <c r="C236" s="24"/>
      <c r="D236" s="2"/>
      <c r="Q236" s="158"/>
    </row>
    <row r="237" spans="1:17" x14ac:dyDescent="0.2">
      <c r="A237" s="76"/>
      <c r="B237" s="24"/>
      <c r="C237" s="24"/>
      <c r="D237" s="2"/>
      <c r="Q237" s="158"/>
    </row>
    <row r="238" spans="1:17" x14ac:dyDescent="0.2">
      <c r="A238" s="76"/>
      <c r="B238" s="24"/>
      <c r="C238" s="24"/>
      <c r="D238" s="2"/>
      <c r="Q238" s="158"/>
    </row>
    <row r="239" spans="1:17" x14ac:dyDescent="0.2">
      <c r="A239" s="76"/>
      <c r="B239" s="24"/>
      <c r="C239" s="24"/>
      <c r="D239" s="2"/>
      <c r="Q239" s="158"/>
    </row>
    <row r="240" spans="1:17" x14ac:dyDescent="0.2">
      <c r="A240" s="76"/>
      <c r="B240" s="24"/>
      <c r="C240" s="24"/>
      <c r="D240" s="2"/>
      <c r="Q240" s="158"/>
    </row>
    <row r="241" spans="1:17" x14ac:dyDescent="0.2">
      <c r="A241" s="76"/>
      <c r="B241" s="24"/>
      <c r="C241" s="24"/>
      <c r="D241" s="2"/>
      <c r="Q241" s="158"/>
    </row>
    <row r="242" spans="1:17" x14ac:dyDescent="0.2">
      <c r="A242" s="76"/>
      <c r="B242" s="24"/>
      <c r="C242" s="24"/>
      <c r="D242" s="2"/>
      <c r="Q242" s="158"/>
    </row>
    <row r="243" spans="1:17" x14ac:dyDescent="0.2">
      <c r="A243" s="76"/>
      <c r="B243" s="24"/>
      <c r="C243" s="24"/>
      <c r="D243" s="2"/>
      <c r="Q243" s="158"/>
    </row>
    <row r="244" spans="1:17" x14ac:dyDescent="0.2">
      <c r="A244" s="76"/>
      <c r="B244" s="24"/>
      <c r="C244" s="24"/>
      <c r="D244" s="2"/>
      <c r="Q244" s="158"/>
    </row>
    <row r="245" spans="1:17" x14ac:dyDescent="0.2">
      <c r="A245" s="76"/>
      <c r="B245" s="24"/>
      <c r="C245" s="24"/>
      <c r="D245" s="2"/>
      <c r="Q245" s="158"/>
    </row>
    <row r="246" spans="1:17" x14ac:dyDescent="0.2">
      <c r="A246" s="76"/>
      <c r="B246" s="24"/>
      <c r="C246" s="24"/>
      <c r="D246" s="2"/>
      <c r="Q246" s="158"/>
    </row>
    <row r="247" spans="1:17" x14ac:dyDescent="0.2">
      <c r="A247" s="76"/>
      <c r="B247" s="24"/>
      <c r="C247" s="24"/>
      <c r="D247" s="2"/>
      <c r="Q247" s="158"/>
    </row>
    <row r="248" spans="1:17" x14ac:dyDescent="0.2">
      <c r="A248" s="76"/>
      <c r="B248" s="24"/>
      <c r="C248" s="24"/>
      <c r="D248" s="2"/>
      <c r="Q248" s="158"/>
    </row>
    <row r="249" spans="1:17" x14ac:dyDescent="0.2">
      <c r="A249" s="76"/>
      <c r="B249" s="24"/>
      <c r="C249" s="24"/>
      <c r="D249" s="2"/>
      <c r="Q249" s="158"/>
    </row>
    <row r="250" spans="1:17" x14ac:dyDescent="0.2">
      <c r="A250" s="76"/>
      <c r="B250" s="24"/>
      <c r="C250" s="24"/>
      <c r="D250" s="2"/>
      <c r="Q250" s="158"/>
    </row>
    <row r="251" spans="1:17" x14ac:dyDescent="0.2">
      <c r="A251" s="76"/>
      <c r="B251" s="24"/>
      <c r="C251" s="24"/>
      <c r="D251" s="2"/>
      <c r="Q251" s="158"/>
    </row>
    <row r="252" spans="1:17" x14ac:dyDescent="0.2">
      <c r="A252" s="76"/>
      <c r="B252" s="24"/>
      <c r="C252" s="24"/>
      <c r="D252" s="2"/>
      <c r="Q252" s="158"/>
    </row>
    <row r="253" spans="1:17" x14ac:dyDescent="0.2">
      <c r="A253" s="76"/>
      <c r="B253" s="24"/>
      <c r="C253" s="24"/>
      <c r="D253" s="2"/>
      <c r="Q253" s="158"/>
    </row>
    <row r="254" spans="1:17" x14ac:dyDescent="0.2">
      <c r="A254" s="76"/>
      <c r="B254" s="24"/>
      <c r="C254" s="24"/>
      <c r="D254" s="2"/>
      <c r="Q254" s="158"/>
    </row>
    <row r="255" spans="1:17" x14ac:dyDescent="0.2">
      <c r="A255" s="76"/>
      <c r="B255" s="24"/>
      <c r="C255" s="24"/>
      <c r="D255" s="2"/>
      <c r="Q255" s="158"/>
    </row>
    <row r="256" spans="1:17" x14ac:dyDescent="0.2">
      <c r="A256" s="76"/>
      <c r="B256" s="24"/>
      <c r="C256" s="24"/>
      <c r="D256" s="2"/>
      <c r="Q256" s="158"/>
    </row>
    <row r="257" spans="1:17" x14ac:dyDescent="0.2">
      <c r="A257" s="76"/>
      <c r="B257" s="24"/>
      <c r="C257" s="24"/>
      <c r="D257" s="2"/>
      <c r="Q257" s="158"/>
    </row>
    <row r="258" spans="1:17" x14ac:dyDescent="0.2">
      <c r="A258" s="76"/>
      <c r="B258" s="24"/>
      <c r="C258" s="24"/>
      <c r="D258" s="2"/>
      <c r="Q258" s="158"/>
    </row>
    <row r="259" spans="1:17" x14ac:dyDescent="0.2">
      <c r="A259" s="76"/>
      <c r="B259" s="24"/>
      <c r="C259" s="24"/>
      <c r="D259" s="2"/>
      <c r="Q259" s="158"/>
    </row>
    <row r="260" spans="1:17" x14ac:dyDescent="0.2">
      <c r="A260" s="76"/>
      <c r="B260" s="24"/>
      <c r="C260" s="24"/>
      <c r="D260" s="2"/>
      <c r="Q260" s="158"/>
    </row>
    <row r="261" spans="1:17" x14ac:dyDescent="0.2">
      <c r="A261" s="76"/>
      <c r="B261" s="24"/>
      <c r="C261" s="24"/>
      <c r="D261" s="2"/>
      <c r="Q261" s="158"/>
    </row>
    <row r="262" spans="1:17" x14ac:dyDescent="0.2">
      <c r="A262" s="76"/>
      <c r="B262" s="24"/>
      <c r="C262" s="24"/>
      <c r="D262" s="2"/>
      <c r="Q262" s="158"/>
    </row>
    <row r="263" spans="1:17" x14ac:dyDescent="0.2">
      <c r="A263" s="76"/>
      <c r="B263" s="24"/>
      <c r="C263" s="24"/>
      <c r="D263" s="2"/>
      <c r="Q263" s="158"/>
    </row>
    <row r="264" spans="1:17" x14ac:dyDescent="0.2">
      <c r="A264" s="76"/>
      <c r="B264" s="24"/>
      <c r="C264" s="24"/>
      <c r="D264" s="2"/>
      <c r="Q264" s="158"/>
    </row>
    <row r="265" spans="1:17" x14ac:dyDescent="0.2">
      <c r="A265" s="76"/>
      <c r="B265" s="24"/>
      <c r="C265" s="24"/>
      <c r="D265" s="2"/>
      <c r="Q265" s="158"/>
    </row>
    <row r="266" spans="1:17" x14ac:dyDescent="0.2">
      <c r="A266" s="76"/>
      <c r="B266" s="24"/>
      <c r="C266" s="24"/>
      <c r="D266" s="2"/>
      <c r="Q266" s="158"/>
    </row>
    <row r="267" spans="1:17" x14ac:dyDescent="0.2">
      <c r="A267" s="76"/>
      <c r="B267" s="24"/>
      <c r="C267" s="24"/>
      <c r="D267" s="2"/>
      <c r="Q267" s="158"/>
    </row>
    <row r="268" spans="1:17" x14ac:dyDescent="0.2">
      <c r="A268" s="76"/>
      <c r="B268" s="24"/>
      <c r="C268" s="24"/>
      <c r="D268" s="2"/>
      <c r="Q268" s="158"/>
    </row>
    <row r="269" spans="1:17" x14ac:dyDescent="0.2">
      <c r="A269" s="76"/>
      <c r="B269" s="24"/>
      <c r="C269" s="24"/>
      <c r="D269" s="2"/>
      <c r="Q269" s="158"/>
    </row>
    <row r="270" spans="1:17" x14ac:dyDescent="0.2">
      <c r="A270" s="76"/>
      <c r="B270" s="24"/>
      <c r="C270" s="24"/>
      <c r="D270" s="2"/>
      <c r="Q270" s="158"/>
    </row>
    <row r="271" spans="1:17" x14ac:dyDescent="0.2">
      <c r="A271" s="76"/>
      <c r="B271" s="24"/>
      <c r="C271" s="24"/>
      <c r="D271" s="2"/>
      <c r="Q271" s="158"/>
    </row>
    <row r="272" spans="1:17" x14ac:dyDescent="0.2">
      <c r="A272" s="76"/>
      <c r="B272" s="24"/>
      <c r="C272" s="24"/>
      <c r="D272" s="2"/>
      <c r="Q272" s="158"/>
    </row>
    <row r="273" spans="1:17" x14ac:dyDescent="0.2">
      <c r="A273" s="76"/>
      <c r="B273" s="24"/>
      <c r="C273" s="24"/>
      <c r="D273" s="2"/>
      <c r="Q273" s="158"/>
    </row>
    <row r="274" spans="1:17" x14ac:dyDescent="0.2">
      <c r="A274" s="76"/>
      <c r="B274" s="24"/>
      <c r="C274" s="24"/>
      <c r="D274" s="2"/>
      <c r="Q274" s="158"/>
    </row>
    <row r="275" spans="1:17" x14ac:dyDescent="0.2">
      <c r="A275" s="76"/>
      <c r="B275" s="24"/>
      <c r="C275" s="24"/>
      <c r="D275" s="2"/>
      <c r="Q275" s="158"/>
    </row>
    <row r="276" spans="1:17" x14ac:dyDescent="0.2">
      <c r="A276" s="76"/>
      <c r="B276" s="24"/>
      <c r="C276" s="24"/>
      <c r="D276" s="2"/>
      <c r="Q276" s="158"/>
    </row>
    <row r="277" spans="1:17" x14ac:dyDescent="0.2">
      <c r="A277" s="76"/>
      <c r="B277" s="24"/>
      <c r="C277" s="24"/>
      <c r="D277" s="2"/>
      <c r="Q277" s="158"/>
    </row>
    <row r="278" spans="1:17" x14ac:dyDescent="0.2">
      <c r="A278" s="76"/>
      <c r="B278" s="24"/>
      <c r="C278" s="24"/>
      <c r="D278" s="2"/>
      <c r="Q278" s="158"/>
    </row>
    <row r="279" spans="1:17" x14ac:dyDescent="0.2">
      <c r="A279" s="76"/>
      <c r="B279" s="24"/>
      <c r="C279" s="24"/>
      <c r="D279" s="2"/>
      <c r="Q279" s="158"/>
    </row>
    <row r="280" spans="1:17" x14ac:dyDescent="0.2">
      <c r="A280" s="76"/>
      <c r="B280" s="24"/>
      <c r="C280" s="24"/>
      <c r="D280" s="2"/>
      <c r="Q280" s="158"/>
    </row>
    <row r="281" spans="1:17" x14ac:dyDescent="0.2">
      <c r="A281" s="76"/>
      <c r="B281" s="24"/>
      <c r="C281" s="24"/>
      <c r="D281" s="2"/>
      <c r="Q281" s="158"/>
    </row>
    <row r="282" spans="1:17" x14ac:dyDescent="0.2">
      <c r="A282" s="76"/>
      <c r="B282" s="24"/>
      <c r="C282" s="24"/>
      <c r="D282" s="2"/>
      <c r="Q282" s="158"/>
    </row>
    <row r="283" spans="1:17" x14ac:dyDescent="0.2">
      <c r="A283" s="76"/>
      <c r="B283" s="24"/>
      <c r="C283" s="24"/>
      <c r="D283" s="2"/>
      <c r="Q283" s="158"/>
    </row>
    <row r="284" spans="1:17" x14ac:dyDescent="0.2">
      <c r="A284" s="76"/>
      <c r="B284" s="24"/>
      <c r="C284" s="24"/>
      <c r="D284" s="2"/>
      <c r="Q284" s="158"/>
    </row>
    <row r="285" spans="1:17" x14ac:dyDescent="0.2">
      <c r="A285" s="76"/>
      <c r="B285" s="24"/>
      <c r="C285" s="24"/>
      <c r="D285" s="2"/>
      <c r="Q285" s="158"/>
    </row>
    <row r="286" spans="1:17" x14ac:dyDescent="0.2">
      <c r="A286" s="76"/>
      <c r="B286" s="24"/>
      <c r="C286" s="24"/>
      <c r="D286" s="2"/>
      <c r="Q286" s="158"/>
    </row>
    <row r="287" spans="1:17" x14ac:dyDescent="0.2">
      <c r="A287" s="76"/>
      <c r="B287" s="24"/>
      <c r="C287" s="24"/>
      <c r="D287" s="2"/>
      <c r="Q287" s="158"/>
    </row>
    <row r="288" spans="1:17" x14ac:dyDescent="0.2">
      <c r="A288" s="76"/>
      <c r="B288" s="24"/>
      <c r="C288" s="24"/>
      <c r="D288" s="2"/>
      <c r="Q288" s="158"/>
    </row>
    <row r="289" spans="1:17" x14ac:dyDescent="0.2">
      <c r="A289" s="76"/>
      <c r="B289" s="24"/>
      <c r="C289" s="24"/>
      <c r="D289" s="2"/>
      <c r="Q289" s="158"/>
    </row>
    <row r="290" spans="1:17" x14ac:dyDescent="0.2">
      <c r="A290" s="76"/>
      <c r="B290" s="24"/>
      <c r="C290" s="24"/>
      <c r="D290" s="2"/>
      <c r="Q290" s="158"/>
    </row>
    <row r="291" spans="1:17" x14ac:dyDescent="0.2">
      <c r="A291" s="76"/>
      <c r="B291" s="24"/>
      <c r="C291" s="24"/>
      <c r="D291" s="2"/>
      <c r="Q291" s="158"/>
    </row>
    <row r="292" spans="1:17" x14ac:dyDescent="0.2">
      <c r="A292" s="76"/>
      <c r="B292" s="24"/>
      <c r="C292" s="24"/>
      <c r="D292" s="2"/>
      <c r="Q292" s="158"/>
    </row>
    <row r="293" spans="1:17" x14ac:dyDescent="0.2">
      <c r="A293" s="76"/>
      <c r="B293" s="24"/>
      <c r="C293" s="24"/>
      <c r="D293" s="2"/>
    </row>
    <row r="294" spans="1:17" x14ac:dyDescent="0.2">
      <c r="A294" s="76"/>
      <c r="B294" s="24"/>
      <c r="C294" s="24"/>
      <c r="D294" s="2"/>
    </row>
    <row r="295" spans="1:17" x14ac:dyDescent="0.2">
      <c r="A295" s="76"/>
      <c r="B295" s="24"/>
      <c r="C295" s="24"/>
      <c r="D295" s="2"/>
    </row>
    <row r="296" spans="1:17" x14ac:dyDescent="0.2">
      <c r="A296" s="76"/>
      <c r="B296" s="24"/>
      <c r="C296" s="24"/>
      <c r="D296" s="2"/>
    </row>
    <row r="297" spans="1:17" x14ac:dyDescent="0.2">
      <c r="A297" s="76"/>
      <c r="B297" s="24"/>
      <c r="C297" s="24"/>
      <c r="D297" s="2"/>
    </row>
    <row r="298" spans="1:17" x14ac:dyDescent="0.2">
      <c r="A298" s="76"/>
      <c r="B298" s="24"/>
      <c r="C298" s="24"/>
      <c r="D298" s="2"/>
    </row>
    <row r="299" spans="1:17" x14ac:dyDescent="0.2">
      <c r="A299" s="76"/>
      <c r="B299" s="24"/>
      <c r="C299" s="24"/>
      <c r="D299" s="2"/>
    </row>
    <row r="300" spans="1:17" x14ac:dyDescent="0.2">
      <c r="A300" s="76"/>
      <c r="B300" s="24"/>
      <c r="C300" s="24"/>
      <c r="D300" s="2"/>
    </row>
    <row r="301" spans="1:17" x14ac:dyDescent="0.2">
      <c r="A301" s="76"/>
      <c r="B301" s="24"/>
      <c r="C301" s="24"/>
      <c r="D301" s="2"/>
    </row>
    <row r="302" spans="1:17" x14ac:dyDescent="0.2">
      <c r="A302" s="76"/>
      <c r="B302" s="24"/>
      <c r="C302" s="24"/>
      <c r="D302" s="2"/>
    </row>
    <row r="303" spans="1:17" x14ac:dyDescent="0.2">
      <c r="A303" s="76"/>
      <c r="B303" s="24"/>
      <c r="C303" s="24"/>
      <c r="D303" s="2"/>
    </row>
    <row r="304" spans="1:17" x14ac:dyDescent="0.2">
      <c r="A304" s="76"/>
      <c r="B304" s="24"/>
      <c r="C304" s="24"/>
      <c r="D304" s="2"/>
    </row>
    <row r="305" spans="1:4" x14ac:dyDescent="0.2">
      <c r="A305" s="76"/>
      <c r="B305" s="24"/>
      <c r="C305" s="24"/>
      <c r="D305" s="2"/>
    </row>
    <row r="306" spans="1:4" x14ac:dyDescent="0.2">
      <c r="A306" s="76"/>
      <c r="B306" s="24"/>
      <c r="C306" s="24"/>
      <c r="D306" s="2"/>
    </row>
    <row r="307" spans="1:4" x14ac:dyDescent="0.2">
      <c r="A307" s="76"/>
      <c r="B307" s="24"/>
      <c r="C307" s="24"/>
      <c r="D307" s="2"/>
    </row>
    <row r="308" spans="1:4" x14ac:dyDescent="0.2">
      <c r="A308" s="76"/>
      <c r="B308" s="24"/>
      <c r="C308" s="24"/>
      <c r="D308" s="2"/>
    </row>
    <row r="309" spans="1:4" x14ac:dyDescent="0.2">
      <c r="A309" s="76"/>
      <c r="B309" s="24"/>
      <c r="C309" s="24"/>
      <c r="D309" s="2"/>
    </row>
    <row r="310" spans="1:4" x14ac:dyDescent="0.2">
      <c r="A310" s="76"/>
      <c r="B310" s="24"/>
      <c r="C310" s="24"/>
      <c r="D310" s="2"/>
    </row>
    <row r="311" spans="1:4" x14ac:dyDescent="0.2">
      <c r="A311" s="76"/>
      <c r="B311" s="24"/>
      <c r="C311" s="24"/>
      <c r="D311" s="2"/>
    </row>
    <row r="312" spans="1:4" x14ac:dyDescent="0.2">
      <c r="A312" s="76"/>
      <c r="B312" s="24"/>
      <c r="C312" s="24"/>
      <c r="D312" s="2"/>
    </row>
    <row r="313" spans="1:4" x14ac:dyDescent="0.2">
      <c r="A313" s="76"/>
      <c r="B313" s="24"/>
      <c r="C313" s="24"/>
      <c r="D313" s="2"/>
    </row>
    <row r="314" spans="1:4" x14ac:dyDescent="0.2">
      <c r="A314" s="76"/>
      <c r="B314" s="24"/>
      <c r="C314" s="24"/>
      <c r="D314" s="2"/>
    </row>
    <row r="315" spans="1:4" x14ac:dyDescent="0.2">
      <c r="A315" s="76"/>
      <c r="B315" s="24"/>
      <c r="C315" s="24"/>
      <c r="D315" s="2"/>
    </row>
    <row r="316" spans="1:4" x14ac:dyDescent="0.2">
      <c r="A316" s="76"/>
      <c r="B316" s="24"/>
      <c r="C316" s="24"/>
      <c r="D316" s="2"/>
    </row>
    <row r="317" spans="1:4" x14ac:dyDescent="0.2">
      <c r="A317" s="76"/>
      <c r="B317" s="24"/>
      <c r="C317" s="24"/>
      <c r="D317" s="2"/>
    </row>
    <row r="318" spans="1:4" x14ac:dyDescent="0.2">
      <c r="A318" s="76"/>
      <c r="B318" s="24"/>
      <c r="C318" s="24"/>
      <c r="D318" s="2"/>
    </row>
    <row r="319" spans="1:4" x14ac:dyDescent="0.2">
      <c r="A319" s="76"/>
      <c r="D319" s="147"/>
    </row>
    <row r="320" spans="1:4" x14ac:dyDescent="0.2">
      <c r="A320" s="76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2011 Moisture</vt:lpstr>
      <vt:lpstr>2011 Defoliation Approval</vt:lpstr>
      <vt:lpstr>Female Before Male Approval</vt:lpstr>
      <vt:lpstr>Field Evaluation</vt:lpstr>
      <vt:lpstr>'2011 Moisture'!Print_Area</vt:lpstr>
      <vt:lpstr>'2011 Moisture'!Print_Titles</vt:lpstr>
    </vt:vector>
  </TitlesOfParts>
  <Company>Pioneer, A DuPont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boedekkryl</dc:creator>
  <cp:lastModifiedBy>FE</cp:lastModifiedBy>
  <cp:lastPrinted>2011-11-17T20:49:20Z</cp:lastPrinted>
  <dcterms:created xsi:type="dcterms:W3CDTF">2009-08-25T02:24:05Z</dcterms:created>
  <dcterms:modified xsi:type="dcterms:W3CDTF">2014-12-04T14:09:53Z</dcterms:modified>
</cp:coreProperties>
</file>