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ter Claiborne\Desktop\website\NC-State-Page\football\"/>
    </mc:Choice>
  </mc:AlternateContent>
  <xr:revisionPtr revIDLastSave="0" documentId="13_ncr:1_{73C0FA7F-4B8A-4E67-8ECC-4F15047FB4AE}" xr6:coauthVersionLast="45" xr6:coauthVersionMax="45" xr10:uidLastSave="{00000000-0000-0000-0000-000000000000}"/>
  <bookViews>
    <workbookView xWindow="-108" yWindow="-108" windowWidth="23256" windowHeight="12576" xr2:uid="{6575D958-A7CC-49B0-A0F9-78296E846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0" i="1" l="1"/>
  <c r="Q10" i="1"/>
  <c r="O10" i="1"/>
  <c r="G9" i="1"/>
  <c r="E15" i="1"/>
  <c r="T34" i="1"/>
  <c r="T30" i="1"/>
  <c r="V30" i="1" s="1"/>
  <c r="T32" i="1"/>
  <c r="V32" i="1" s="1"/>
  <c r="T37" i="1"/>
  <c r="T35" i="1"/>
  <c r="V35" i="1" s="1"/>
  <c r="T36" i="1"/>
  <c r="T38" i="1"/>
  <c r="V38" i="1" s="1"/>
  <c r="I15" i="1"/>
  <c r="G15" i="1"/>
  <c r="I22" i="1"/>
  <c r="G22" i="1"/>
  <c r="E22" i="1"/>
  <c r="I21" i="1"/>
  <c r="G21" i="1"/>
  <c r="E21" i="1"/>
  <c r="I20" i="1"/>
  <c r="G20" i="1"/>
  <c r="E20" i="1"/>
  <c r="R24" i="1"/>
  <c r="P24" i="1"/>
  <c r="N24" i="1"/>
  <c r="I24" i="1"/>
  <c r="G24" i="1"/>
  <c r="E24" i="1"/>
  <c r="R23" i="1"/>
  <c r="P23" i="1"/>
  <c r="N23" i="1"/>
  <c r="I23" i="1"/>
  <c r="G23" i="1"/>
  <c r="E23" i="1"/>
  <c r="R17" i="1"/>
  <c r="P17" i="1"/>
  <c r="N17" i="1"/>
  <c r="I17" i="1"/>
  <c r="G17" i="1"/>
  <c r="E17" i="1"/>
  <c r="R18" i="1"/>
  <c r="P18" i="1"/>
  <c r="N18" i="1"/>
  <c r="I18" i="1"/>
  <c r="G18" i="1"/>
  <c r="E18" i="1"/>
  <c r="R16" i="1"/>
  <c r="P16" i="1"/>
  <c r="N16" i="1"/>
  <c r="I16" i="1"/>
  <c r="G16" i="1"/>
  <c r="E16" i="1"/>
  <c r="R19" i="1"/>
  <c r="P19" i="1"/>
  <c r="N19" i="1"/>
  <c r="I19" i="1"/>
  <c r="G19" i="1"/>
  <c r="E19" i="1"/>
  <c r="R13" i="1"/>
  <c r="P13" i="1"/>
  <c r="N13" i="1"/>
  <c r="I13" i="1"/>
  <c r="G13" i="1"/>
  <c r="E13" i="1"/>
  <c r="R14" i="1"/>
  <c r="P14" i="1"/>
  <c r="N14" i="1"/>
  <c r="I14" i="1"/>
  <c r="G14" i="1"/>
  <c r="E14" i="1"/>
  <c r="R12" i="1"/>
  <c r="P12" i="1"/>
  <c r="N12" i="1"/>
  <c r="I12" i="1"/>
  <c r="G12" i="1"/>
  <c r="E12" i="1"/>
  <c r="R10" i="1"/>
  <c r="P10" i="1"/>
  <c r="N10" i="1"/>
  <c r="I10" i="1"/>
  <c r="G10" i="1"/>
  <c r="E10" i="1"/>
  <c r="R11" i="1"/>
  <c r="P11" i="1"/>
  <c r="N11" i="1"/>
  <c r="I11" i="1"/>
  <c r="G11" i="1"/>
  <c r="E11" i="1"/>
  <c r="T31" i="1"/>
  <c r="V31" i="1" s="1"/>
  <c r="T33" i="1"/>
  <c r="V33" i="1" s="1"/>
  <c r="P9" i="1"/>
  <c r="N9" i="1"/>
  <c r="E9" i="1"/>
  <c r="R9" i="1"/>
  <c r="I9" i="1"/>
  <c r="R7" i="1"/>
  <c r="P7" i="1"/>
  <c r="N7" i="1"/>
  <c r="I7" i="1"/>
  <c r="G7" i="1"/>
  <c r="E7" i="1"/>
  <c r="R5" i="1"/>
  <c r="P5" i="1"/>
  <c r="N5" i="1"/>
  <c r="I5" i="1"/>
  <c r="G5" i="1"/>
  <c r="E5" i="1"/>
  <c r="P6" i="1"/>
  <c r="N6" i="1"/>
  <c r="G6" i="1"/>
  <c r="E6" i="1"/>
  <c r="P8" i="1"/>
  <c r="N8" i="1"/>
  <c r="G8" i="1"/>
  <c r="E8" i="1"/>
  <c r="R3" i="1"/>
  <c r="P3" i="1"/>
  <c r="N3" i="1"/>
  <c r="I3" i="1"/>
  <c r="G3" i="1"/>
  <c r="E3" i="1"/>
  <c r="P4" i="1"/>
  <c r="N4" i="1"/>
  <c r="R4" i="1"/>
  <c r="R2" i="1"/>
  <c r="P2" i="1"/>
  <c r="N2" i="1"/>
  <c r="G4" i="1"/>
  <c r="K31" i="1"/>
  <c r="M31" i="1" s="1"/>
  <c r="K33" i="1"/>
  <c r="M33" i="1" s="1"/>
  <c r="K34" i="1"/>
  <c r="M34" i="1" s="1"/>
  <c r="K27" i="1"/>
  <c r="M27" i="1" s="1"/>
  <c r="K25" i="1"/>
  <c r="M25" i="1" s="1"/>
  <c r="K26" i="1"/>
  <c r="M26" i="1" s="1"/>
  <c r="K30" i="1"/>
  <c r="M30" i="1" s="1"/>
  <c r="K32" i="1"/>
  <c r="M32" i="1" s="1"/>
  <c r="K29" i="1"/>
  <c r="M29" i="1" s="1"/>
  <c r="K28" i="1"/>
  <c r="M28" i="1" s="1"/>
  <c r="K37" i="1"/>
  <c r="M37" i="1" s="1"/>
  <c r="K35" i="1"/>
  <c r="M35" i="1" s="1"/>
  <c r="K36" i="1"/>
  <c r="M36" i="1" s="1"/>
  <c r="K38" i="1"/>
  <c r="M38" i="1" s="1"/>
  <c r="E4" i="1"/>
  <c r="I2" i="1"/>
  <c r="G2" i="1"/>
  <c r="E2" i="1"/>
  <c r="V36" i="1" l="1"/>
  <c r="V37" i="1"/>
  <c r="V34" i="1"/>
  <c r="K4" i="1"/>
  <c r="K2" i="1"/>
  <c r="K15" i="1"/>
  <c r="K22" i="1"/>
  <c r="K21" i="1"/>
  <c r="K20" i="1"/>
  <c r="T24" i="1"/>
  <c r="K24" i="1"/>
  <c r="T23" i="1"/>
  <c r="K23" i="1"/>
  <c r="T17" i="1"/>
  <c r="K17" i="1"/>
  <c r="T18" i="1"/>
  <c r="K18" i="1"/>
  <c r="T16" i="1"/>
  <c r="K16" i="1"/>
  <c r="T19" i="1"/>
  <c r="K19" i="1"/>
  <c r="K13" i="1"/>
  <c r="T13" i="1"/>
  <c r="T14" i="1"/>
  <c r="K14" i="1"/>
  <c r="T12" i="1"/>
  <c r="K12" i="1"/>
  <c r="T10" i="1"/>
  <c r="U10" i="1" s="1"/>
  <c r="K10" i="1"/>
  <c r="T11" i="1"/>
  <c r="K11" i="1"/>
  <c r="K9" i="1"/>
  <c r="T9" i="1"/>
  <c r="T7" i="1"/>
  <c r="K7" i="1"/>
  <c r="T5" i="1"/>
  <c r="K5" i="1"/>
  <c r="T6" i="1"/>
  <c r="K6" i="1"/>
  <c r="T8" i="1"/>
  <c r="K8" i="1"/>
  <c r="T3" i="1"/>
  <c r="K3" i="1"/>
  <c r="T4" i="1"/>
  <c r="T2" i="1"/>
  <c r="D15" i="1"/>
  <c r="D28" i="1"/>
  <c r="D29" i="1"/>
  <c r="D22" i="1"/>
  <c r="D32" i="1"/>
  <c r="U32" i="1" s="1"/>
  <c r="D30" i="1"/>
  <c r="D21" i="1"/>
  <c r="D26" i="1"/>
  <c r="D25" i="1"/>
  <c r="D27" i="1"/>
  <c r="B38" i="1"/>
  <c r="D38" i="1"/>
  <c r="U38" i="1" s="1"/>
  <c r="D20" i="1"/>
  <c r="D10" i="1"/>
  <c r="D24" i="1"/>
  <c r="D36" i="1"/>
  <c r="L36" i="1" s="1"/>
  <c r="D34" i="1"/>
  <c r="D12" i="1"/>
  <c r="D33" i="1"/>
  <c r="U33" i="1" s="1"/>
  <c r="D11" i="1"/>
  <c r="D35" i="1"/>
  <c r="U35" i="1" s="1"/>
  <c r="D37" i="1"/>
  <c r="U37" i="1" s="1"/>
  <c r="D17" i="1"/>
  <c r="D18" i="1"/>
  <c r="D7" i="1"/>
  <c r="D3" i="1"/>
  <c r="D23" i="1"/>
  <c r="D2" i="1"/>
  <c r="D31" i="1"/>
  <c r="D13" i="1"/>
  <c r="D14" i="1"/>
  <c r="D16" i="1"/>
  <c r="D19" i="1"/>
  <c r="D5" i="1"/>
  <c r="D6" i="1"/>
  <c r="D8" i="1"/>
  <c r="D9" i="1"/>
  <c r="H9" i="1" s="1"/>
  <c r="D4" i="1"/>
  <c r="F3" i="1" l="1"/>
  <c r="O3" i="1"/>
  <c r="S3" i="1"/>
  <c r="J3" i="1"/>
  <c r="Q3" i="1"/>
  <c r="H3" i="1"/>
  <c r="Q7" i="1"/>
  <c r="H7" i="1"/>
  <c r="S7" i="1"/>
  <c r="J7" i="1"/>
  <c r="F7" i="1"/>
  <c r="O7" i="1"/>
  <c r="L25" i="1"/>
  <c r="F25" i="1"/>
  <c r="J25" i="1"/>
  <c r="H25" i="1"/>
  <c r="V6" i="1"/>
  <c r="U6" i="1"/>
  <c r="Q36" i="1"/>
  <c r="F36" i="1"/>
  <c r="J36" i="1"/>
  <c r="H36" i="1"/>
  <c r="O36" i="1"/>
  <c r="S36" i="1"/>
  <c r="L26" i="1"/>
  <c r="F26" i="1"/>
  <c r="J26" i="1"/>
  <c r="H26" i="1"/>
  <c r="V2" i="1"/>
  <c r="U2" i="1"/>
  <c r="F12" i="1"/>
  <c r="O12" i="1"/>
  <c r="S12" i="1"/>
  <c r="J12" i="1"/>
  <c r="H12" i="1"/>
  <c r="Q12" i="1"/>
  <c r="Q19" i="1"/>
  <c r="H19" i="1"/>
  <c r="F19" i="1"/>
  <c r="O19" i="1"/>
  <c r="S19" i="1"/>
  <c r="J19" i="1"/>
  <c r="L34" i="1"/>
  <c r="O34" i="1"/>
  <c r="S34" i="1"/>
  <c r="J34" i="1"/>
  <c r="H34" i="1"/>
  <c r="F34" i="1"/>
  <c r="Q34" i="1"/>
  <c r="V11" i="1"/>
  <c r="U11" i="1"/>
  <c r="V17" i="1"/>
  <c r="U17" i="1"/>
  <c r="H16" i="1"/>
  <c r="Q16" i="1"/>
  <c r="O16" i="1"/>
  <c r="S16" i="1"/>
  <c r="J16" i="1"/>
  <c r="F16" i="1"/>
  <c r="O18" i="1"/>
  <c r="S18" i="1"/>
  <c r="J18" i="1"/>
  <c r="H18" i="1"/>
  <c r="Q18" i="1"/>
  <c r="F18" i="1"/>
  <c r="Q14" i="1"/>
  <c r="F14" i="1"/>
  <c r="H14" i="1"/>
  <c r="O14" i="1"/>
  <c r="S14" i="1"/>
  <c r="J14" i="1"/>
  <c r="F17" i="1"/>
  <c r="O17" i="1"/>
  <c r="S17" i="1"/>
  <c r="J17" i="1"/>
  <c r="H17" i="1"/>
  <c r="Q17" i="1"/>
  <c r="F24" i="1"/>
  <c r="O24" i="1"/>
  <c r="S24" i="1"/>
  <c r="J24" i="1"/>
  <c r="Q24" i="1"/>
  <c r="H24" i="1"/>
  <c r="H21" i="1"/>
  <c r="F21" i="1"/>
  <c r="J21" i="1"/>
  <c r="V4" i="1"/>
  <c r="U4" i="1"/>
  <c r="V5" i="1"/>
  <c r="U5" i="1"/>
  <c r="V10" i="1"/>
  <c r="V19" i="1"/>
  <c r="U19" i="1"/>
  <c r="V23" i="1"/>
  <c r="U23" i="1"/>
  <c r="L28" i="1"/>
  <c r="J28" i="1"/>
  <c r="H28" i="1"/>
  <c r="F28" i="1"/>
  <c r="H13" i="1"/>
  <c r="Q13" i="1"/>
  <c r="F13" i="1"/>
  <c r="O13" i="1"/>
  <c r="S13" i="1"/>
  <c r="J13" i="1"/>
  <c r="F10" i="1"/>
  <c r="J10" i="1"/>
  <c r="H10" i="1"/>
  <c r="O9" i="1"/>
  <c r="S9" i="1"/>
  <c r="J9" i="1"/>
  <c r="F9" i="1"/>
  <c r="Q9" i="1"/>
  <c r="L31" i="1"/>
  <c r="H31" i="1"/>
  <c r="O31" i="1"/>
  <c r="S31" i="1"/>
  <c r="J31" i="1"/>
  <c r="Q31" i="1"/>
  <c r="F31" i="1"/>
  <c r="U31" i="1"/>
  <c r="L35" i="1"/>
  <c r="F35" i="1"/>
  <c r="J35" i="1"/>
  <c r="Q35" i="1"/>
  <c r="H35" i="1"/>
  <c r="O35" i="1"/>
  <c r="S35" i="1"/>
  <c r="F20" i="1"/>
  <c r="J20" i="1"/>
  <c r="H20" i="1"/>
  <c r="L32" i="1"/>
  <c r="H32" i="1"/>
  <c r="O32" i="1"/>
  <c r="S32" i="1"/>
  <c r="F32" i="1"/>
  <c r="Q32" i="1"/>
  <c r="J32" i="1"/>
  <c r="V3" i="1"/>
  <c r="U3" i="1"/>
  <c r="V7" i="1"/>
  <c r="U7" i="1"/>
  <c r="V12" i="1"/>
  <c r="U12" i="1"/>
  <c r="V16" i="1"/>
  <c r="U16" i="1"/>
  <c r="V24" i="1"/>
  <c r="U24" i="1"/>
  <c r="Q5" i="1"/>
  <c r="H5" i="1"/>
  <c r="F5" i="1"/>
  <c r="O5" i="1"/>
  <c r="S5" i="1"/>
  <c r="J5" i="1"/>
  <c r="V13" i="1"/>
  <c r="U13" i="1"/>
  <c r="L37" i="1"/>
  <c r="Q37" i="1"/>
  <c r="J37" i="1"/>
  <c r="H37" i="1"/>
  <c r="O37" i="1"/>
  <c r="S37" i="1"/>
  <c r="F37" i="1"/>
  <c r="Q8" i="1"/>
  <c r="H8" i="1"/>
  <c r="F8" i="1"/>
  <c r="O8" i="1"/>
  <c r="S8" i="1"/>
  <c r="J8" i="1"/>
  <c r="Q2" i="1"/>
  <c r="H2" i="1"/>
  <c r="O2" i="1"/>
  <c r="S2" i="1"/>
  <c r="F2" i="1"/>
  <c r="J2" i="1"/>
  <c r="O11" i="1"/>
  <c r="S11" i="1"/>
  <c r="J11" i="1"/>
  <c r="H11" i="1"/>
  <c r="Q11" i="1"/>
  <c r="F11" i="1"/>
  <c r="L38" i="1"/>
  <c r="O38" i="1"/>
  <c r="S38" i="1"/>
  <c r="F38" i="1"/>
  <c r="Q38" i="1"/>
  <c r="J38" i="1"/>
  <c r="H38" i="1"/>
  <c r="H22" i="1"/>
  <c r="F22" i="1"/>
  <c r="J22" i="1"/>
  <c r="V9" i="1"/>
  <c r="U9" i="1"/>
  <c r="U34" i="1"/>
  <c r="L27" i="1"/>
  <c r="F27" i="1"/>
  <c r="J27" i="1"/>
  <c r="H27" i="1"/>
  <c r="F4" i="1"/>
  <c r="S4" i="1"/>
  <c r="J4" i="1"/>
  <c r="O4" i="1"/>
  <c r="Q4" i="1"/>
  <c r="H4" i="1"/>
  <c r="L30" i="1"/>
  <c r="H30" i="1"/>
  <c r="O30" i="1"/>
  <c r="S30" i="1"/>
  <c r="F30" i="1"/>
  <c r="J30" i="1"/>
  <c r="Q30" i="1"/>
  <c r="Q6" i="1"/>
  <c r="H6" i="1"/>
  <c r="F6" i="1"/>
  <c r="O6" i="1"/>
  <c r="S6" i="1"/>
  <c r="J6" i="1"/>
  <c r="F23" i="1"/>
  <c r="O23" i="1"/>
  <c r="S23" i="1"/>
  <c r="J23" i="1"/>
  <c r="H23" i="1"/>
  <c r="Q23" i="1"/>
  <c r="L33" i="1"/>
  <c r="J33" i="1"/>
  <c r="O33" i="1"/>
  <c r="S33" i="1"/>
  <c r="H33" i="1"/>
  <c r="Q33" i="1"/>
  <c r="F33" i="1"/>
  <c r="L29" i="1"/>
  <c r="H29" i="1"/>
  <c r="F29" i="1"/>
  <c r="J29" i="1"/>
  <c r="V8" i="1"/>
  <c r="U8" i="1"/>
  <c r="V14" i="1"/>
  <c r="U14" i="1"/>
  <c r="V18" i="1"/>
  <c r="U18" i="1"/>
  <c r="U30" i="1"/>
  <c r="U36" i="1"/>
  <c r="F15" i="1"/>
  <c r="H15" i="1"/>
  <c r="J15" i="1"/>
  <c r="L2" i="1"/>
  <c r="M15" i="1"/>
  <c r="L15" i="1"/>
  <c r="M5" i="1"/>
  <c r="L5" i="1"/>
  <c r="M19" i="1"/>
  <c r="L19" i="1"/>
  <c r="M3" i="1"/>
  <c r="L3" i="1"/>
  <c r="M7" i="1"/>
  <c r="L7" i="1"/>
  <c r="M12" i="1"/>
  <c r="L12" i="1"/>
  <c r="M16" i="1"/>
  <c r="L16" i="1"/>
  <c r="M24" i="1"/>
  <c r="L24" i="1"/>
  <c r="M4" i="1"/>
  <c r="L4" i="1"/>
  <c r="M10" i="1"/>
  <c r="L10" i="1"/>
  <c r="M8" i="1"/>
  <c r="L8" i="1"/>
  <c r="M14" i="1"/>
  <c r="L14" i="1"/>
  <c r="M18" i="1"/>
  <c r="L18" i="1"/>
  <c r="M20" i="1"/>
  <c r="L20" i="1"/>
  <c r="M13" i="1"/>
  <c r="L13" i="1"/>
  <c r="M23" i="1"/>
  <c r="L23" i="1"/>
  <c r="M9" i="1"/>
  <c r="L9" i="1"/>
  <c r="M21" i="1"/>
  <c r="L21" i="1"/>
  <c r="M2" i="1"/>
  <c r="M6" i="1"/>
  <c r="L6" i="1"/>
  <c r="M11" i="1"/>
  <c r="L11" i="1"/>
  <c r="M17" i="1"/>
  <c r="L17" i="1"/>
  <c r="M22" i="1"/>
  <c r="L22" i="1"/>
</calcChain>
</file>

<file path=xl/sharedStrings.xml><?xml version="1.0" encoding="utf-8"?>
<sst xmlns="http://schemas.openxmlformats.org/spreadsheetml/2006/main" count="113" uniqueCount="60">
  <si>
    <t>Dave Doeren</t>
  </si>
  <si>
    <t>COACH</t>
  </si>
  <si>
    <t>STARTED</t>
  </si>
  <si>
    <t>LEFT</t>
  </si>
  <si>
    <t>Tom O'Brien</t>
  </si>
  <si>
    <t>Chuck Amato</t>
  </si>
  <si>
    <t>Mike O'Cain</t>
  </si>
  <si>
    <t>Dick Sheridan</t>
  </si>
  <si>
    <t>Tom Reed</t>
  </si>
  <si>
    <t>Monte Kiffin</t>
  </si>
  <si>
    <t>Bo Rein</t>
  </si>
  <si>
    <t>Lou Holtz</t>
  </si>
  <si>
    <t>Al Michaels</t>
  </si>
  <si>
    <t>Earle Edwards</t>
  </si>
  <si>
    <t>Horace Hendrickson</t>
  </si>
  <si>
    <t>Beattie Feathers</t>
  </si>
  <si>
    <t>Doc Newton</t>
  </si>
  <si>
    <t>Hunk Anderson</t>
  </si>
  <si>
    <t>Clipper Smith</t>
  </si>
  <si>
    <t>John Van Liew</t>
  </si>
  <si>
    <t>Ray "Doc" Sermon</t>
  </si>
  <si>
    <t>Gus Tebell</t>
  </si>
  <si>
    <t>Buck Shaw</t>
  </si>
  <si>
    <t>Tal Stafford</t>
  </si>
  <si>
    <t>Britt Patterson</t>
  </si>
  <si>
    <t>Jack Hegarty</t>
  </si>
  <si>
    <t>Eddie Green</t>
  </si>
  <si>
    <t>Mickey Whitehurst</t>
  </si>
  <si>
    <t>Dana Bible</t>
  </si>
  <si>
    <t>Willie Heston</t>
  </si>
  <si>
    <t>George Whitney</t>
  </si>
  <si>
    <t>Willis Kienholz</t>
  </si>
  <si>
    <t>Arthur Devlin</t>
  </si>
  <si>
    <t>James McRae</t>
  </si>
  <si>
    <t>Joel Whitaker</t>
  </si>
  <si>
    <t>John McKee</t>
  </si>
  <si>
    <t>George Stephens</t>
  </si>
  <si>
    <t>Bart Gatling</t>
  </si>
  <si>
    <t>Wins</t>
  </si>
  <si>
    <t>Loss</t>
  </si>
  <si>
    <t>Ties</t>
  </si>
  <si>
    <t>Harry Hartsell (mid 1916-17, 1921-23)</t>
  </si>
  <si>
    <t>Games Played</t>
  </si>
  <si>
    <t>Win %</t>
  </si>
  <si>
    <t>Conf Wins</t>
  </si>
  <si>
    <t>Conf Loss</t>
  </si>
  <si>
    <t>Conf Ties</t>
  </si>
  <si>
    <t>Conf Win %</t>
  </si>
  <si>
    <t>Conf GP</t>
  </si>
  <si>
    <t>N/A</t>
  </si>
  <si>
    <t>SEASONS</t>
  </si>
  <si>
    <t>Games/Season</t>
  </si>
  <si>
    <t>Wins/Season</t>
  </si>
  <si>
    <t>Loss/Season</t>
  </si>
  <si>
    <t>Ties/Season</t>
  </si>
  <si>
    <t>Conf GP/Season</t>
  </si>
  <si>
    <t>CW/Season</t>
  </si>
  <si>
    <t>CL/Season</t>
  </si>
  <si>
    <t>CT/Season</t>
  </si>
  <si>
    <t>Perrin Busbee (1893-94, 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</si>
</sst>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ACC6A-BCA5-4788-AD9A-179E096865AA}">
  <dimension ref="A1:W3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defaultRowHeight="14.4" x14ac:dyDescent="0.3"/>
  <cols>
    <col min="1" max="1" width="31.88671875" bestFit="1" customWidth="1"/>
    <col min="3" max="3" width="9" customWidth="1"/>
    <col min="6" max="6" width="12" bestFit="1" customWidth="1"/>
    <col min="8" max="8" width="11.44140625" bestFit="1" customWidth="1"/>
    <col min="10" max="10" width="11.109375" bestFit="1" customWidth="1"/>
    <col min="11" max="11" width="12.77734375" bestFit="1" customWidth="1"/>
    <col min="12" max="12" width="13.6640625" bestFit="1" customWidth="1"/>
    <col min="14" max="14" width="9.5546875" bestFit="1" customWidth="1"/>
    <col min="15" max="15" width="10.77734375" bestFit="1" customWidth="1"/>
    <col min="17" max="17" width="9.88671875" bestFit="1" customWidth="1"/>
    <col min="19" max="19" width="10" bestFit="1" customWidth="1"/>
    <col min="20" max="20" width="10.6640625" bestFit="1" customWidth="1"/>
    <col min="21" max="21" width="14.77734375" bestFit="1" customWidth="1"/>
  </cols>
  <sheetData>
    <row r="1" spans="1:23" s="1" customFormat="1" x14ac:dyDescent="0.3">
      <c r="A1" s="1" t="s">
        <v>1</v>
      </c>
      <c r="B1" s="1" t="s">
        <v>2</v>
      </c>
      <c r="C1" s="1" t="s">
        <v>3</v>
      </c>
      <c r="D1" s="1" t="s">
        <v>50</v>
      </c>
      <c r="E1" s="1" t="s">
        <v>38</v>
      </c>
      <c r="F1" s="1" t="s">
        <v>52</v>
      </c>
      <c r="G1" s="1" t="s">
        <v>39</v>
      </c>
      <c r="H1" s="1" t="s">
        <v>53</v>
      </c>
      <c r="I1" s="1" t="s">
        <v>40</v>
      </c>
      <c r="J1" s="1" t="s">
        <v>54</v>
      </c>
      <c r="K1" s="1" t="s">
        <v>42</v>
      </c>
      <c r="L1" s="1" t="s">
        <v>51</v>
      </c>
      <c r="M1" s="1" t="s">
        <v>43</v>
      </c>
      <c r="N1" s="1" t="s">
        <v>44</v>
      </c>
      <c r="O1" s="1" t="s">
        <v>56</v>
      </c>
      <c r="P1" s="1" t="s">
        <v>45</v>
      </c>
      <c r="Q1" s="1" t="s">
        <v>57</v>
      </c>
      <c r="R1" s="1" t="s">
        <v>46</v>
      </c>
      <c r="S1" s="1" t="s">
        <v>58</v>
      </c>
      <c r="T1" s="1" t="s">
        <v>48</v>
      </c>
      <c r="U1" s="1" t="s">
        <v>55</v>
      </c>
      <c r="V1" s="1" t="s">
        <v>47</v>
      </c>
    </row>
    <row r="2" spans="1:23" x14ac:dyDescent="0.3">
      <c r="A2" t="s">
        <v>13</v>
      </c>
      <c r="B2">
        <v>1954</v>
      </c>
      <c r="C2">
        <v>1970</v>
      </c>
      <c r="D2">
        <f>C2-B2+1</f>
        <v>17</v>
      </c>
      <c r="E2">
        <f>2+4+3+7+2+1+6+4+3+8+5+6+5+9+6+3+3</f>
        <v>77</v>
      </c>
      <c r="F2">
        <f>E2/D2</f>
        <v>4.5294117647058822</v>
      </c>
      <c r="G2">
        <f>8+5+7+1+7+9+3+6+6+3+5+4+5+2+4+6+7</f>
        <v>88</v>
      </c>
      <c r="H2">
        <f>G2/D2</f>
        <v>5.1764705882352944</v>
      </c>
      <c r="I2">
        <f>0+1+0+2+1+0+1+0+1+0+0+0+0+0+0+1+1</f>
        <v>8</v>
      </c>
      <c r="J2">
        <f>I2/D2</f>
        <v>0.47058823529411764</v>
      </c>
      <c r="K2">
        <f>E2+G2+I2</f>
        <v>173</v>
      </c>
      <c r="L2">
        <f>K2/D2</f>
        <v>10.176470588235293</v>
      </c>
      <c r="M2">
        <f>(E2+0.5*I2)/K2</f>
        <v>0.46820809248554912</v>
      </c>
      <c r="N2">
        <f>0+0+2+5+2+0+4+3+3+6+5+4+5+5+6+3+2</f>
        <v>55</v>
      </c>
      <c r="O2">
        <f>N2/D2</f>
        <v>3.2352941176470589</v>
      </c>
      <c r="P2">
        <f>0+2+4+0+5+6+1+4+4+1+2+3+2+1+1+2+3</f>
        <v>41</v>
      </c>
      <c r="Q2">
        <f>P2/D2</f>
        <v>2.4117647058823528</v>
      </c>
      <c r="R2">
        <f>0+1+0+1+0+1+0+0+0+0+0+0+0+0+1+1</f>
        <v>5</v>
      </c>
      <c r="S2">
        <f>R2/D2</f>
        <v>0.29411764705882354</v>
      </c>
      <c r="T2">
        <f>N2+P2+R2</f>
        <v>101</v>
      </c>
      <c r="U2">
        <f>T2/D2</f>
        <v>5.9411764705882355</v>
      </c>
      <c r="V2">
        <f>(N2+0.5*R2)/T2</f>
        <v>0.56930693069306926</v>
      </c>
    </row>
    <row r="3" spans="1:23" x14ac:dyDescent="0.3">
      <c r="A3" t="s">
        <v>15</v>
      </c>
      <c r="B3">
        <v>1944</v>
      </c>
      <c r="C3">
        <v>1951</v>
      </c>
      <c r="D3">
        <f>C3-B3+1</f>
        <v>8</v>
      </c>
      <c r="E3">
        <f>7+3+8+5+3+3+5</f>
        <v>34</v>
      </c>
      <c r="F3">
        <f>E3/D3</f>
        <v>4.25</v>
      </c>
      <c r="G3">
        <f>2+6+3+3+6+7+4</f>
        <v>31</v>
      </c>
      <c r="H3">
        <f>G3/D3</f>
        <v>3.875</v>
      </c>
      <c r="I3">
        <f>0+0+0+1+1+0+1</f>
        <v>3</v>
      </c>
      <c r="J3">
        <f>I3/D3</f>
        <v>0.375</v>
      </c>
      <c r="K3">
        <f>E3+G3+I3</f>
        <v>68</v>
      </c>
      <c r="L3">
        <f>K3/D3</f>
        <v>8.5</v>
      </c>
      <c r="M3">
        <f>(E3+0.5*I3)/K3</f>
        <v>0.5220588235294118</v>
      </c>
      <c r="N3">
        <f>3+2+6+3+1+3+4</f>
        <v>22</v>
      </c>
      <c r="O3">
        <f>N3/D3</f>
        <v>2.75</v>
      </c>
      <c r="P3">
        <f>2+4+1+2+4+6+4</f>
        <v>23</v>
      </c>
      <c r="Q3">
        <f>P3/D3</f>
        <v>2.875</v>
      </c>
      <c r="R3">
        <f>0+0+0+1+1+0+1</f>
        <v>3</v>
      </c>
      <c r="S3">
        <f>R3/D3</f>
        <v>0.375</v>
      </c>
      <c r="T3">
        <f>N3+P3+R3</f>
        <v>48</v>
      </c>
      <c r="U3">
        <f>T3/D3</f>
        <v>6</v>
      </c>
      <c r="V3">
        <f>(N3+0.5*R3)/T3</f>
        <v>0.48958333333333331</v>
      </c>
    </row>
    <row r="4" spans="1:23" x14ac:dyDescent="0.3">
      <c r="A4" s="5" t="s">
        <v>0</v>
      </c>
      <c r="B4">
        <v>2013</v>
      </c>
      <c r="C4">
        <v>2020</v>
      </c>
      <c r="D4">
        <f>C4-B4+1</f>
        <v>8</v>
      </c>
      <c r="E4">
        <f>3+8+7+7+9+9+4+5</f>
        <v>52</v>
      </c>
      <c r="F4">
        <f>E4/D4</f>
        <v>6.5</v>
      </c>
      <c r="G4">
        <f>9+5+6+6+4+4+8+3</f>
        <v>45</v>
      </c>
      <c r="H4">
        <f>G4/D4</f>
        <v>5.625</v>
      </c>
      <c r="I4">
        <v>0</v>
      </c>
      <c r="J4">
        <f>I4/D4</f>
        <v>0</v>
      </c>
      <c r="K4">
        <f>E4+G4+I4</f>
        <v>97</v>
      </c>
      <c r="L4">
        <f>K4/D4</f>
        <v>12.125</v>
      </c>
      <c r="M4">
        <f>(E4+0.5*I4)/K4</f>
        <v>0.53608247422680411</v>
      </c>
      <c r="N4">
        <f>0+3+3+3+6+5+1</f>
        <v>21</v>
      </c>
      <c r="O4">
        <f>N4/D4</f>
        <v>2.625</v>
      </c>
      <c r="P4">
        <f>8+5+5+5+2+3+7</f>
        <v>35</v>
      </c>
      <c r="Q4">
        <f>P4/D4</f>
        <v>4.375</v>
      </c>
      <c r="R4">
        <f>0</f>
        <v>0</v>
      </c>
      <c r="S4">
        <f>R4/D4</f>
        <v>0</v>
      </c>
      <c r="T4">
        <f>N4+P4+R4</f>
        <v>56</v>
      </c>
      <c r="U4">
        <f>T4/D4</f>
        <v>7</v>
      </c>
      <c r="V4">
        <f>(N4+0.5*R4)/T4</f>
        <v>0.375</v>
      </c>
    </row>
    <row r="5" spans="1:23" x14ac:dyDescent="0.3">
      <c r="A5" t="s">
        <v>7</v>
      </c>
      <c r="B5">
        <v>1986</v>
      </c>
      <c r="C5">
        <v>1992</v>
      </c>
      <c r="D5">
        <f>C5-B5+1</f>
        <v>7</v>
      </c>
      <c r="E5">
        <f>8+4+8+7+7+9+9</f>
        <v>52</v>
      </c>
      <c r="F5">
        <f>E5/D5</f>
        <v>7.4285714285714288</v>
      </c>
      <c r="G5">
        <f>3+7+3+5+5+3+3</f>
        <v>29</v>
      </c>
      <c r="H5">
        <f>G5/D5</f>
        <v>4.1428571428571432</v>
      </c>
      <c r="I5">
        <f>1+0+1+0+0+0+1</f>
        <v>3</v>
      </c>
      <c r="J5">
        <f>I5/D5</f>
        <v>0.42857142857142855</v>
      </c>
      <c r="K5">
        <f>E5+G5+I5</f>
        <v>84</v>
      </c>
      <c r="L5">
        <f>K5/D5</f>
        <v>12</v>
      </c>
      <c r="M5">
        <f>(E5+0.5*I5)/K5</f>
        <v>0.63690476190476186</v>
      </c>
      <c r="N5">
        <f>5+4+4+4+3+5+6</f>
        <v>31</v>
      </c>
      <c r="O5">
        <f>N5/D5</f>
        <v>4.4285714285714288</v>
      </c>
      <c r="P5">
        <f>2+3+2+3+4+2+2</f>
        <v>18</v>
      </c>
      <c r="Q5">
        <f>P5/D5</f>
        <v>2.5714285714285716</v>
      </c>
      <c r="R5">
        <f>0+0+1+0+0+0+0</f>
        <v>1</v>
      </c>
      <c r="S5">
        <f>R5/D5</f>
        <v>0.14285714285714285</v>
      </c>
      <c r="T5">
        <f>N5+P5+R5</f>
        <v>50</v>
      </c>
      <c r="U5">
        <f>T5/D5</f>
        <v>7.1428571428571432</v>
      </c>
      <c r="V5">
        <f>(N5+0.5*R5)/T5</f>
        <v>0.63</v>
      </c>
    </row>
    <row r="6" spans="1:23" x14ac:dyDescent="0.3">
      <c r="A6" t="s">
        <v>6</v>
      </c>
      <c r="B6">
        <v>1993</v>
      </c>
      <c r="C6">
        <v>1999</v>
      </c>
      <c r="D6">
        <f>C6-B6+1</f>
        <v>7</v>
      </c>
      <c r="E6">
        <f>7+9+3+3+6+7+6</f>
        <v>41</v>
      </c>
      <c r="F6">
        <f>E6/D6</f>
        <v>5.8571428571428568</v>
      </c>
      <c r="G6">
        <f>5+3+8+8+5+5+6</f>
        <v>40</v>
      </c>
      <c r="H6">
        <f>G6/D6</f>
        <v>5.7142857142857144</v>
      </c>
      <c r="I6">
        <v>0</v>
      </c>
      <c r="J6">
        <f>I6/D6</f>
        <v>0</v>
      </c>
      <c r="K6">
        <f>E6+G6+I6</f>
        <v>81</v>
      </c>
      <c r="L6">
        <f>K6/D6</f>
        <v>11.571428571428571</v>
      </c>
      <c r="M6">
        <f>(E6+0.5*I6)/K6</f>
        <v>0.50617283950617287</v>
      </c>
      <c r="N6">
        <f>4+6+2+3+3+5+3</f>
        <v>26</v>
      </c>
      <c r="O6">
        <f>N6/D6</f>
        <v>3.7142857142857144</v>
      </c>
      <c r="P6">
        <f>4+2+6+5+5+3+5</f>
        <v>30</v>
      </c>
      <c r="Q6">
        <f>P6/D6</f>
        <v>4.2857142857142856</v>
      </c>
      <c r="R6">
        <v>0</v>
      </c>
      <c r="S6">
        <f>R6/D6</f>
        <v>0</v>
      </c>
      <c r="T6">
        <f>N6+P6+R6</f>
        <v>56</v>
      </c>
      <c r="U6">
        <f>T6/D6</f>
        <v>8</v>
      </c>
      <c r="V6">
        <f>(N6+0.5*R6)/T6</f>
        <v>0.4642857142857143</v>
      </c>
    </row>
    <row r="7" spans="1:23" x14ac:dyDescent="0.3">
      <c r="A7" t="s">
        <v>16</v>
      </c>
      <c r="B7">
        <v>1937</v>
      </c>
      <c r="C7">
        <v>1943</v>
      </c>
      <c r="D7">
        <f>C7-B7+1</f>
        <v>7</v>
      </c>
      <c r="E7">
        <f>5+3+2+3+4+4+3</f>
        <v>24</v>
      </c>
      <c r="F7">
        <f>E7/D7</f>
        <v>3.4285714285714284</v>
      </c>
      <c r="G7">
        <f>3+7+8+6+5+4+6</f>
        <v>39</v>
      </c>
      <c r="H7">
        <f>G7/D7</f>
        <v>5.5714285714285712</v>
      </c>
      <c r="I7">
        <f>1+1+0+0+2+2+0</f>
        <v>6</v>
      </c>
      <c r="J7">
        <f>I7/D7</f>
        <v>0.8571428571428571</v>
      </c>
      <c r="K7">
        <f>E7+G7+I7</f>
        <v>69</v>
      </c>
      <c r="L7">
        <f>K7/D7</f>
        <v>9.8571428571428577</v>
      </c>
      <c r="M7">
        <f>(E7+0.5*I7)/K7</f>
        <v>0.39130434782608697</v>
      </c>
      <c r="N7">
        <f>4+3+2+3+3+3+0</f>
        <v>18</v>
      </c>
      <c r="O7">
        <f>N7/D7</f>
        <v>2.5714285714285716</v>
      </c>
      <c r="P7">
        <f>2+3+4+5+4+1+4</f>
        <v>23</v>
      </c>
      <c r="Q7">
        <f>P7/D7</f>
        <v>3.2857142857142856</v>
      </c>
      <c r="R7">
        <f>1+1+0+0+2+2+0</f>
        <v>6</v>
      </c>
      <c r="S7">
        <f>R7/D7</f>
        <v>0.8571428571428571</v>
      </c>
      <c r="T7">
        <f>N7+P7+R7</f>
        <v>47</v>
      </c>
      <c r="U7">
        <f>T7/D7</f>
        <v>6.7142857142857144</v>
      </c>
      <c r="V7">
        <f>(N7+0.5*R7)/T7</f>
        <v>0.44680851063829785</v>
      </c>
    </row>
    <row r="8" spans="1:23" x14ac:dyDescent="0.3">
      <c r="A8" t="s">
        <v>5</v>
      </c>
      <c r="B8">
        <v>2000</v>
      </c>
      <c r="C8">
        <v>2006</v>
      </c>
      <c r="D8">
        <f>C8-B8+1</f>
        <v>7</v>
      </c>
      <c r="E8">
        <f>8+7+11+8+5+7+3</f>
        <v>49</v>
      </c>
      <c r="F8">
        <f>E8/D8</f>
        <v>7</v>
      </c>
      <c r="G8">
        <f>4+5+3+5+6+5+9</f>
        <v>37</v>
      </c>
      <c r="H8">
        <f>G8/D8</f>
        <v>5.2857142857142856</v>
      </c>
      <c r="I8">
        <v>0</v>
      </c>
      <c r="J8">
        <f>I8/D8</f>
        <v>0</v>
      </c>
      <c r="K8">
        <f>E8+G8+I8</f>
        <v>86</v>
      </c>
      <c r="L8">
        <f>K8/D8</f>
        <v>12.285714285714286</v>
      </c>
      <c r="M8">
        <f>(E8+0.5*I8)/K8</f>
        <v>0.56976744186046513</v>
      </c>
      <c r="N8">
        <f>4+4+5+4+3+3+2</f>
        <v>25</v>
      </c>
      <c r="O8">
        <f>N8/D8</f>
        <v>3.5714285714285716</v>
      </c>
      <c r="P8">
        <f>4+4+3+4+5+5+6</f>
        <v>31</v>
      </c>
      <c r="Q8">
        <f>P8/D8</f>
        <v>4.4285714285714288</v>
      </c>
      <c r="R8">
        <v>0</v>
      </c>
      <c r="S8">
        <f>R8/D8</f>
        <v>0</v>
      </c>
      <c r="T8">
        <f>N8+P8+R8</f>
        <v>56</v>
      </c>
      <c r="U8">
        <f>T8/D8</f>
        <v>8</v>
      </c>
      <c r="V8">
        <f>(N8+0.5*R8)/T8</f>
        <v>0.44642857142857145</v>
      </c>
    </row>
    <row r="9" spans="1:23" x14ac:dyDescent="0.3">
      <c r="A9" t="s">
        <v>4</v>
      </c>
      <c r="B9">
        <v>2007</v>
      </c>
      <c r="C9">
        <v>2012</v>
      </c>
      <c r="D9">
        <f>C9-B9+1</f>
        <v>6</v>
      </c>
      <c r="E9">
        <f>5+6+5+9+8+7</f>
        <v>40</v>
      </c>
      <c r="F9">
        <f>E9/D9</f>
        <v>6.666666666666667</v>
      </c>
      <c r="G9">
        <f>7+7+7+4+5+5</f>
        <v>35</v>
      </c>
      <c r="H9">
        <f>G9/D9</f>
        <v>5.833333333333333</v>
      </c>
      <c r="I9">
        <f>0</f>
        <v>0</v>
      </c>
      <c r="J9">
        <f>I9/D9</f>
        <v>0</v>
      </c>
      <c r="K9">
        <f>E9+G9+I9</f>
        <v>75</v>
      </c>
      <c r="L9">
        <f>K9/D9</f>
        <v>12.5</v>
      </c>
      <c r="M9">
        <f>(E9+0.5*I9)/K9</f>
        <v>0.53333333333333333</v>
      </c>
      <c r="N9">
        <f>3+4+2+5+4+4</f>
        <v>22</v>
      </c>
      <c r="O9">
        <f>N9/D9</f>
        <v>3.6666666666666665</v>
      </c>
      <c r="P9">
        <f>5+4+6+3+4+4</f>
        <v>26</v>
      </c>
      <c r="Q9">
        <f>P9/D9</f>
        <v>4.333333333333333</v>
      </c>
      <c r="R9">
        <f>0</f>
        <v>0</v>
      </c>
      <c r="S9">
        <f>R9/D9</f>
        <v>0</v>
      </c>
      <c r="T9">
        <f>N9+P9+R9</f>
        <v>48</v>
      </c>
      <c r="U9">
        <f>T9/D9</f>
        <v>8</v>
      </c>
      <c r="V9">
        <f>(N9+0.5*R9)/T9</f>
        <v>0.45833333333333331</v>
      </c>
    </row>
    <row r="10" spans="1:23" x14ac:dyDescent="0.3">
      <c r="A10" t="s">
        <v>26</v>
      </c>
      <c r="B10">
        <v>1909</v>
      </c>
      <c r="C10">
        <v>1913</v>
      </c>
      <c r="D10">
        <f>C10-B10+1</f>
        <v>5</v>
      </c>
      <c r="E10">
        <f>6+4+5+4+6</f>
        <v>25</v>
      </c>
      <c r="F10">
        <f>E10/D10</f>
        <v>5</v>
      </c>
      <c r="G10">
        <f>1+0+3+3+1</f>
        <v>8</v>
      </c>
      <c r="H10">
        <f>G10/D10</f>
        <v>1.6</v>
      </c>
      <c r="I10">
        <f>0+2+0+0+0</f>
        <v>2</v>
      </c>
      <c r="J10">
        <f>I10/D10</f>
        <v>0.4</v>
      </c>
      <c r="K10">
        <f>E10+G10+I10</f>
        <v>35</v>
      </c>
      <c r="L10">
        <f>K10/D10</f>
        <v>7</v>
      </c>
      <c r="M10">
        <f>(E10+0.5*I10)/K10</f>
        <v>0.74285714285714288</v>
      </c>
      <c r="N10">
        <f>0+2</f>
        <v>2</v>
      </c>
      <c r="O10">
        <f>N10/2</f>
        <v>1</v>
      </c>
      <c r="P10">
        <f>2+0</f>
        <v>2</v>
      </c>
      <c r="Q10">
        <f>P10/2</f>
        <v>1</v>
      </c>
      <c r="R10">
        <f>0+0</f>
        <v>0</v>
      </c>
      <c r="S10">
        <f>R10/2</f>
        <v>0</v>
      </c>
      <c r="T10">
        <f>N10+P10+R10</f>
        <v>4</v>
      </c>
      <c r="U10">
        <f>T10/2</f>
        <v>2</v>
      </c>
      <c r="V10">
        <f>(N10+0.5*R10)/T10</f>
        <v>0.5</v>
      </c>
    </row>
    <row r="11" spans="1:23" x14ac:dyDescent="0.3">
      <c r="A11" t="s">
        <v>21</v>
      </c>
      <c r="B11">
        <v>1925</v>
      </c>
      <c r="C11">
        <v>1929</v>
      </c>
      <c r="D11">
        <f>C11-B11+1</f>
        <v>5</v>
      </c>
      <c r="E11">
        <f>3+0+9+4+1</f>
        <v>17</v>
      </c>
      <c r="F11">
        <f>E11/D11</f>
        <v>3.4</v>
      </c>
      <c r="G11">
        <f>5+6+1+5+8</f>
        <v>25</v>
      </c>
      <c r="H11">
        <f>G11/D11</f>
        <v>5</v>
      </c>
      <c r="I11">
        <f>1+0+0+1+0</f>
        <v>2</v>
      </c>
      <c r="J11">
        <f>I11/D11</f>
        <v>0.4</v>
      </c>
      <c r="K11">
        <f>E11+G11+I11</f>
        <v>44</v>
      </c>
      <c r="L11">
        <f>K11/D11</f>
        <v>8.8000000000000007</v>
      </c>
      <c r="M11">
        <f>(E11+0.5*I11)/K11</f>
        <v>0.40909090909090912</v>
      </c>
      <c r="N11">
        <f>0+0+4+1+0</f>
        <v>5</v>
      </c>
      <c r="O11">
        <f>N11/D11</f>
        <v>1</v>
      </c>
      <c r="P11">
        <f>4+4+0+4+5</f>
        <v>17</v>
      </c>
      <c r="Q11">
        <f>P11/D11</f>
        <v>3.4</v>
      </c>
      <c r="R11">
        <f>1+0+0+1+0</f>
        <v>2</v>
      </c>
      <c r="S11">
        <f>R11/D11</f>
        <v>0.4</v>
      </c>
      <c r="T11">
        <f>N11+P11+R11</f>
        <v>24</v>
      </c>
      <c r="U11">
        <f>T11/D11</f>
        <v>4.8</v>
      </c>
      <c r="V11">
        <f>(N11+0.5*R11)/T11</f>
        <v>0.25</v>
      </c>
      <c r="W11" s="3"/>
    </row>
    <row r="12" spans="1:23" x14ac:dyDescent="0.3">
      <c r="A12" t="s">
        <v>41</v>
      </c>
      <c r="B12">
        <v>0.5</v>
      </c>
      <c r="C12">
        <v>4</v>
      </c>
      <c r="D12">
        <f>C12-B12+1</f>
        <v>4.5</v>
      </c>
      <c r="E12">
        <f>0+6+3+4+3</f>
        <v>16</v>
      </c>
      <c r="F12">
        <f>E12/D12</f>
        <v>3.5555555555555554</v>
      </c>
      <c r="G12">
        <f>3+2+3+6+7</f>
        <v>21</v>
      </c>
      <c r="H12">
        <f>G12/D12</f>
        <v>4.666666666666667</v>
      </c>
      <c r="I12">
        <f>0+1+3+0+0</f>
        <v>4</v>
      </c>
      <c r="J12">
        <f>I12/D12</f>
        <v>0.88888888888888884</v>
      </c>
      <c r="K12">
        <f>E12+G12+I12</f>
        <v>41</v>
      </c>
      <c r="L12">
        <f>K12/D12</f>
        <v>9.1111111111111107</v>
      </c>
      <c r="M12">
        <f>(E12+0.5*I12)/K12</f>
        <v>0.43902439024390244</v>
      </c>
      <c r="N12">
        <f>0+2+1+0+1</f>
        <v>4</v>
      </c>
      <c r="O12">
        <f>N12/D12</f>
        <v>0.88888888888888884</v>
      </c>
      <c r="P12">
        <f>2+1+1+5+4</f>
        <v>13</v>
      </c>
      <c r="Q12">
        <f>P12/D12</f>
        <v>2.8888888888888888</v>
      </c>
      <c r="R12">
        <f>0+1+3+0+0</f>
        <v>4</v>
      </c>
      <c r="S12">
        <f>R12/D12</f>
        <v>0.88888888888888884</v>
      </c>
      <c r="T12">
        <f>N12+P12+R12</f>
        <v>21</v>
      </c>
      <c r="U12">
        <f>T12/D12</f>
        <v>4.666666666666667</v>
      </c>
      <c r="V12">
        <f>(N12+0.5*R12)/T12</f>
        <v>0.2857142857142857</v>
      </c>
    </row>
    <row r="13" spans="1:23" x14ac:dyDescent="0.3">
      <c r="A13" t="s">
        <v>11</v>
      </c>
      <c r="B13">
        <v>1972</v>
      </c>
      <c r="C13">
        <v>1975</v>
      </c>
      <c r="D13">
        <f>C13-B13+1</f>
        <v>4</v>
      </c>
      <c r="E13">
        <f>8+9+9+7</f>
        <v>33</v>
      </c>
      <c r="F13">
        <f>E13/D13</f>
        <v>8.25</v>
      </c>
      <c r="G13">
        <f>3+3+2+4</f>
        <v>12</v>
      </c>
      <c r="H13">
        <f>G13/D13</f>
        <v>3</v>
      </c>
      <c r="I13">
        <f>1+0+1+1</f>
        <v>3</v>
      </c>
      <c r="J13">
        <f>I13/D13</f>
        <v>0.75</v>
      </c>
      <c r="K13">
        <f>E13+G13+I13</f>
        <v>48</v>
      </c>
      <c r="L13">
        <f>K13/D13</f>
        <v>12</v>
      </c>
      <c r="M13">
        <f>(E13+0.5*I13)/K13</f>
        <v>0.71875</v>
      </c>
      <c r="N13">
        <f>4+6+4+2</f>
        <v>16</v>
      </c>
      <c r="O13">
        <f>N13/D13</f>
        <v>4</v>
      </c>
      <c r="P13">
        <f>1+0+2+2</f>
        <v>5</v>
      </c>
      <c r="Q13">
        <f>P13/D13</f>
        <v>1.25</v>
      </c>
      <c r="R13">
        <f>1+0+0+1</f>
        <v>2</v>
      </c>
      <c r="S13">
        <f>R13/D13</f>
        <v>0.5</v>
      </c>
      <c r="T13">
        <f>N13+P13+R13</f>
        <v>23</v>
      </c>
      <c r="U13">
        <f>T13/D13</f>
        <v>5.75</v>
      </c>
      <c r="V13">
        <f>(N13+0.5*R13)/T13</f>
        <v>0.73913043478260865</v>
      </c>
    </row>
    <row r="14" spans="1:23" x14ac:dyDescent="0.3">
      <c r="A14" t="s">
        <v>10</v>
      </c>
      <c r="B14">
        <v>1976</v>
      </c>
      <c r="C14">
        <v>1979</v>
      </c>
      <c r="D14">
        <f>C14-B14+1</f>
        <v>4</v>
      </c>
      <c r="E14">
        <f>3+8+9+7</f>
        <v>27</v>
      </c>
      <c r="F14">
        <f>E14/D14</f>
        <v>6.75</v>
      </c>
      <c r="G14">
        <f>7+4+3+4</f>
        <v>18</v>
      </c>
      <c r="H14">
        <f>G14/D14</f>
        <v>4.5</v>
      </c>
      <c r="I14">
        <f>1+0+0+0</f>
        <v>1</v>
      </c>
      <c r="J14">
        <f>I14/D14</f>
        <v>0.25</v>
      </c>
      <c r="K14">
        <f>E14+G14+I14</f>
        <v>46</v>
      </c>
      <c r="L14">
        <f>K14/D14</f>
        <v>11.5</v>
      </c>
      <c r="M14">
        <f>(E14+0.5*I14)/K14</f>
        <v>0.59782608695652173</v>
      </c>
      <c r="N14">
        <f>2+4+4+5</f>
        <v>15</v>
      </c>
      <c r="O14">
        <f>N14/D14</f>
        <v>3.75</v>
      </c>
      <c r="P14">
        <f>3+2+2+1</f>
        <v>8</v>
      </c>
      <c r="Q14">
        <f>P14/D14</f>
        <v>2</v>
      </c>
      <c r="R14">
        <f>0+0+0+0</f>
        <v>0</v>
      </c>
      <c r="S14">
        <f>R14/D14</f>
        <v>0</v>
      </c>
      <c r="T14">
        <f>N14+P14+R14</f>
        <v>23</v>
      </c>
      <c r="U14">
        <f>T14/D14</f>
        <v>5.75</v>
      </c>
      <c r="V14">
        <f>(N14+0.5*R14)/T14</f>
        <v>0.65217391304347827</v>
      </c>
    </row>
    <row r="15" spans="1:23" x14ac:dyDescent="0.3">
      <c r="A15" t="s">
        <v>59</v>
      </c>
      <c r="B15">
        <v>1892</v>
      </c>
      <c r="C15">
        <v>1894</v>
      </c>
      <c r="D15">
        <f>C15-B15+1</f>
        <v>3</v>
      </c>
      <c r="E15" s="2">
        <f>4+1+1</f>
        <v>6</v>
      </c>
      <c r="F15">
        <f>E15/D15</f>
        <v>2</v>
      </c>
      <c r="G15">
        <f>1+3</f>
        <v>4</v>
      </c>
      <c r="H15">
        <f>G15/D15</f>
        <v>1.3333333333333333</v>
      </c>
      <c r="I15">
        <f>0+0</f>
        <v>0</v>
      </c>
      <c r="J15">
        <f>I15/D15</f>
        <v>0</v>
      </c>
      <c r="K15">
        <f>E15+G15+I15</f>
        <v>10</v>
      </c>
      <c r="L15">
        <f>K15/D15</f>
        <v>3.3333333333333335</v>
      </c>
      <c r="M15">
        <f>(E15+0.5*I15)/K15</f>
        <v>0.6</v>
      </c>
      <c r="N15" s="4" t="s">
        <v>49</v>
      </c>
      <c r="O15" s="4"/>
      <c r="P15" s="4" t="s">
        <v>49</v>
      </c>
      <c r="Q15" s="4"/>
      <c r="R15" s="4" t="s">
        <v>49</v>
      </c>
      <c r="S15" s="4"/>
      <c r="T15" s="4" t="s">
        <v>49</v>
      </c>
      <c r="U15" s="4" t="s">
        <v>49</v>
      </c>
      <c r="V15" s="4" t="s">
        <v>49</v>
      </c>
    </row>
    <row r="16" spans="1:23" x14ac:dyDescent="0.3">
      <c r="A16" t="s">
        <v>9</v>
      </c>
      <c r="B16">
        <v>1980</v>
      </c>
      <c r="C16">
        <v>1982</v>
      </c>
      <c r="D16">
        <f>C16-B16+1</f>
        <v>3</v>
      </c>
      <c r="E16">
        <f>6+4+6</f>
        <v>16</v>
      </c>
      <c r="F16">
        <f>E16/D16</f>
        <v>5.333333333333333</v>
      </c>
      <c r="G16">
        <f>5+7+5</f>
        <v>17</v>
      </c>
      <c r="H16">
        <f>G16/D16</f>
        <v>5.666666666666667</v>
      </c>
      <c r="I16">
        <f>0+0+0</f>
        <v>0</v>
      </c>
      <c r="J16">
        <f>I16/D16</f>
        <v>0</v>
      </c>
      <c r="K16">
        <f>E16+G16+I16</f>
        <v>33</v>
      </c>
      <c r="L16">
        <f>K16/D16</f>
        <v>11</v>
      </c>
      <c r="M16">
        <f>(E16+0.5*I16)/K16</f>
        <v>0.48484848484848486</v>
      </c>
      <c r="N16">
        <f>3+2+3</f>
        <v>8</v>
      </c>
      <c r="O16">
        <f>N16/D16</f>
        <v>2.6666666666666665</v>
      </c>
      <c r="P16">
        <f>3+4+3</f>
        <v>10</v>
      </c>
      <c r="Q16">
        <f>P16/D16</f>
        <v>3.3333333333333335</v>
      </c>
      <c r="R16">
        <f>0+0+0</f>
        <v>0</v>
      </c>
      <c r="S16">
        <f>R16/D16</f>
        <v>0</v>
      </c>
      <c r="T16">
        <f>N16+P16+R16</f>
        <v>18</v>
      </c>
      <c r="U16">
        <f>T16/D16</f>
        <v>6</v>
      </c>
      <c r="V16">
        <f>(N16+0.5*R16)/T16</f>
        <v>0.44444444444444442</v>
      </c>
    </row>
    <row r="17" spans="1:22" x14ac:dyDescent="0.3">
      <c r="A17" t="s">
        <v>18</v>
      </c>
      <c r="B17">
        <v>1931</v>
      </c>
      <c r="C17">
        <v>1933</v>
      </c>
      <c r="D17">
        <f>C17-B17+1</f>
        <v>3</v>
      </c>
      <c r="E17">
        <f>3+6+1</f>
        <v>10</v>
      </c>
      <c r="F17">
        <f>E17/D17</f>
        <v>3.3333333333333335</v>
      </c>
      <c r="G17">
        <f>6+1+5</f>
        <v>12</v>
      </c>
      <c r="H17">
        <f>G17/D17</f>
        <v>4</v>
      </c>
      <c r="I17">
        <f>0+2+3</f>
        <v>5</v>
      </c>
      <c r="J17">
        <f>I17/D17</f>
        <v>1.6666666666666667</v>
      </c>
      <c r="K17">
        <f>E17+G17+I17</f>
        <v>27</v>
      </c>
      <c r="L17">
        <f>K17/D17</f>
        <v>9</v>
      </c>
      <c r="M17">
        <f>(E17+0.5*I17)/K17</f>
        <v>0.46296296296296297</v>
      </c>
      <c r="N17">
        <f>2+3+0</f>
        <v>5</v>
      </c>
      <c r="O17">
        <f>N17/D17</f>
        <v>1.6666666666666667</v>
      </c>
      <c r="P17">
        <f>4+1+4</f>
        <v>9</v>
      </c>
      <c r="Q17">
        <f>P17/D17</f>
        <v>3</v>
      </c>
      <c r="R17">
        <f>0+1+0</f>
        <v>1</v>
      </c>
      <c r="S17">
        <f>R17/D17</f>
        <v>0.33333333333333331</v>
      </c>
      <c r="T17">
        <f>N17+P17+R17</f>
        <v>15</v>
      </c>
      <c r="U17">
        <f>T17/D17</f>
        <v>5</v>
      </c>
      <c r="V17">
        <f>(N17+0.5*R17)/T17</f>
        <v>0.36666666666666664</v>
      </c>
    </row>
    <row r="18" spans="1:22" x14ac:dyDescent="0.3">
      <c r="A18" t="s">
        <v>17</v>
      </c>
      <c r="B18">
        <v>1934</v>
      </c>
      <c r="C18">
        <v>1936</v>
      </c>
      <c r="D18">
        <f>C18-B18+1</f>
        <v>3</v>
      </c>
      <c r="E18">
        <f>2+6+3</f>
        <v>11</v>
      </c>
      <c r="F18">
        <f>E18/D18</f>
        <v>3.6666666666666665</v>
      </c>
      <c r="G18">
        <f>6+4+7</f>
        <v>17</v>
      </c>
      <c r="H18">
        <f>G18/D18</f>
        <v>5.666666666666667</v>
      </c>
      <c r="I18">
        <f>1+0+0</f>
        <v>1</v>
      </c>
      <c r="J18">
        <f>I18/D18</f>
        <v>0.33333333333333331</v>
      </c>
      <c r="K18">
        <f>E18+G18+I18</f>
        <v>29</v>
      </c>
      <c r="L18">
        <f>K18/D18</f>
        <v>9.6666666666666661</v>
      </c>
      <c r="M18">
        <f>(E18+0.5*I18)/K18</f>
        <v>0.39655172413793105</v>
      </c>
      <c r="N18">
        <f>1+2+2</f>
        <v>5</v>
      </c>
      <c r="O18">
        <f>N18/D18</f>
        <v>1.6666666666666667</v>
      </c>
      <c r="P18">
        <f>3+2+4</f>
        <v>9</v>
      </c>
      <c r="Q18">
        <f>P18/D18</f>
        <v>3</v>
      </c>
      <c r="R18">
        <f>1+0+0</f>
        <v>1</v>
      </c>
      <c r="S18">
        <f>R18/D18</f>
        <v>0.33333333333333331</v>
      </c>
      <c r="T18">
        <f>N18+P18+R18</f>
        <v>15</v>
      </c>
      <c r="U18">
        <f>T18/D18</f>
        <v>5</v>
      </c>
      <c r="V18">
        <f>(N18+0.5*R18)/T18</f>
        <v>0.36666666666666664</v>
      </c>
    </row>
    <row r="19" spans="1:22" x14ac:dyDescent="0.3">
      <c r="A19" t="s">
        <v>8</v>
      </c>
      <c r="B19">
        <v>1983</v>
      </c>
      <c r="C19">
        <v>1985</v>
      </c>
      <c r="D19">
        <f>C19-B19+1</f>
        <v>3</v>
      </c>
      <c r="E19">
        <f>3+3+3</f>
        <v>9</v>
      </c>
      <c r="F19">
        <f>E19/D19</f>
        <v>3</v>
      </c>
      <c r="G19">
        <f>8+8+8</f>
        <v>24</v>
      </c>
      <c r="H19">
        <f>G19/D19</f>
        <v>8</v>
      </c>
      <c r="I19">
        <f>0+0+0</f>
        <v>0</v>
      </c>
      <c r="J19">
        <f>I19/D19</f>
        <v>0</v>
      </c>
      <c r="K19">
        <f>E19+G19+I19</f>
        <v>33</v>
      </c>
      <c r="L19">
        <f>K19/D19</f>
        <v>11</v>
      </c>
      <c r="M19">
        <f>(E19+0.5*I19)/K19</f>
        <v>0.27272727272727271</v>
      </c>
      <c r="N19">
        <f>1+1+2</f>
        <v>4</v>
      </c>
      <c r="O19">
        <f>N19/D19</f>
        <v>1.3333333333333333</v>
      </c>
      <c r="P19">
        <f>5+5+5</f>
        <v>15</v>
      </c>
      <c r="Q19">
        <f>P19/D19</f>
        <v>5</v>
      </c>
      <c r="R19">
        <f>0+0+0</f>
        <v>0</v>
      </c>
      <c r="S19">
        <f>R19/D19</f>
        <v>0</v>
      </c>
      <c r="T19">
        <f>N19+P19+R19</f>
        <v>19</v>
      </c>
      <c r="U19">
        <f>T19/D19</f>
        <v>6.333333333333333</v>
      </c>
      <c r="V19">
        <f>(N19+0.5*R19)/T19</f>
        <v>0.21052631578947367</v>
      </c>
    </row>
    <row r="20" spans="1:22" x14ac:dyDescent="0.3">
      <c r="A20" t="s">
        <v>27</v>
      </c>
      <c r="B20">
        <v>1907</v>
      </c>
      <c r="C20">
        <v>1908</v>
      </c>
      <c r="D20">
        <f>C20-B20+1</f>
        <v>2</v>
      </c>
      <c r="E20">
        <f>6+6</f>
        <v>12</v>
      </c>
      <c r="F20">
        <f>E20/D20</f>
        <v>6</v>
      </c>
      <c r="G20">
        <f>0+1</f>
        <v>1</v>
      </c>
      <c r="H20">
        <f>G20/D20</f>
        <v>0.5</v>
      </c>
      <c r="I20">
        <f>1+0</f>
        <v>1</v>
      </c>
      <c r="J20">
        <f>I20/D20</f>
        <v>0.5</v>
      </c>
      <c r="K20">
        <f>E20+G20+I20</f>
        <v>14</v>
      </c>
      <c r="L20">
        <f>K20/D20</f>
        <v>7</v>
      </c>
      <c r="M20">
        <f>(E20+0.5*I20)/K20</f>
        <v>0.8928571428571429</v>
      </c>
      <c r="N20" s="4" t="s">
        <v>49</v>
      </c>
      <c r="O20" s="4"/>
      <c r="P20" s="4" t="s">
        <v>49</v>
      </c>
      <c r="Q20" s="4"/>
      <c r="R20" s="4" t="s">
        <v>49</v>
      </c>
      <c r="S20" s="4"/>
      <c r="T20" s="4" t="s">
        <v>49</v>
      </c>
      <c r="U20" s="4" t="s">
        <v>49</v>
      </c>
      <c r="V20" s="4" t="s">
        <v>49</v>
      </c>
    </row>
    <row r="21" spans="1:22" x14ac:dyDescent="0.3">
      <c r="A21" t="s">
        <v>32</v>
      </c>
      <c r="B21">
        <v>1902</v>
      </c>
      <c r="C21">
        <v>1903</v>
      </c>
      <c r="D21">
        <f>C21-B21+1</f>
        <v>2</v>
      </c>
      <c r="E21">
        <f>3+4</f>
        <v>7</v>
      </c>
      <c r="F21">
        <f>E21/D21</f>
        <v>3.5</v>
      </c>
      <c r="G21">
        <f>4+4</f>
        <v>8</v>
      </c>
      <c r="H21">
        <f>G21/D21</f>
        <v>4</v>
      </c>
      <c r="I21">
        <f>2+0</f>
        <v>2</v>
      </c>
      <c r="J21">
        <f>I21/D21</f>
        <v>1</v>
      </c>
      <c r="K21">
        <f>E21+G21+I21</f>
        <v>17</v>
      </c>
      <c r="L21">
        <f>K21/D21</f>
        <v>8.5</v>
      </c>
      <c r="M21">
        <f>(E21+0.5*I21)/K21</f>
        <v>0.47058823529411764</v>
      </c>
      <c r="N21" s="4" t="s">
        <v>49</v>
      </c>
      <c r="O21" s="4"/>
      <c r="P21" s="4" t="s">
        <v>49</v>
      </c>
      <c r="Q21" s="4"/>
      <c r="R21" s="4" t="s">
        <v>49</v>
      </c>
      <c r="S21" s="4"/>
      <c r="T21" s="4" t="s">
        <v>49</v>
      </c>
      <c r="U21" s="4" t="s">
        <v>49</v>
      </c>
      <c r="V21" s="4" t="s">
        <v>49</v>
      </c>
    </row>
    <row r="22" spans="1:22" x14ac:dyDescent="0.3">
      <c r="A22" t="s">
        <v>35</v>
      </c>
      <c r="B22">
        <v>1898</v>
      </c>
      <c r="C22">
        <v>1899</v>
      </c>
      <c r="D22">
        <f>C22-B22+1</f>
        <v>2</v>
      </c>
      <c r="E22">
        <f>1+1</f>
        <v>2</v>
      </c>
      <c r="F22">
        <f>E22/D22</f>
        <v>1</v>
      </c>
      <c r="G22">
        <f>3+3</f>
        <v>6</v>
      </c>
      <c r="H22">
        <f>G22/D22</f>
        <v>3</v>
      </c>
      <c r="I22">
        <f>0+3</f>
        <v>3</v>
      </c>
      <c r="J22">
        <f>I22/D22</f>
        <v>1.5</v>
      </c>
      <c r="K22">
        <f>E22+G22+I22</f>
        <v>11</v>
      </c>
      <c r="L22">
        <f>K22/D22</f>
        <v>5.5</v>
      </c>
      <c r="M22">
        <f>(E22+0.5*I22)/K22</f>
        <v>0.31818181818181818</v>
      </c>
      <c r="N22" s="4" t="s">
        <v>49</v>
      </c>
      <c r="O22" s="4"/>
      <c r="P22" s="4" t="s">
        <v>49</v>
      </c>
      <c r="Q22" s="4"/>
      <c r="R22" s="4" t="s">
        <v>49</v>
      </c>
      <c r="S22" s="4"/>
      <c r="T22" s="4" t="s">
        <v>49</v>
      </c>
      <c r="U22" s="4" t="s">
        <v>49</v>
      </c>
      <c r="V22" s="4" t="s">
        <v>49</v>
      </c>
    </row>
    <row r="23" spans="1:22" x14ac:dyDescent="0.3">
      <c r="A23" t="s">
        <v>14</v>
      </c>
      <c r="B23">
        <v>1952</v>
      </c>
      <c r="C23">
        <v>1953</v>
      </c>
      <c r="D23">
        <f>C23-B23+1</f>
        <v>2</v>
      </c>
      <c r="E23">
        <f>3+1</f>
        <v>4</v>
      </c>
      <c r="F23">
        <f>E23/D23</f>
        <v>2</v>
      </c>
      <c r="G23">
        <f>7+9</f>
        <v>16</v>
      </c>
      <c r="H23">
        <f>G23/D23</f>
        <v>8</v>
      </c>
      <c r="I23">
        <f>0+0</f>
        <v>0</v>
      </c>
      <c r="J23">
        <f>I23/D23</f>
        <v>0</v>
      </c>
      <c r="K23">
        <f>E23+G23+I23</f>
        <v>20</v>
      </c>
      <c r="L23">
        <f>K23/D23</f>
        <v>10</v>
      </c>
      <c r="M23">
        <f>(E23+0.5*I23)/K23</f>
        <v>0.2</v>
      </c>
      <c r="N23">
        <f>2+0</f>
        <v>2</v>
      </c>
      <c r="O23">
        <f>N23/D23</f>
        <v>1</v>
      </c>
      <c r="P23">
        <f>4+3</f>
        <v>7</v>
      </c>
      <c r="Q23">
        <f>P23/D23</f>
        <v>3.5</v>
      </c>
      <c r="R23">
        <f>0+0</f>
        <v>0</v>
      </c>
      <c r="S23">
        <f>R23/D23</f>
        <v>0</v>
      </c>
      <c r="T23">
        <f>N23+P23+R23</f>
        <v>9</v>
      </c>
      <c r="U23">
        <f>T23/D23</f>
        <v>4.5</v>
      </c>
      <c r="V23">
        <f>(N23+0.5*R23)/T23</f>
        <v>0.22222222222222221</v>
      </c>
    </row>
    <row r="24" spans="1:22" x14ac:dyDescent="0.3">
      <c r="A24" t="s">
        <v>25</v>
      </c>
      <c r="B24">
        <v>1914</v>
      </c>
      <c r="C24">
        <v>1915</v>
      </c>
      <c r="D24">
        <f>C24-B24+1</f>
        <v>2</v>
      </c>
      <c r="E24">
        <f>3+3</f>
        <v>6</v>
      </c>
      <c r="F24">
        <f>E24/D24</f>
        <v>3</v>
      </c>
      <c r="G24">
        <f>3+3</f>
        <v>6</v>
      </c>
      <c r="H24">
        <f>G24/D24</f>
        <v>3</v>
      </c>
      <c r="I24">
        <f>1+1</f>
        <v>2</v>
      </c>
      <c r="J24">
        <f>I24/D24</f>
        <v>1</v>
      </c>
      <c r="K24">
        <f>E24+G24+I24</f>
        <v>14</v>
      </c>
      <c r="L24">
        <f>K24/D24</f>
        <v>7</v>
      </c>
      <c r="M24">
        <f>(E24+0.5*I24)/K24</f>
        <v>0.5</v>
      </c>
      <c r="N24">
        <f>0+0</f>
        <v>0</v>
      </c>
      <c r="O24">
        <f>N24/D24</f>
        <v>0</v>
      </c>
      <c r="P24">
        <f>2+2</f>
        <v>4</v>
      </c>
      <c r="Q24">
        <f>P24/D24</f>
        <v>2</v>
      </c>
      <c r="R24">
        <f>1+0</f>
        <v>1</v>
      </c>
      <c r="S24">
        <f>R24/D24</f>
        <v>0.5</v>
      </c>
      <c r="T24">
        <f>N24+P24+R24</f>
        <v>5</v>
      </c>
      <c r="U24">
        <f>T24/D24</f>
        <v>2.5</v>
      </c>
      <c r="V24">
        <f>(N24+0.5*R24)/T24</f>
        <v>0.1</v>
      </c>
    </row>
    <row r="25" spans="1:22" x14ac:dyDescent="0.3">
      <c r="A25" t="s">
        <v>30</v>
      </c>
      <c r="B25">
        <v>1905</v>
      </c>
      <c r="C25">
        <v>1905</v>
      </c>
      <c r="D25">
        <f>C25-B25+1</f>
        <v>1</v>
      </c>
      <c r="E25">
        <v>4</v>
      </c>
      <c r="F25">
        <f>E25/D25</f>
        <v>4</v>
      </c>
      <c r="G25">
        <v>1</v>
      </c>
      <c r="H25">
        <f>G25/D25</f>
        <v>1</v>
      </c>
      <c r="I25">
        <v>1</v>
      </c>
      <c r="J25">
        <f>I25/D25</f>
        <v>1</v>
      </c>
      <c r="K25">
        <f>E25+G25+I25</f>
        <v>6</v>
      </c>
      <c r="L25">
        <f>K25/D25</f>
        <v>6</v>
      </c>
      <c r="M25">
        <f>(E25+0.5*I25)/K25</f>
        <v>0.75</v>
      </c>
      <c r="N25" s="4" t="s">
        <v>49</v>
      </c>
      <c r="O25" s="4"/>
      <c r="P25" s="4" t="s">
        <v>49</v>
      </c>
      <c r="Q25" s="4"/>
      <c r="R25" s="4" t="s">
        <v>49</v>
      </c>
      <c r="S25" s="4"/>
      <c r="T25" s="4" t="s">
        <v>49</v>
      </c>
      <c r="U25" s="4" t="s">
        <v>49</v>
      </c>
      <c r="V25" s="4" t="s">
        <v>49</v>
      </c>
    </row>
    <row r="26" spans="1:22" x14ac:dyDescent="0.3">
      <c r="A26" t="s">
        <v>31</v>
      </c>
      <c r="B26">
        <v>1904</v>
      </c>
      <c r="C26">
        <v>1904</v>
      </c>
      <c r="D26">
        <f>C26-B26+1</f>
        <v>1</v>
      </c>
      <c r="E26">
        <v>3</v>
      </c>
      <c r="F26">
        <f>E26/D26</f>
        <v>3</v>
      </c>
      <c r="G26">
        <v>1</v>
      </c>
      <c r="H26">
        <f>G26/D26</f>
        <v>1</v>
      </c>
      <c r="I26">
        <v>2</v>
      </c>
      <c r="J26">
        <f>I26/D26</f>
        <v>2</v>
      </c>
      <c r="K26">
        <f>E26+G26+I26</f>
        <v>6</v>
      </c>
      <c r="L26">
        <f>K26/D26</f>
        <v>6</v>
      </c>
      <c r="M26">
        <f>(E26+0.5*I26)/K26</f>
        <v>0.66666666666666663</v>
      </c>
      <c r="N26" s="4" t="s">
        <v>49</v>
      </c>
      <c r="O26" s="4"/>
      <c r="P26" s="4" t="s">
        <v>49</v>
      </c>
      <c r="Q26" s="4"/>
      <c r="R26" s="4" t="s">
        <v>49</v>
      </c>
      <c r="S26" s="4"/>
      <c r="T26" s="4" t="s">
        <v>49</v>
      </c>
      <c r="U26" s="4" t="s">
        <v>49</v>
      </c>
      <c r="V26" s="4" t="s">
        <v>49</v>
      </c>
    </row>
    <row r="27" spans="1:22" x14ac:dyDescent="0.3">
      <c r="A27" t="s">
        <v>29</v>
      </c>
      <c r="B27">
        <v>1906</v>
      </c>
      <c r="C27">
        <v>1906</v>
      </c>
      <c r="D27">
        <f>C27-B27+1</f>
        <v>1</v>
      </c>
      <c r="E27">
        <v>3</v>
      </c>
      <c r="F27">
        <f>E27/D27</f>
        <v>3</v>
      </c>
      <c r="G27">
        <v>1</v>
      </c>
      <c r="H27">
        <f>G27/D27</f>
        <v>1</v>
      </c>
      <c r="I27">
        <v>4</v>
      </c>
      <c r="J27">
        <f>I27/D27</f>
        <v>4</v>
      </c>
      <c r="K27">
        <f>E27+G27+I27</f>
        <v>8</v>
      </c>
      <c r="L27">
        <f>K27/D27</f>
        <v>8</v>
      </c>
      <c r="M27">
        <f>(E27+0.5*I27)/K27</f>
        <v>0.625</v>
      </c>
      <c r="N27" s="4" t="s">
        <v>49</v>
      </c>
      <c r="O27" s="4"/>
      <c r="P27" s="4" t="s">
        <v>49</v>
      </c>
      <c r="Q27" s="4"/>
      <c r="R27" s="4" t="s">
        <v>49</v>
      </c>
      <c r="S27" s="4"/>
      <c r="T27" s="4" t="s">
        <v>49</v>
      </c>
      <c r="U27" s="4" t="s">
        <v>49</v>
      </c>
      <c r="V27" s="4" t="s">
        <v>49</v>
      </c>
    </row>
    <row r="28" spans="1:22" x14ac:dyDescent="0.3">
      <c r="A28" t="s">
        <v>37</v>
      </c>
      <c r="B28">
        <v>1895</v>
      </c>
      <c r="C28">
        <v>1895</v>
      </c>
      <c r="D28">
        <f>C28-B28+1</f>
        <v>1</v>
      </c>
      <c r="E28">
        <v>2</v>
      </c>
      <c r="F28">
        <f>E28/D28</f>
        <v>2</v>
      </c>
      <c r="G28">
        <v>2</v>
      </c>
      <c r="H28">
        <f>G28/D28</f>
        <v>2</v>
      </c>
      <c r="I28">
        <v>2</v>
      </c>
      <c r="J28">
        <f>I28/D28</f>
        <v>2</v>
      </c>
      <c r="K28">
        <f>E28+G28+I28</f>
        <v>6</v>
      </c>
      <c r="L28">
        <f>K28/D28</f>
        <v>6</v>
      </c>
      <c r="M28">
        <f>(E28+0.5*I28)/K28</f>
        <v>0.5</v>
      </c>
      <c r="N28" s="4" t="s">
        <v>49</v>
      </c>
      <c r="O28" s="4"/>
      <c r="P28" s="4" t="s">
        <v>49</v>
      </c>
      <c r="Q28" s="4"/>
      <c r="R28" s="4" t="s">
        <v>49</v>
      </c>
      <c r="S28" s="4"/>
      <c r="T28" s="4" t="s">
        <v>49</v>
      </c>
      <c r="U28" s="4" t="s">
        <v>49</v>
      </c>
      <c r="V28" s="4" t="s">
        <v>49</v>
      </c>
    </row>
    <row r="29" spans="1:22" x14ac:dyDescent="0.3">
      <c r="A29" t="s">
        <v>36</v>
      </c>
      <c r="B29">
        <v>1897</v>
      </c>
      <c r="C29">
        <v>1897</v>
      </c>
      <c r="D29">
        <f>C29-B29+1</f>
        <v>1</v>
      </c>
      <c r="E29" s="2">
        <v>1</v>
      </c>
      <c r="F29">
        <f>E29/D29</f>
        <v>1</v>
      </c>
      <c r="G29">
        <v>2</v>
      </c>
      <c r="H29">
        <f>G29/D29</f>
        <v>2</v>
      </c>
      <c r="I29">
        <v>0</v>
      </c>
      <c r="J29">
        <f>I29/D29</f>
        <v>0</v>
      </c>
      <c r="K29">
        <f>E29+G29+I29</f>
        <v>3</v>
      </c>
      <c r="L29">
        <f>K29/D29</f>
        <v>3</v>
      </c>
      <c r="M29">
        <f>(E29+0.5*I29)/K29</f>
        <v>0.33333333333333331</v>
      </c>
      <c r="N29" s="4" t="s">
        <v>49</v>
      </c>
      <c r="O29" s="4"/>
      <c r="P29" s="4" t="s">
        <v>49</v>
      </c>
      <c r="Q29" s="4"/>
      <c r="R29" s="4" t="s">
        <v>49</v>
      </c>
      <c r="S29" s="4"/>
      <c r="T29" s="4" t="s">
        <v>49</v>
      </c>
      <c r="U29" s="4" t="s">
        <v>49</v>
      </c>
      <c r="V29" s="4" t="s">
        <v>49</v>
      </c>
    </row>
    <row r="30" spans="1:22" x14ac:dyDescent="0.3">
      <c r="A30" t="s">
        <v>33</v>
      </c>
      <c r="B30">
        <v>1901</v>
      </c>
      <c r="C30">
        <v>1901</v>
      </c>
      <c r="D30">
        <f>C30-B30+1</f>
        <v>1</v>
      </c>
      <c r="E30">
        <v>4</v>
      </c>
      <c r="F30">
        <f>E30/D30</f>
        <v>4</v>
      </c>
      <c r="G30">
        <v>2</v>
      </c>
      <c r="H30">
        <f>G30/D30</f>
        <v>2</v>
      </c>
      <c r="I30">
        <v>0</v>
      </c>
      <c r="J30">
        <f>I30/D30</f>
        <v>0</v>
      </c>
      <c r="K30">
        <f>E30+G30+I30</f>
        <v>6</v>
      </c>
      <c r="L30">
        <f>K30/D30</f>
        <v>6</v>
      </c>
      <c r="M30">
        <f>(E30+0.5*I30)/K30</f>
        <v>0.66666666666666663</v>
      </c>
      <c r="N30">
        <v>3</v>
      </c>
      <c r="O30">
        <f>N30/D30</f>
        <v>3</v>
      </c>
      <c r="P30">
        <v>0</v>
      </c>
      <c r="Q30">
        <f>P30/D30</f>
        <v>0</v>
      </c>
      <c r="R30">
        <v>0</v>
      </c>
      <c r="S30">
        <f>R30/D30</f>
        <v>0</v>
      </c>
      <c r="T30">
        <f>N30+P30+R30</f>
        <v>3</v>
      </c>
      <c r="U30">
        <f>T30/D30</f>
        <v>3</v>
      </c>
      <c r="V30">
        <f>(N30+0.5*R30)/T30</f>
        <v>1</v>
      </c>
    </row>
    <row r="31" spans="1:22" x14ac:dyDescent="0.3">
      <c r="A31" t="s">
        <v>12</v>
      </c>
      <c r="B31">
        <v>1971</v>
      </c>
      <c r="C31">
        <v>1971</v>
      </c>
      <c r="D31">
        <f>C31-B31+1</f>
        <v>1</v>
      </c>
      <c r="E31">
        <v>3</v>
      </c>
      <c r="F31">
        <f>E31/D31</f>
        <v>3</v>
      </c>
      <c r="G31">
        <v>8</v>
      </c>
      <c r="H31">
        <f>G31/D31</f>
        <v>8</v>
      </c>
      <c r="I31">
        <v>0</v>
      </c>
      <c r="J31">
        <f>I31/D31</f>
        <v>0</v>
      </c>
      <c r="K31">
        <f>E31+G31+I31</f>
        <v>11</v>
      </c>
      <c r="L31">
        <f>K31/D31</f>
        <v>11</v>
      </c>
      <c r="M31">
        <f>(E31+0.5*I31)/K31</f>
        <v>0.27272727272727271</v>
      </c>
      <c r="N31">
        <v>2</v>
      </c>
      <c r="O31">
        <f>N31/D31</f>
        <v>2</v>
      </c>
      <c r="P31">
        <v>4</v>
      </c>
      <c r="Q31">
        <f>P31/D31</f>
        <v>4</v>
      </c>
      <c r="R31">
        <v>0</v>
      </c>
      <c r="S31">
        <f>R31/D31</f>
        <v>0</v>
      </c>
      <c r="T31">
        <f>N31+P31+R31</f>
        <v>6</v>
      </c>
      <c r="U31">
        <f>T31/D31</f>
        <v>6</v>
      </c>
      <c r="V31">
        <f>(N31+0.5*R31)/T31</f>
        <v>0.33333333333333331</v>
      </c>
    </row>
    <row r="32" spans="1:22" x14ac:dyDescent="0.3">
      <c r="A32" t="s">
        <v>34</v>
      </c>
      <c r="B32">
        <v>1900</v>
      </c>
      <c r="C32">
        <v>1900</v>
      </c>
      <c r="D32">
        <f>C32-B32+1</f>
        <v>1</v>
      </c>
      <c r="E32" s="2">
        <v>2</v>
      </c>
      <c r="F32">
        <f>E32/D32</f>
        <v>2</v>
      </c>
      <c r="G32">
        <v>6</v>
      </c>
      <c r="H32">
        <f>G32/D32</f>
        <v>6</v>
      </c>
      <c r="I32">
        <v>0</v>
      </c>
      <c r="J32">
        <f>I32/D32</f>
        <v>0</v>
      </c>
      <c r="K32">
        <f>E32+G32+I32</f>
        <v>8</v>
      </c>
      <c r="L32">
        <f>K32/D32</f>
        <v>8</v>
      </c>
      <c r="M32">
        <f>(E32+0.5*I32)/K32</f>
        <v>0.25</v>
      </c>
      <c r="N32" s="2">
        <v>1</v>
      </c>
      <c r="O32">
        <f>N32/D32</f>
        <v>1</v>
      </c>
      <c r="P32">
        <v>2</v>
      </c>
      <c r="Q32">
        <f>P32/D32</f>
        <v>2</v>
      </c>
      <c r="R32">
        <v>0</v>
      </c>
      <c r="S32">
        <f>R32/D32</f>
        <v>0</v>
      </c>
      <c r="T32">
        <f>N32+P32+R32</f>
        <v>3</v>
      </c>
      <c r="U32">
        <f>T32/D32</f>
        <v>3</v>
      </c>
      <c r="V32">
        <f>(N32+0.5*R32)/T32</f>
        <v>0.33333333333333331</v>
      </c>
    </row>
    <row r="33" spans="1:22" x14ac:dyDescent="0.3">
      <c r="A33" t="s">
        <v>22</v>
      </c>
      <c r="B33">
        <v>1924</v>
      </c>
      <c r="C33">
        <v>1924</v>
      </c>
      <c r="D33">
        <f>C33-B33+1</f>
        <v>1</v>
      </c>
      <c r="E33">
        <v>2</v>
      </c>
      <c r="F33">
        <f>E33/D33</f>
        <v>2</v>
      </c>
      <c r="G33">
        <v>6</v>
      </c>
      <c r="H33">
        <f>G33/D33</f>
        <v>6</v>
      </c>
      <c r="I33">
        <v>2</v>
      </c>
      <c r="J33">
        <f>I33/D33</f>
        <v>2</v>
      </c>
      <c r="K33">
        <f>E33+G33+I33</f>
        <v>10</v>
      </c>
      <c r="L33">
        <f>K33/D33</f>
        <v>10</v>
      </c>
      <c r="M33">
        <f>(E33+0.5*I33)/K33</f>
        <v>0.3</v>
      </c>
      <c r="N33">
        <v>1</v>
      </c>
      <c r="O33">
        <f>N33/D33</f>
        <v>1</v>
      </c>
      <c r="P33">
        <v>4</v>
      </c>
      <c r="Q33">
        <f>P33/D33</f>
        <v>4</v>
      </c>
      <c r="R33">
        <v>1</v>
      </c>
      <c r="S33">
        <f>R33/D33</f>
        <v>1</v>
      </c>
      <c r="T33">
        <f>N33+P33+R33</f>
        <v>6</v>
      </c>
      <c r="U33">
        <f>T33/D33</f>
        <v>6</v>
      </c>
      <c r="V33">
        <f>(N33+0.5*R33)/T33</f>
        <v>0.25</v>
      </c>
    </row>
    <row r="34" spans="1:22" x14ac:dyDescent="0.3">
      <c r="A34" t="s">
        <v>23</v>
      </c>
      <c r="B34">
        <v>1918</v>
      </c>
      <c r="C34">
        <v>1918</v>
      </c>
      <c r="D34">
        <f>C34-B34+1</f>
        <v>1</v>
      </c>
      <c r="E34">
        <v>2</v>
      </c>
      <c r="F34">
        <f>E34/D34</f>
        <v>2</v>
      </c>
      <c r="G34">
        <v>6</v>
      </c>
      <c r="H34">
        <f>G34/D34</f>
        <v>6</v>
      </c>
      <c r="I34">
        <v>2</v>
      </c>
      <c r="J34">
        <f>I34/D34</f>
        <v>2</v>
      </c>
      <c r="K34">
        <f>E34+G34+I34</f>
        <v>10</v>
      </c>
      <c r="L34">
        <f>K34/D34</f>
        <v>10</v>
      </c>
      <c r="M34">
        <f>(E34+0.5*I34)/K34</f>
        <v>0.3</v>
      </c>
      <c r="N34">
        <v>1</v>
      </c>
      <c r="O34">
        <f>N34/D34</f>
        <v>1</v>
      </c>
      <c r="P34">
        <v>4</v>
      </c>
      <c r="Q34">
        <f>P34/D34</f>
        <v>4</v>
      </c>
      <c r="R34">
        <v>1</v>
      </c>
      <c r="S34">
        <f>R34/D34</f>
        <v>1</v>
      </c>
      <c r="T34">
        <f>N34+P34+R34</f>
        <v>6</v>
      </c>
      <c r="U34">
        <f>T34/D34</f>
        <v>6</v>
      </c>
      <c r="V34">
        <f>(N34+0.5*R34)/T34</f>
        <v>0.25</v>
      </c>
    </row>
    <row r="35" spans="1:22" x14ac:dyDescent="0.3">
      <c r="A35" t="s">
        <v>20</v>
      </c>
      <c r="B35">
        <v>1930.5</v>
      </c>
      <c r="C35">
        <v>1930</v>
      </c>
      <c r="D35">
        <f>C35-B35+1</f>
        <v>0.5</v>
      </c>
      <c r="E35">
        <v>1</v>
      </c>
      <c r="F35">
        <f>E35/D35</f>
        <v>2</v>
      </c>
      <c r="G35">
        <v>4</v>
      </c>
      <c r="H35">
        <f>G35/D35</f>
        <v>8</v>
      </c>
      <c r="I35">
        <v>0</v>
      </c>
      <c r="J35">
        <f>I35/D35</f>
        <v>0</v>
      </c>
      <c r="K35">
        <f>E35+G35+I35</f>
        <v>5</v>
      </c>
      <c r="L35">
        <f>K35/D35</f>
        <v>10</v>
      </c>
      <c r="M35">
        <f>(E35+0.5*I35)/K35</f>
        <v>0.2</v>
      </c>
      <c r="N35">
        <v>1</v>
      </c>
      <c r="O35">
        <f>N35/D35</f>
        <v>2</v>
      </c>
      <c r="P35">
        <v>3</v>
      </c>
      <c r="Q35">
        <f>P35/D35</f>
        <v>6</v>
      </c>
      <c r="R35">
        <v>0</v>
      </c>
      <c r="S35">
        <f>R35/D35</f>
        <v>0</v>
      </c>
      <c r="T35">
        <f>N35+P35+R35</f>
        <v>4</v>
      </c>
      <c r="U35">
        <f>T35/D35</f>
        <v>8</v>
      </c>
      <c r="V35">
        <f>(N35+0.5*R35)/T35</f>
        <v>0.25</v>
      </c>
    </row>
    <row r="36" spans="1:22" x14ac:dyDescent="0.3">
      <c r="A36" t="s">
        <v>24</v>
      </c>
      <c r="B36">
        <v>1916.5</v>
      </c>
      <c r="C36">
        <v>1916</v>
      </c>
      <c r="D36">
        <f>C36-B36+1</f>
        <v>0.5</v>
      </c>
      <c r="E36">
        <v>2</v>
      </c>
      <c r="F36">
        <f>E36/D36</f>
        <v>4</v>
      </c>
      <c r="G36">
        <v>2</v>
      </c>
      <c r="H36">
        <f>G36/D36</f>
        <v>4</v>
      </c>
      <c r="I36">
        <v>0</v>
      </c>
      <c r="J36">
        <f>I36/D36</f>
        <v>0</v>
      </c>
      <c r="K36">
        <f>E36+G36+I36</f>
        <v>4</v>
      </c>
      <c r="L36">
        <f>K36/D36</f>
        <v>8</v>
      </c>
      <c r="M36">
        <f>(E36+0.5*I36)/K36</f>
        <v>0.5</v>
      </c>
      <c r="N36">
        <v>0</v>
      </c>
      <c r="O36">
        <f>N36/D36</f>
        <v>0</v>
      </c>
      <c r="P36">
        <v>2</v>
      </c>
      <c r="Q36">
        <f>P36/D36</f>
        <v>4</v>
      </c>
      <c r="R36">
        <v>0</v>
      </c>
      <c r="S36">
        <f>R36/D36</f>
        <v>0</v>
      </c>
      <c r="T36">
        <f>N36+P36+R36</f>
        <v>2</v>
      </c>
      <c r="U36">
        <f>T36/D36</f>
        <v>4</v>
      </c>
      <c r="V36">
        <f>(N36+0.5*R36)/T36</f>
        <v>0</v>
      </c>
    </row>
    <row r="37" spans="1:22" x14ac:dyDescent="0.3">
      <c r="A37" t="s">
        <v>19</v>
      </c>
      <c r="B37">
        <v>1930.5</v>
      </c>
      <c r="C37">
        <v>1930</v>
      </c>
      <c r="D37">
        <f>C37-B37+1</f>
        <v>0.5</v>
      </c>
      <c r="E37">
        <v>1</v>
      </c>
      <c r="F37">
        <f>E37/D37</f>
        <v>2</v>
      </c>
      <c r="G37">
        <v>4</v>
      </c>
      <c r="H37">
        <f>G37/D37</f>
        <v>8</v>
      </c>
      <c r="I37">
        <v>0</v>
      </c>
      <c r="J37">
        <f>I37/D37</f>
        <v>0</v>
      </c>
      <c r="K37">
        <f>E37+G37+I37</f>
        <v>5</v>
      </c>
      <c r="L37">
        <f>K37/D37</f>
        <v>10</v>
      </c>
      <c r="M37">
        <f>(E37+0.5*I37)/K37</f>
        <v>0.2</v>
      </c>
      <c r="N37">
        <v>0</v>
      </c>
      <c r="O37">
        <f>N37/D37</f>
        <v>0</v>
      </c>
      <c r="P37">
        <v>2</v>
      </c>
      <c r="Q37">
        <f>P37/D37</f>
        <v>4</v>
      </c>
      <c r="R37">
        <v>0</v>
      </c>
      <c r="S37">
        <f>R37/D37</f>
        <v>0</v>
      </c>
      <c r="T37">
        <f>N37+P37+R37</f>
        <v>2</v>
      </c>
      <c r="U37">
        <f>T37/D37</f>
        <v>4</v>
      </c>
      <c r="V37">
        <f>(N37+0.5*R37)/T37</f>
        <v>0</v>
      </c>
    </row>
    <row r="38" spans="1:22" x14ac:dyDescent="0.3">
      <c r="A38" t="s">
        <v>28</v>
      </c>
      <c r="B38">
        <f>2012+(12/13)</f>
        <v>2012.9230769230769</v>
      </c>
      <c r="C38">
        <v>2012</v>
      </c>
      <c r="D38">
        <f>C38-B38+1</f>
        <v>7.6923076923094413E-2</v>
      </c>
      <c r="E38">
        <v>0</v>
      </c>
      <c r="F38">
        <f>E38/D38</f>
        <v>0</v>
      </c>
      <c r="G38">
        <v>1</v>
      </c>
      <c r="H38">
        <f>G38/D38</f>
        <v>12.999999999997044</v>
      </c>
      <c r="I38">
        <v>0</v>
      </c>
      <c r="J38">
        <f>I38/D38</f>
        <v>0</v>
      </c>
      <c r="K38">
        <f>E38+G38+I38</f>
        <v>1</v>
      </c>
      <c r="L38">
        <f>K38/D38</f>
        <v>12.999999999997044</v>
      </c>
      <c r="M38">
        <f>(E38+0.5*I38)/K38</f>
        <v>0</v>
      </c>
      <c r="N38">
        <v>0</v>
      </c>
      <c r="O38">
        <f>N38/D38</f>
        <v>0</v>
      </c>
      <c r="P38">
        <v>0</v>
      </c>
      <c r="Q38">
        <f>P38/D38</f>
        <v>0</v>
      </c>
      <c r="R38">
        <v>0</v>
      </c>
      <c r="S38">
        <f>R38/D38</f>
        <v>0</v>
      </c>
      <c r="T38">
        <f>N38+P38+R38</f>
        <v>0</v>
      </c>
      <c r="U38">
        <f>T38/D38</f>
        <v>0</v>
      </c>
      <c r="V38" t="e">
        <f>(N38+0.5*R38)/T38</f>
        <v>#DIV/0!</v>
      </c>
    </row>
  </sheetData>
  <sortState xmlns:xlrd2="http://schemas.microsoft.com/office/spreadsheetml/2017/richdata2" ref="A2:V38">
    <sortCondition descending="1" ref="D1:D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Claiborne</dc:creator>
  <cp:lastModifiedBy>Carter Claiborne</cp:lastModifiedBy>
  <dcterms:created xsi:type="dcterms:W3CDTF">2020-09-07T14:09:37Z</dcterms:created>
  <dcterms:modified xsi:type="dcterms:W3CDTF">2020-11-28T19:49:39Z</dcterms:modified>
</cp:coreProperties>
</file>