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7" documentId="114_{8D8FD844-C17E-4716-AFA3-AF2490154464}" xr6:coauthVersionLast="45" xr6:coauthVersionMax="45" xr10:uidLastSave="{E6460B70-7D3D-42CD-BB36-4BAC13C64D96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<sst xmlns="http://schemas.openxmlformats.org/spreadsheetml/2006/main" count="290" uniqueCount="141">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</sst>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2" sqref="K32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103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101</v>
      </c>
      <c r="C3" s="142"/>
      <c r="D3" s="142"/>
      <c r="E3" s="142"/>
      <c r="F3" s="142"/>
      <c r="G3" s="142"/>
      <c r="H3" s="142"/>
      <c r="I3" s="139"/>
      <c r="J3" s="139"/>
      <c r="K3" s="142" t="s">
        <v>139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102</v>
      </c>
      <c r="C4" s="142"/>
      <c r="D4" s="142"/>
      <c r="E4" s="142"/>
      <c r="F4" s="142"/>
      <c r="G4" s="142"/>
      <c r="H4" s="142"/>
      <c r="I4" s="139"/>
      <c r="J4" s="139"/>
      <c r="K4" s="143" t="s">
        <v>140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106</v>
      </c>
      <c r="C6" s="136"/>
      <c r="D6" s="136"/>
      <c r="E6" s="136"/>
      <c r="F6" s="136"/>
      <c r="G6" s="136"/>
      <c r="H6" s="136"/>
      <c r="I6" s="136"/>
      <c r="J6" s="136"/>
      <c r="K6" s="135" t="s">
        <v>136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105</v>
      </c>
      <c r="C8" s="136"/>
      <c r="D8" s="136"/>
      <c r="E8" s="136"/>
      <c r="F8" s="136"/>
      <c r="G8" s="136"/>
      <c r="H8" s="136"/>
      <c r="I8" s="136"/>
      <c r="J8" s="136"/>
      <c r="K8" s="136" t="s">
        <v>133</v>
      </c>
    </row>
    <row r="9" spans="1:17" ht="15" customHeight="1" x14ac:dyDescent="0.55000000000000004">
      <c r="A9" s="131"/>
      <c r="B9" s="136" t="s">
        <v>122</v>
      </c>
      <c r="C9" s="136"/>
      <c r="D9" s="136"/>
      <c r="E9" s="136"/>
      <c r="F9" s="136"/>
      <c r="G9" s="136"/>
      <c r="H9" s="136"/>
      <c r="I9" s="136"/>
      <c r="J9" s="136"/>
      <c r="K9" t="s">
        <v>134</v>
      </c>
    </row>
    <row r="10" spans="1:17" ht="15" customHeight="1" x14ac:dyDescent="0.55000000000000004">
      <c r="A10" s="131"/>
      <c r="B10" s="136" t="s">
        <v>123</v>
      </c>
      <c r="C10" s="136"/>
      <c r="D10" s="136"/>
      <c r="E10" s="136"/>
      <c r="F10" s="136"/>
      <c r="G10" s="136"/>
      <c r="H10" s="136"/>
      <c r="I10" s="136"/>
      <c r="J10" s="136"/>
      <c r="K10" t="s">
        <v>135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132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124</v>
      </c>
      <c r="E14" s="131"/>
      <c r="F14" s="131"/>
      <c r="G14" s="131"/>
      <c r="H14" s="131"/>
      <c r="K14" s="136" t="s">
        <v>131</v>
      </c>
    </row>
    <row r="15" spans="1:17" ht="15" customHeight="1" x14ac:dyDescent="0.55000000000000004">
      <c r="A15" s="131"/>
      <c r="B15" s="131" t="s">
        <v>125</v>
      </c>
      <c r="E15" s="131"/>
      <c r="F15" s="131"/>
      <c r="G15" s="131"/>
      <c r="H15" s="131"/>
      <c r="K15" s="136" t="s">
        <v>130</v>
      </c>
    </row>
    <row r="16" spans="1:17" ht="15" customHeight="1" x14ac:dyDescent="0.55000000000000004">
      <c r="A16" s="131"/>
      <c r="B16" s="131" t="s">
        <v>126</v>
      </c>
      <c r="D16" s="131"/>
      <c r="E16" s="131"/>
      <c r="F16" s="131"/>
      <c r="G16" s="131"/>
      <c r="H16" s="131"/>
      <c r="K16" s="136" t="s">
        <v>129</v>
      </c>
    </row>
    <row r="17" spans="1:11" ht="15" customHeight="1" x14ac:dyDescent="0.55000000000000004">
      <c r="B17" s="131" t="s">
        <v>127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104</v>
      </c>
      <c r="C22" s="131" t="s">
        <v>113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110</v>
      </c>
      <c r="C23" s="131" t="s">
        <v>118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107</v>
      </c>
      <c r="C24" s="131" t="s">
        <v>114</v>
      </c>
      <c r="D24" s="131"/>
      <c r="E24" s="131"/>
      <c r="F24" s="131"/>
      <c r="G24" s="131"/>
      <c r="H24" s="131"/>
      <c r="K24" s="137" t="s">
        <v>138</v>
      </c>
    </row>
    <row r="25" spans="1:11" ht="15" customHeight="1" x14ac:dyDescent="0.55000000000000004">
      <c r="A25" s="131"/>
      <c r="B25" s="131" t="s">
        <v>116</v>
      </c>
      <c r="C25" s="131" t="s">
        <v>115</v>
      </c>
      <c r="D25" s="131"/>
      <c r="E25" s="131"/>
      <c r="F25" s="131"/>
      <c r="G25" s="131"/>
      <c r="H25" s="131"/>
      <c r="K25" s="137" t="s">
        <v>100</v>
      </c>
    </row>
    <row r="26" spans="1:11" ht="15" customHeight="1" x14ac:dyDescent="0.55000000000000004">
      <c r="A26" s="131"/>
      <c r="B26" s="131" t="s">
        <v>108</v>
      </c>
      <c r="C26" s="131" t="s">
        <v>117</v>
      </c>
    </row>
    <row r="27" spans="1:11" ht="15" customHeight="1" x14ac:dyDescent="0.6">
      <c r="A27" s="131"/>
      <c r="B27" s="131" t="s">
        <v>109</v>
      </c>
      <c r="C27" s="131" t="s">
        <v>119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111</v>
      </c>
      <c r="C28" s="131" t="s">
        <v>120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112</v>
      </c>
      <c r="C29" s="131" t="s">
        <v>121</v>
      </c>
      <c r="D29" s="131"/>
      <c r="E29" s="131"/>
      <c r="F29" s="131"/>
      <c r="G29" s="131"/>
      <c r="H29" s="131"/>
      <c r="K29" s="131" t="s">
        <v>128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137</v>
      </c>
    </row>
    <row r="31" spans="1:11" ht="15" customHeight="1" x14ac:dyDescent="0.6">
      <c r="B31" s="135" t="s">
        <v>93</v>
      </c>
      <c r="C31" s="131"/>
      <c r="K31" s="131" t="s">
        <v>140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0</v>
      </c>
      <c r="D7" s="14" t="str">
        <f>IFERROR(K7/C7,"")</f>
        <v/>
      </c>
      <c r="E7" s="15">
        <f>IFERROR(SQRT(SUM(K17:K39)/(C7-1)),"")</f>
        <v>0</v>
      </c>
      <c r="F7" s="28" t="str">
        <f>IFERROR(E7/SQRT(C7),"")</f>
        <v/>
      </c>
      <c r="G7" s="38" t="str">
        <f>IFERROR(D7-TINV(1-$H$4/100,C7-1)*F7,"")</f>
        <v/>
      </c>
      <c r="H7" s="38" t="str">
        <f>IFERROR(D7+TINV(1-$H$4/100,C7-1)*F7,"")</f>
        <v/>
      </c>
      <c r="K7" s="1">
        <f>SUMPRODUCT(B17:B39,C17:C39)</f>
        <v>0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0</v>
      </c>
      <c r="D12" s="14">
        <f>IFERROR(MIN(B17:B39),"")</f>
        <v>0</v>
      </c>
      <c r="E12" s="14">
        <f>IFERROR(MAX(B17:B39),"")</f>
        <v>0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/>
      <c r="C17" s="72"/>
      <c r="D17" s="2" t="str">
        <f t="shared" ref="D17:D39" si="0">IFERROR((C17/$C$12)*100,"")</f>
        <v/>
      </c>
      <c r="E17" s="29" t="str">
        <f>IF(C17="","",SUM($C$17:C17))</f>
        <v/>
      </c>
      <c r="F17" s="2" t="str">
        <f t="shared" ref="F17:F39" si="1">IFERROR((E17/$C$12)*100,"")</f>
        <v/>
      </c>
      <c r="G17" s="2" t="str">
        <f t="shared" ref="G17:G39" si="2">IFERROR((B17-$D$7)/$E$7,"")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55000000000000004">
      <c r="B18" s="71"/>
      <c r="C18" s="72"/>
      <c r="D18" s="2" t="str">
        <f t="shared" si="0"/>
        <v/>
      </c>
      <c r="E18" s="29" t="str">
        <f>IF(C18="","",SUM($C$17:C18))</f>
        <v/>
      </c>
      <c r="F18" s="2" t="str">
        <f t="shared" si="1"/>
        <v/>
      </c>
      <c r="G18" s="2" t="str">
        <f t="shared" si="2"/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55000000000000004">
      <c r="B19" s="71"/>
      <c r="C19" s="72"/>
      <c r="D19" s="2" t="str">
        <f t="shared" si="0"/>
        <v/>
      </c>
      <c r="E19" s="29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55000000000000004">
      <c r="B20" s="71"/>
      <c r="C20" s="72"/>
      <c r="D20" s="2" t="str">
        <f t="shared" si="0"/>
        <v/>
      </c>
      <c r="E20" s="29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55000000000000004">
      <c r="B21" s="71"/>
      <c r="C21" s="72"/>
      <c r="D21" s="2" t="str">
        <f t="shared" si="0"/>
        <v/>
      </c>
      <c r="E21" s="29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55000000000000004">
      <c r="B22" s="71"/>
      <c r="C22" s="72"/>
      <c r="D22" s="2" t="str">
        <f t="shared" si="0"/>
        <v/>
      </c>
      <c r="E22" s="29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55000000000000004">
      <c r="B23" s="71"/>
      <c r="C23" s="72"/>
      <c r="D23" s="2" t="str">
        <f t="shared" si="0"/>
        <v/>
      </c>
      <c r="E23" s="29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55000000000000004">
      <c r="B24" s="71"/>
      <c r="C24" s="72"/>
      <c r="D24" s="2" t="str">
        <f t="shared" si="0"/>
        <v/>
      </c>
      <c r="E24" s="29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55000000000000004">
      <c r="B25" s="71"/>
      <c r="C25" s="72"/>
      <c r="D25" s="2" t="str">
        <f t="shared" si="0"/>
        <v/>
      </c>
      <c r="E25" s="29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9" sqref="H9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/>
      <c r="C7" s="54"/>
      <c r="D7" s="55"/>
      <c r="E7" s="56"/>
      <c r="F7" s="15" t="str">
        <f>IFERROR(E7/SQRT(C7),"")</f>
        <v/>
      </c>
      <c r="G7" s="75" t="str">
        <f>IFERROR(D7-TINV(1-$H$4/100,C7-1)*F7,"")</f>
        <v/>
      </c>
      <c r="H7" s="75" t="str">
        <f>IFERROR(D7+TINV(1-$H$4/100,C7-1)*F7,"")</f>
        <v/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 t="str">
        <f>IFERROR(E12/F12,"")</f>
        <v/>
      </c>
      <c r="C12" s="18" t="str">
        <f>IF(C7-1&lt;0,"",C7-1)</f>
        <v/>
      </c>
      <c r="D12" s="10" t="str">
        <f>IFERROR(TDIST(ABS(B12),C12,2),"")</f>
        <v/>
      </c>
      <c r="E12" s="10">
        <f>IFERROR(D7-H9,"")</f>
        <v>0</v>
      </c>
      <c r="F12" s="10" t="str">
        <f>F7</f>
        <v/>
      </c>
      <c r="G12" s="77" t="str">
        <f>IFERROR(E12-TINV(1-$H$4/100,C12)*F12,"")</f>
        <v/>
      </c>
      <c r="H12" s="77" t="str">
        <f>IFERROR(E12+TINV(1-$H$4/100,C12)*F12,"")</f>
        <v/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x14ac:dyDescent="0.55000000000000004">
      <c r="B8" s="86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8" ht="14.7" thickBot="1" x14ac:dyDescent="0.6">
      <c r="B9" s="83" t="s">
        <v>7</v>
      </c>
      <c r="C9" s="83">
        <f>IFERROR(SUM(C7:C8),"")</f>
        <v>0</v>
      </c>
      <c r="D9" s="84" t="str">
        <f>IFERROR(SUMPRODUCT(D7:D8,C7:C8)/C9,"")</f>
        <v/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 t="str">
        <f>IFERROR(E14/F14,"")</f>
        <v/>
      </c>
      <c r="C14" s="18" t="str">
        <f>IF(SUM(C7:C8)-2&lt;0,"",SUM(C7:C8)-2)</f>
        <v/>
      </c>
      <c r="D14" s="10" t="str">
        <f>IFERROR(TDIST(ABS(B14),C14,2),"")</f>
        <v/>
      </c>
      <c r="E14" s="10">
        <f>IFERROR(D7-D8,"")</f>
        <v>0</v>
      </c>
      <c r="F14" s="10" t="str">
        <f>IFERROR(SQRT(((((C7-1)*(E7^2))+((C8-1)*(E8^2)))/C14)/C7+((((C7-1)*(E7^2))+((C8-1)*(E8^2)))/C14)/C8),"")</f>
        <v/>
      </c>
      <c r="G14" s="77" t="str">
        <f>IFERROR(E14-TINV(1-$H$4/100,C14)*F14,"")</f>
        <v/>
      </c>
      <c r="H14" s="77" t="str">
        <f>IFERROR(E14+TINV(1-$H$4/100,C14)*F14,"")</f>
        <v/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D13" sqref="D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 t="str">
        <f>IF(C7-1&lt;1,"",C7-1)</f>
        <v/>
      </c>
      <c r="D13" s="65"/>
      <c r="E13" s="10" t="str">
        <f>IFERROR(D13/SQRT((1-D13^2)/(F13)),"")</f>
        <v/>
      </c>
      <c r="F13" s="88" t="str">
        <f>IFERROR(IF(C13-2&lt;0,"",C13-2),"")</f>
        <v/>
      </c>
      <c r="G13" s="77" t="str">
        <f>IFERROR(TDIST(ABS(E13),F13,2),"")</f>
        <v/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 t="str">
        <f>IFERROR(E18/F18,"")</f>
        <v/>
      </c>
      <c r="C18" s="18" t="str">
        <f>IF(C7-1&lt;1,"",C7-1)</f>
        <v/>
      </c>
      <c r="D18" s="10" t="str">
        <f>IFERROR(TDIST(ABS(B18),C18,2),"")</f>
        <v/>
      </c>
      <c r="E18" s="10">
        <f>IFERROR(D7-D8,"")</f>
        <v>0</v>
      </c>
      <c r="F18" s="10" t="str">
        <f>IFERROR(SQRT(F7^2+F8^2-2*D13*F7*F8),"")</f>
        <v/>
      </c>
      <c r="G18" s="75" t="str">
        <f>IFERROR(E18-TINV(1-$H$4/100,C18)*F18,"")</f>
        <v/>
      </c>
      <c r="H18" s="75" t="str">
        <f>IFERROR(E18+TINV(1-$H$4/100,C18)*F18,"")</f>
        <v/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E13" sqref="E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9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/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0</v>
      </c>
      <c r="E14" s="80">
        <f>IFERROR(E15*(C7-1),"")</f>
        <v>0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0</v>
      </c>
      <c r="E15" s="80">
        <f>IFERROR(E13*(E7*E8),"")</f>
        <v>0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0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0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 t="str">
        <f>IFERROR(D8-(C27*D7),"")</f>
        <v/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 t="str">
        <f>IFERROR(E14/D14,"")</f>
        <v/>
      </c>
      <c r="D27" s="14" t="str">
        <f>IFERROR(SQRT((((1-D32)*E17)/(C7-2))/D14),"")</f>
        <v/>
      </c>
      <c r="E27" s="97" t="str">
        <f>IFERROR(C27*(E7/E8),"")</f>
        <v/>
      </c>
      <c r="F27" s="15" t="str">
        <f>IFERROR(C27/D27,"")</f>
        <v/>
      </c>
      <c r="G27" s="75" t="str">
        <f>IFERROR(_xlfn.T.DIST.2T(F27,C7-2),"")</f>
        <v/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 t="str">
        <f>IF(E13="","",E13)</f>
        <v/>
      </c>
      <c r="D32" s="99" t="str">
        <f>IFERROR(C32^2,"")</f>
        <v/>
      </c>
      <c r="E32" s="99" t="str">
        <f>IFERROR(1-(1-D32)*((C7-1)/(C7-2)),"")</f>
        <v/>
      </c>
      <c r="F32" s="99" t="str">
        <f>IFERROR(D32*(C7-2)/(1-D32),"")</f>
        <v/>
      </c>
      <c r="G32" s="99" t="str">
        <f>IFERROR(_xlfn.F.DIST.RT(F32,1,C7-2),"")</f>
        <v/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10" x14ac:dyDescent="0.55000000000000004">
      <c r="B8" s="63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10" x14ac:dyDescent="0.55000000000000004">
      <c r="B9" s="63"/>
      <c r="C9" s="59"/>
      <c r="D9" s="87"/>
      <c r="E9" s="60"/>
      <c r="F9" s="66" t="str">
        <f>IFERROR(E9/SQRT(C9),"")</f>
        <v/>
      </c>
      <c r="G9" s="82" t="str">
        <f>IFERROR(D9-TINV(1-$H$4/100,C9-1)*F9,"")</f>
        <v/>
      </c>
      <c r="H9" s="82" t="str">
        <f>IFERROR(D9+TINV(1-$H$4/100,C9-1)*F9,"")</f>
        <v/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0</v>
      </c>
      <c r="D11" s="14" t="str">
        <f>IFERROR(SUMPRODUCT(D7:D10,C7:C10)/C11,"")</f>
        <v/>
      </c>
      <c r="E11" s="15" t="str">
        <f>IFERROR(SQRT(C18/D18),"")</f>
        <v/>
      </c>
      <c r="F11" s="15" t="str">
        <f>IFERROR(E11/SQRT(C11),"")</f>
        <v/>
      </c>
      <c r="G11" s="75" t="str">
        <f>IFERROR(D11-TINV(1-$H$4/100,C11-1)*F11,"")</f>
        <v/>
      </c>
      <c r="H11" s="75" t="str">
        <f>IFERROR(D11+TINV(1-$H$4/100,C11-1)*F11,"")</f>
        <v/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 t="str">
        <f>IFERROR(SUMPRODUCT(((D7:D10)-$D$11)^2,C7:C10),"")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IFERROR(C16/C18,"")</f>
        <v/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0</v>
      </c>
      <c r="D17" s="73" t="str">
        <f>IFERROR(D18-D16,"")</f>
        <v/>
      </c>
      <c r="E17" s="78" t="str">
        <f>IFERROR(C17/D17,"")</f>
        <v/>
      </c>
    </row>
    <row r="18" spans="2:10" ht="14.7" thickBot="1" x14ac:dyDescent="0.6">
      <c r="B18" s="51" t="s">
        <v>7</v>
      </c>
      <c r="C18" s="21">
        <f>IFERROR(SUM(C16:C17),"")</f>
        <v>0</v>
      </c>
      <c r="D18" s="22" t="str">
        <f>IF(C11-1&lt;0,"",C11-1)</f>
        <v/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 t="e">
        <f>MATCH($D$17,HSD!$B$2:$AE$2,1)+1</f>
        <v>#N/A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0</v>
      </c>
      <c r="E23" s="27" t="str">
        <f>IFERROR(SQRT($E$17/C7+$E$17/C8),"")</f>
        <v/>
      </c>
      <c r="F23" s="27" t="str">
        <f t="shared" ref="F23:F34" si="0">IF($D$16=2,I23,J23)</f>
        <v/>
      </c>
      <c r="G23" s="27" t="str">
        <f>IFERROR(D23-VLOOKUP($H$4/100,IF($D$16=2,HSD!$A$3:$AF$1002,HSD!$A$1005:$AF$2004),$H$20,TRUE)*E23,"")</f>
        <v/>
      </c>
      <c r="H23" s="27" t="str">
        <f>IFERROR(D23+VLOOKUP($H$4/100,IF($D$16=2,HSD!$A$3:$AF$1002,HSD!$A$1005:$AF$2004),$H$20,TRUE)*E23,"")</f>
        <v/>
      </c>
      <c r="I23" s="101" t="str">
        <f>IFERROR(1-INDEX(HSD!$A$1:$A$1002,MATCH(ABS(D23/E23),INDEX(HSD!$A$1:$AE$1002,0,MATCH($D$17,HSD!$A$2:$AE$2,1)),1)),"")</f>
        <v/>
      </c>
      <c r="J23" s="103" t="str">
        <f>IFERROR(1-INDEX(HSD!$A$1003:$A$2004,MATCH(ABS(D23/E23),INDEX(HSD!$A$1003:$AE$2004,0,MATCH($D$17,HSD!$A$1004:$AE$1004,1)),1)),"")</f>
        <v/>
      </c>
    </row>
    <row r="24" spans="2:10" x14ac:dyDescent="0.55000000000000004">
      <c r="B24" s="67"/>
      <c r="C24" s="67">
        <v>3</v>
      </c>
      <c r="D24" s="66">
        <f>IFERROR(D7-D9,"")</f>
        <v>0</v>
      </c>
      <c r="E24" s="27" t="str">
        <f>IFERROR(SQRT($E$17/C7+$E$17/C9),"")</f>
        <v/>
      </c>
      <c r="F24" s="27" t="str">
        <f t="shared" si="0"/>
        <v/>
      </c>
      <c r="G24" s="27" t="str">
        <f>IFERROR(D24-VLOOKUP($H$4/100,IF($D$16=2,HSD!$A$3:$AF$1002,HSD!$A$1005:$AF$2004),$H$20,TRUE)*E24,"")</f>
        <v/>
      </c>
      <c r="H24" s="27" t="str">
        <f>IFERROR(D24+VLOOKUP($H$4/100,IF($D$16=2,HSD!$A$3:$AF$1002,HSD!$A$1005:$AF$2004),$H$20,TRUE)*E24,"")</f>
        <v/>
      </c>
      <c r="I24" s="101" t="str">
        <f>IFERROR(1-INDEX(HSD!$A$1:$A$1002,MATCH(ABS(D24/E24),INDEX(HSD!$A$1:$AE$1002,0,MATCH($D$17,HSD!$A$2:$AE$2,1)),1)),"")</f>
        <v/>
      </c>
      <c r="J24" s="103" t="str">
        <f>IFERROR(1-INDEX(HSD!$A$1003:$A$2004,MATCH(ABS(D24/E24),INDEX(HSD!$A$1003:$AE$2004,0,MATCH($D$17,HSD!$A$1004:$AE$1004,1)),1)),"")</f>
        <v/>
      </c>
    </row>
    <row r="25" spans="2:10" x14ac:dyDescent="0.55000000000000004">
      <c r="B25" s="104"/>
      <c r="C25" s="104">
        <v>4</v>
      </c>
      <c r="D25" s="105">
        <f>IFERROR(D7-D10,"")</f>
        <v>0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0</v>
      </c>
      <c r="E26" s="78" t="str">
        <f>IFERROR(SQRT($E$17/C8+$E$17/C7),"")</f>
        <v/>
      </c>
      <c r="F26" s="43" t="str">
        <f t="shared" si="0"/>
        <v/>
      </c>
      <c r="G26" s="43" t="str">
        <f>IFERROR(D26-VLOOKUP($H$4/100,IF($D$16=2,HSD!$A$3:$AF$1002,HSD!$A$1005:$AF$2004),$H$20,TRUE)*E26,"")</f>
        <v/>
      </c>
      <c r="H26" s="43" t="str">
        <f>IFERROR(D26+VLOOKUP($H$4/100,IF($D$16=2,HSD!$A$3:$AF$1002,HSD!$A$1005:$AF$2004),$H$20,TRUE)*E26,"")</f>
        <v/>
      </c>
      <c r="I26" s="101" t="str">
        <f>IFERROR(1-INDEX(HSD!$A$1:$A$1002,MATCH(ABS(D26/E26),INDEX(HSD!$A$1:$AE$1002,0,MATCH($D$17,HSD!$A$2:$AE$2,1)),1)),"")</f>
        <v/>
      </c>
      <c r="J26" s="103" t="str">
        <f>IFERROR(1-INDEX(HSD!$A$1003:$A$2004,MATCH(ABS(D26/E26),INDEX(HSD!$A$1003:$AE$2004,0,MATCH($D$17,HSD!$A$1004:$AE$1004,1)),1)),"")</f>
        <v/>
      </c>
    </row>
    <row r="27" spans="2:10" x14ac:dyDescent="0.55000000000000004">
      <c r="B27" s="106"/>
      <c r="C27" s="106">
        <v>3</v>
      </c>
      <c r="D27" s="78">
        <f>IFERROR(D8-D9,"")</f>
        <v>0</v>
      </c>
      <c r="E27" s="78" t="str">
        <f>IFERROR(SQRT($E$17/C8+$E$17/C9),"")</f>
        <v/>
      </c>
      <c r="F27" s="27" t="str">
        <f t="shared" si="0"/>
        <v/>
      </c>
      <c r="G27" s="27" t="str">
        <f>IFERROR(D27-VLOOKUP($H$4/100,IF($D$16=2,HSD!$A$3:$AF$1002,HSD!$A$1005:$AF$2004),$H$20,TRUE)*E27,"")</f>
        <v/>
      </c>
      <c r="H27" s="27" t="str">
        <f>IFERROR(D27+VLOOKUP($H$4/100,IF($D$16=2,HSD!$A$3:$AF$1002,HSD!$A$1005:$AF$2004),$H$20,TRUE)*E27,"")</f>
        <v/>
      </c>
      <c r="I27" s="101" t="str">
        <f>IFERROR(1-INDEX(HSD!$A$1:$A$1002,MATCH(ABS(D27/E27),INDEX(HSD!$A$1:$AE$1002,0,MATCH($D$17,HSD!$A$2:$AE$2,1)),1)),"")</f>
        <v/>
      </c>
      <c r="J27" s="103" t="str">
        <f>IFERROR(1-INDEX(HSD!$A$1003:$A$2004,MATCH(ABS(D27/E27),INDEX(HSD!$A$1003:$AE$2004,0,MATCH($D$17,HSD!$A$1004:$AE$1004,1)),1)),"")</f>
        <v/>
      </c>
    </row>
    <row r="28" spans="2:10" x14ac:dyDescent="0.55000000000000004">
      <c r="B28" s="104"/>
      <c r="C28" s="104">
        <v>4</v>
      </c>
      <c r="D28" s="105">
        <f>IFERROR(D8-D10,"")</f>
        <v>0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0</v>
      </c>
      <c r="E29" s="78" t="str">
        <f>IFERROR(SQRT($E$17/C9+$E$17/C7),"")</f>
        <v/>
      </c>
      <c r="F29" s="27" t="str">
        <f t="shared" si="0"/>
        <v/>
      </c>
      <c r="G29" s="27" t="str">
        <f>IFERROR(D29-VLOOKUP($H$4/100,IF($D$16=2,HSD!$A$3:$AF$1002,HSD!$A$1005:$AF$2004),$H$20,TRUE)*E29,"")</f>
        <v/>
      </c>
      <c r="H29" s="27" t="str">
        <f>IFERROR(D29+VLOOKUP($H$4/100,IF($D$16=2,HSD!$A$3:$AF$1002,HSD!$A$1005:$AF$2004),$H$20,TRUE)*E29,"")</f>
        <v/>
      </c>
      <c r="I29" s="101" t="str">
        <f>IFERROR(1-INDEX(HSD!$A$1:$A$1002,MATCH(ABS(D29/E29),INDEX(HSD!$A$1:$AE$1002,0,MATCH($D$17,HSD!$A$2:$AE$2,1)),1)),"")</f>
        <v/>
      </c>
      <c r="J29" s="103" t="str">
        <f>IFERROR(1-INDEX(HSD!$A$1003:$A$2004,MATCH(ABS(D29/E29),INDEX(HSD!$A$1003:$AE$2004,0,MATCH($D$17,HSD!$A$1004:$AE$1004,1)),1)),"")</f>
        <v/>
      </c>
    </row>
    <row r="30" spans="2:10" x14ac:dyDescent="0.55000000000000004">
      <c r="B30" s="106"/>
      <c r="C30" s="106">
        <v>2</v>
      </c>
      <c r="D30" s="78">
        <f>IFERROR(D9-D8,"")</f>
        <v>0</v>
      </c>
      <c r="E30" s="78" t="str">
        <f>IFERROR(SQRT($E$17/C9+$E$17/C8),"")</f>
        <v/>
      </c>
      <c r="F30" s="27" t="str">
        <f t="shared" si="0"/>
        <v/>
      </c>
      <c r="G30" s="27" t="str">
        <f>IFERROR(D30-VLOOKUP($H$4/100,IF($D$16=2,HSD!$A$3:$AF$1002,HSD!$A$1005:$AF$2004),$H$20,TRUE)*E30,"")</f>
        <v/>
      </c>
      <c r="H30" s="27" t="str">
        <f>IFERROR(D30+VLOOKUP($H$4/100,IF($D$16=2,HSD!$A$3:$AF$1002,HSD!$A$1005:$AF$2004),$H$20,TRUE)*E30,"")</f>
        <v/>
      </c>
      <c r="I30" s="101" t="str">
        <f>IFERROR(1-INDEX(HSD!$A$1:$A$1002,MATCH(ABS(D30/E30),INDEX(HSD!$A$1:$AE$1002,0,MATCH($D$17,HSD!$A$2:$AE$2,1)),1)),"")</f>
        <v/>
      </c>
      <c r="J30" s="103" t="str">
        <f>IFERROR(1-INDEX(HSD!$A$1003:$A$2004,MATCH(ABS(D30/E30),INDEX(HSD!$A$1003:$AE$2004,0,MATCH($D$17,HSD!$A$1004:$AE$1004,1)),1)),"")</f>
        <v/>
      </c>
    </row>
    <row r="31" spans="2:10" x14ac:dyDescent="0.55000000000000004">
      <c r="B31" s="104"/>
      <c r="C31" s="104">
        <v>4</v>
      </c>
      <c r="D31" s="105">
        <f>IFERROR(D9-D10,"")</f>
        <v>0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0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0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0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/>
      <c r="C7" s="57"/>
      <c r="D7" s="58"/>
      <c r="E7" s="58"/>
      <c r="F7" s="66" t="str">
        <f t="shared" ref="F7:F10" si="0">IFERROR(E7/SQRT(C7),"")</f>
        <v/>
      </c>
      <c r="G7" s="82" t="str">
        <f t="shared" ref="G7:G10" si="1">IFERROR(D7-TINV(1-$H$4/100,C7-1)*F7,"")</f>
        <v/>
      </c>
      <c r="H7" s="82" t="str">
        <f t="shared" ref="H7:H10" si="2">IFERROR(D7+TINV(1-$H$4/100,C7-1)*F7,"")</f>
        <v/>
      </c>
      <c r="I7" s="12"/>
      <c r="K7" s="78">
        <f>(E7^2)*(C7-1)</f>
        <v>0</v>
      </c>
    </row>
    <row r="8" spans="2:11" x14ac:dyDescent="0.55000000000000004">
      <c r="B8" s="63"/>
      <c r="C8" s="112"/>
      <c r="D8" s="87"/>
      <c r="E8" s="60"/>
      <c r="F8" s="66" t="str">
        <f t="shared" si="0"/>
        <v/>
      </c>
      <c r="G8" s="82" t="str">
        <f t="shared" si="1"/>
        <v/>
      </c>
      <c r="H8" s="82" t="str">
        <f t="shared" si="2"/>
        <v/>
      </c>
      <c r="I8" s="12"/>
      <c r="K8" s="78">
        <f>(E8^2)*(C8-1)</f>
        <v>0</v>
      </c>
    </row>
    <row r="9" spans="2:11" x14ac:dyDescent="0.55000000000000004">
      <c r="B9" s="63"/>
      <c r="C9" s="112"/>
      <c r="D9" s="87"/>
      <c r="E9" s="60"/>
      <c r="F9" s="66" t="str">
        <f t="shared" si="0"/>
        <v/>
      </c>
      <c r="G9" s="82" t="str">
        <f t="shared" si="1"/>
        <v/>
      </c>
      <c r="H9" s="82" t="str">
        <f t="shared" si="2"/>
        <v/>
      </c>
      <c r="I9" s="12"/>
      <c r="K9" s="78">
        <f>(E9^2)*(C9-1)</f>
        <v>0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0</v>
      </c>
      <c r="D11" s="84" t="str">
        <f>IFERROR(AVERAGE(D7:D10),"")</f>
        <v/>
      </c>
      <c r="E11" s="84">
        <f>IFERROR(SQRT(SUM(C16,C17,C22)/(C11-1)),"")</f>
        <v>0</v>
      </c>
      <c r="F11" s="84" t="str">
        <f t="shared" ref="F11" si="3">IFERROR(E11/SQRT(C11),"")</f>
        <v/>
      </c>
      <c r="G11" s="84" t="str">
        <f t="shared" ref="G11" si="4">IFERROR(D11-TINV(1-$H$4/100,C11-1)*F11,"")</f>
        <v/>
      </c>
      <c r="H11" s="84" t="str">
        <f t="shared" ref="H11" si="5">IFERROR(D11+TINV(1-$H$4/100,C11-1)*F11,"")</f>
        <v/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 t="str">
        <f>IFERROR(SUMPRODUCT(((D7:D10)-AVERAGE(D7:D10))^2,C7:C10),"")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IFERROR(C16/(C16+C17),"")</f>
        <v/>
      </c>
    </row>
    <row r="17" spans="2:9" ht="14.7" thickBot="1" x14ac:dyDescent="0.6">
      <c r="B17" s="51" t="s">
        <v>13</v>
      </c>
      <c r="C17" s="21">
        <f>IFERROR(SUM(K7:K10)-C22,"")</f>
        <v>0</v>
      </c>
      <c r="D17" s="22" t="str">
        <f>IFERROR(D16*D22,"")</f>
        <v/>
      </c>
      <c r="E17" s="21" t="str">
        <f>IFERROR(C17/D17,"")</f>
        <v/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/>
      <c r="D22" s="18" t="str">
        <f>IFERROR(IF(C7-1&lt;0,"",C7-1),"")</f>
        <v/>
      </c>
      <c r="E22" s="10" t="str">
        <f>IFERROR(C22/D22,"")</f>
        <v/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/>
      <c r="E7" s="100"/>
      <c r="F7" s="58"/>
      <c r="G7" s="114" t="str">
        <f>IFERROR(E7-TINV(1-$H$4/100,$D$46)*(SQRT($E$46/D7)),"")</f>
        <v/>
      </c>
      <c r="H7" s="114" t="str">
        <f>IFERROR(E7+TINV(1-$H$4/100,$D$46)*(SQRT($E$46/D7)),"")</f>
        <v/>
      </c>
      <c r="K7" s="95">
        <f t="shared" ref="K7:K22" si="0">F7^2*(D7-1)</f>
        <v>0</v>
      </c>
      <c r="L7" s="95" t="str">
        <f>IF(E7&lt;&gt;"",D7*(E7-$K$23)^2,"")</f>
        <v/>
      </c>
    </row>
    <row r="8" spans="2:12" x14ac:dyDescent="0.55000000000000004">
      <c r="B8" s="125"/>
      <c r="C8" s="125">
        <v>2</v>
      </c>
      <c r="D8" s="63"/>
      <c r="E8" s="100"/>
      <c r="F8" s="100"/>
      <c r="G8" s="80" t="str">
        <f>IFERROR(E8-TINV(1-$H$4/100,$D$46)*(SQRT($E$46/D8)),"")</f>
        <v/>
      </c>
      <c r="H8" s="80" t="str">
        <f>IFERROR(E8+TINV(1-$H$4/100,$D$46)*(SQRT($E$46/D8)),"")</f>
        <v/>
      </c>
      <c r="K8" s="66">
        <f t="shared" si="0"/>
        <v>0</v>
      </c>
      <c r="L8" s="66" t="str">
        <f>IF(E8&lt;&gt;"",D8*(E8-$K$23)^2,"")</f>
        <v/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/>
      <c r="E11" s="130"/>
      <c r="F11" s="64"/>
      <c r="G11" s="116" t="str">
        <f>IFERROR(E11-TINV(1-$H$4/100,$D$46)*(SQRT($E$46/D11)),"")</f>
        <v/>
      </c>
      <c r="H11" s="116" t="str">
        <f>IFERROR(E11+TINV(1-$H$4/100,$D$46)*(SQRT($E$46/D11)),"")</f>
        <v/>
      </c>
      <c r="K11" s="117">
        <f t="shared" si="0"/>
        <v>0</v>
      </c>
      <c r="L11" s="117" t="str">
        <f t="shared" ref="L11:L22" si="2">IF(E11&lt;&gt;"",D11*(E11-$K$23)^2,"")</f>
        <v/>
      </c>
    </row>
    <row r="12" spans="2:12" x14ac:dyDescent="0.55000000000000004">
      <c r="B12" s="126"/>
      <c r="C12" s="126">
        <v>2</v>
      </c>
      <c r="D12" s="72"/>
      <c r="E12" s="71"/>
      <c r="F12" s="100"/>
      <c r="G12" s="80" t="str">
        <f>IFERROR(E12-TINV(1-$H$4/100,$D$46)*(SQRT($E$46/D12)),"")</f>
        <v/>
      </c>
      <c r="H12" s="80" t="str">
        <f>IFERROR(E12+TINV(1-$H$4/100,$D$46)*(SQRT($E$46/D12)),"")</f>
        <v/>
      </c>
      <c r="I12" s="78"/>
      <c r="K12" s="66">
        <f t="shared" si="0"/>
        <v>0</v>
      </c>
      <c r="L12" s="66" t="str">
        <f t="shared" si="2"/>
        <v/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55000000000000004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 t="e">
        <f>SUMPRODUCT(E7:E22,D7:D22)/SUM(D7:D22)</f>
        <v>#DIV/0!</v>
      </c>
      <c r="L23" s="114">
        <f>SUM(L7:L22)</f>
        <v>0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 t="str">
        <f>IF(SUM(D7:D10)&gt;0,SUM(D7:D10),"")</f>
        <v/>
      </c>
      <c r="E27" s="114" t="str">
        <f>IFERROR(SUMPRODUCT(D7:D10,E7:E10)/D27,"")</f>
        <v/>
      </c>
      <c r="F27" s="114" t="str">
        <f>IFERROR(SQRT(K27/(D27-1)),"")</f>
        <v/>
      </c>
      <c r="G27" s="114" t="str">
        <f>IFERROR(E27-TINV(1-$H$4/100,$D$46)*(SQRT($E$46/D27)),"")</f>
        <v/>
      </c>
      <c r="H27" s="114" t="str">
        <f>IFERROR(E27+TINV(1-$H$4/100,$D$46)*(SQRT($E$46/D27)),"")</f>
        <v/>
      </c>
      <c r="K27" s="114" t="e">
        <f>D7*(E7-E27)^2+D8*(E8-E27)^2+D9*(E9-E27)^2+D10*(E10-E27)^2+K7+K8+K9+K10</f>
        <v>#VALUE!</v>
      </c>
      <c r="L27" s="114" t="str">
        <f>IFERROR((E27-$K$23)^2,"")</f>
        <v/>
      </c>
    </row>
    <row r="28" spans="2:12" x14ac:dyDescent="0.55000000000000004">
      <c r="B28" s="121">
        <v>2</v>
      </c>
      <c r="C28" s="121" t="s">
        <v>7</v>
      </c>
      <c r="D28" s="122" t="str">
        <f>IF(SUM(D11:D14)&gt;0,SUM(D11:D14),"")</f>
        <v/>
      </c>
      <c r="E28" s="80" t="str">
        <f>IFERROR(SUMPRODUCT(D11:D14,E11:E14)/D28,"")</f>
        <v/>
      </c>
      <c r="F28" s="80" t="str">
        <f>IFERROR(SQRT(K28/(D28-1)),"")</f>
        <v/>
      </c>
      <c r="G28" s="80" t="str">
        <f>IFERROR(E28-TINV(1-$H$4/100,$D$46)*(SQRT($E$46/D28)),"")</f>
        <v/>
      </c>
      <c r="H28" s="80" t="str">
        <f>IFERROR(E28+TINV(1-$H$4/100,$D$46)*(SQRT($E$46/D28)),"")</f>
        <v/>
      </c>
      <c r="K28" s="80" t="e">
        <f>D11*(E11-E28)^2+D12*(E12-E28)^2+D13*(E13-E28)^2+D14*(E14-E28)^2+K11+K12+K13+K14</f>
        <v>#VALUE!</v>
      </c>
      <c r="L28" s="80" t="str">
        <f>IFERROR((E28-$K$23)^2,"")</f>
        <v/>
      </c>
    </row>
    <row r="29" spans="2:12" x14ac:dyDescent="0.55000000000000004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 t="str">
        <f>IF(SUM(D7,D11,D15,D19)&gt;0,SUM(D7,D11,D15,D19),"")</f>
        <v/>
      </c>
      <c r="E35" s="78" t="str">
        <f>IFERROR(SUM(D7*E7,D11*E11,D15*E15,D19*E19)/D35,"")</f>
        <v/>
      </c>
      <c r="F35" s="78" t="str">
        <f>IFERROR(SQRT(K35/(D35-1)),"")</f>
        <v/>
      </c>
      <c r="G35" s="114" t="str">
        <f>IFERROR(E35-TINV(1-$H$4/100,$D$46)*(SQRT($E$46/D35)),"")</f>
        <v/>
      </c>
      <c r="H35" s="114" t="str">
        <f>IFERROR(E35+TINV(1-$H$4/100,$D$46)*(SQRT($E$46/D35)),"")</f>
        <v/>
      </c>
      <c r="K35" s="114" t="e">
        <f>D7*(E7-E35)^2+D11*(E11-E35)^2+D15*(E15-E35)^2+D19*(E19-E35)^2+K7+K11+K15+K19</f>
        <v>#VALUE!</v>
      </c>
      <c r="L35" s="114" t="str">
        <f>IFERROR((E35-$K$23)^2,"")</f>
        <v/>
      </c>
    </row>
    <row r="36" spans="2:12" x14ac:dyDescent="0.55000000000000004">
      <c r="B36" s="73" t="s">
        <v>7</v>
      </c>
      <c r="C36" s="106">
        <v>2</v>
      </c>
      <c r="D36" s="124" t="str">
        <f>IF(SUM(D8,D12,D16,D20)&gt;0,SUM(D8,D12,D16,D20),"")</f>
        <v/>
      </c>
      <c r="E36" s="78" t="str">
        <f>IFERROR(SUM(D8*E8,D12*E12,D16*E16,D20*E20)/D36,"")</f>
        <v/>
      </c>
      <c r="F36" s="78" t="str">
        <f>IFERROR(SQRT(K36/(D36-1)),"")</f>
        <v/>
      </c>
      <c r="G36" s="80" t="str">
        <f>IFERROR(E36-TINV(1-$H$4/100,$D$46)*(SQRT($E$46/D36)),"")</f>
        <v/>
      </c>
      <c r="H36" s="80" t="str">
        <f>IFERROR(E36+TINV(1-$H$4/100,$D$46)*(SQRT($E$46/D36)),"")</f>
        <v/>
      </c>
      <c r="K36" s="80" t="e">
        <f>D8*(E8-E36)^2+D12*(E12-E36)^2+D16*(E16-E36)^2+D20*(E20-E36)^2+K8+K12+K16+K20</f>
        <v>#VALUE!</v>
      </c>
      <c r="L36" s="80" t="str">
        <f>IFERROR((E36-$K$23)^2,"")</f>
        <v/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0</v>
      </c>
      <c r="D43" s="20" t="str">
        <f>IF(COUNT(D27:D30)-1&gt;0,COUNT(D27:D30)-1,"")</f>
        <v/>
      </c>
      <c r="E43" s="78" t="str">
        <f>IFERROR(C43/D43,"")</f>
        <v/>
      </c>
      <c r="F43" s="19" t="str">
        <f>IFERROR(E43/$E$46,"")</f>
        <v/>
      </c>
      <c r="G43" s="19" t="str">
        <f>IFERROR(FDIST(F43,D43,$D$46),"")</f>
        <v/>
      </c>
      <c r="H43" s="78" t="str">
        <f>IFERROR(C43/(C43+$C$46),"")</f>
        <v/>
      </c>
      <c r="K43" s="19"/>
    </row>
    <row r="44" spans="2:12" x14ac:dyDescent="0.55000000000000004">
      <c r="B44" s="73" t="s">
        <v>32</v>
      </c>
      <c r="C44" s="78">
        <f>IFERROR(SUMPRODUCT(D35:D37,L35:L37),"")</f>
        <v>0</v>
      </c>
      <c r="D44" s="73" t="str">
        <f>IF(COUNT(D35:D38)-1&gt;0,COUNT(D35:D38)-1,"")</f>
        <v/>
      </c>
      <c r="E44" s="78" t="str">
        <f>IFERROR(C44/D44,"")</f>
        <v/>
      </c>
      <c r="F44" s="78" t="str">
        <f>IFERROR(E44/$E$46,"")</f>
        <v/>
      </c>
      <c r="G44" s="78" t="str">
        <f>IFERROR(FDIST(F44,D44,$D$46),"")</f>
        <v/>
      </c>
      <c r="H44" s="78" t="str">
        <f>IFERROR(C44/(C44+$C$46),"")</f>
        <v/>
      </c>
      <c r="K44" s="78"/>
    </row>
    <row r="45" spans="2:12" x14ac:dyDescent="0.55000000000000004">
      <c r="B45" s="73" t="s">
        <v>47</v>
      </c>
      <c r="C45" s="78">
        <f>IFERROR(L23-C43-C44,"")</f>
        <v>0</v>
      </c>
      <c r="D45" s="73" t="str">
        <f>IFERROR(D43*D44,"")</f>
        <v/>
      </c>
      <c r="E45" s="78" t="str">
        <f>IFERROR(C45/D45,"")</f>
        <v/>
      </c>
      <c r="F45" s="78" t="str">
        <f>IFERROR(E45/$E$46,"")</f>
        <v/>
      </c>
      <c r="G45" s="78" t="str">
        <f>IFERROR(FDIST(F45,D45,$D$46),"")</f>
        <v/>
      </c>
      <c r="H45" s="78" t="str">
        <f>IFERROR(C45/(C45+$C$46),"")</f>
        <v/>
      </c>
      <c r="K45" s="78"/>
    </row>
    <row r="46" spans="2:12" x14ac:dyDescent="0.55000000000000004">
      <c r="B46" s="73" t="s">
        <v>18</v>
      </c>
      <c r="C46" s="78">
        <f>IFERROR(SUM(K7,K8,K9,K11,K12,K13,K15,K16,K17),"")</f>
        <v>0</v>
      </c>
      <c r="D46" s="124" t="str">
        <f>IFERROR(D47-SUM(D43:D45)-1,"")</f>
        <v/>
      </c>
      <c r="E46" s="78" t="str">
        <f>IFERROR(C46/D46,"")</f>
        <v/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0</v>
      </c>
      <c r="D47" s="22" t="str">
        <f>IF(SUM(D7:D22)&gt;0,SUM(D7:D22),"")</f>
        <v/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2020-01-06T11:56:22Z</dcterms:modified>
</cp:coreProperties>
</file>