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3" documentId="13_ncr:1_{C3087757-3F56-4231-B79A-2C0DDA53303F}" xr6:coauthVersionLast="45" xr6:coauthVersionMax="45" xr10:uidLastSave="{445E2C97-01EB-4C27-8A86-8EB86CB4F0DF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<sst xmlns="http://schemas.openxmlformats.org/spreadsheetml/2006/main" count="296" uniqueCount="146">
  <si>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</si>
  <si>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</si>
  <si>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</si>
  <si>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</si>
  <si>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</si>
  <si>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</si>
  <si>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</si>
  <si>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</si>
  <si>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</si>
  <si>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</si>
  <si>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</si>
  <si>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</si>
  <si>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</si>
  <si>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</si>
  <si>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</si>
  <si>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</si>
  <si>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</si>
  <si>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</si>
  <si>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</si>
  <si>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</si>
  <si>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</si>
  <si>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</si>
  <si>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</si>
  <si>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</si>
  <si>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</si>
  <si>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</si>
  <si>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</si>
  <si>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</si>
  <si>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</si>
  <si>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</si>
  <si>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</si>
  <si>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</si>
  <si>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</si>
  <si>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</si>
  <si>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</si>
  <si>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</si>
  <si>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</si>
  <si>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</si>
  <si>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</si>
  <si>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</si>
  <si>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</si>
  <si>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</si>
  <si>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</si>
  <si>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</si>
  <si>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</si>
  <si>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</si>
  <si>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</si>
  <si>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</si>
  <si>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</si>
  <si>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</si>
  <si>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</si>
  <si>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</si>
  <si>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</si>
  <si>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</si>
  <si>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</si>
  <si>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</si>
  <si>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</si>
  <si>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</si>
  <si>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</si>
  <si>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</si>
  <si>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</si>
  <si>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</si>
  <si>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</si>
  <si>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</si>
  <si>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</si>
  <si>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</si>
  <si>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</si>
  <si>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</si>
  <si>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</si>
  <si>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</si>
  <si>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</si>
  <si>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</si>
  <si>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</si>
  <si>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</si>
  <si>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</si>
  <si>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</si>
  <si>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</si>
  <si>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</si>
  <si>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</si>
  <si>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</si>
  <si>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</si>
  <si>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</si>
  <si>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</si>
  <si>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</si>
  <si>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</si>
  <si>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</si>
  <si>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</si>
  <si>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</si>
  <si>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Version: 2.20191030</t>
  </si>
  <si>
    <t>https://github.com/cwendorf/BASE</t>
  </si>
  <si>
    <t>Purpose of this Module</t>
  </si>
  <si>
    <t>Overview of the Tabs</t>
  </si>
  <si>
    <t>How to Cite this Module</t>
  </si>
  <si>
    <t>Intro:</t>
  </si>
  <si>
    <t>An overview of the module</t>
  </si>
  <si>
    <t>Available at https://github.com/cwendorf/BASE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</si>
  <si>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</si>
  <si>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</si>
  <si>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</si>
  <si>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</si>
  <si>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</si>
  <si>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</si>
  <si>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</si>
  <si>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Email: cwendorf@uwsp.edu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</si>
  <si>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</si>
  <si>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</si>
  <si>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</si>
  <si>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</si>
  <si>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CREATE: Course Resource for Editing and Revising Tutorials with Excel.</t>
  </si>
  <si>
    <t>Design: All designs.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</si>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</sst>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4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7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8" fillId="0" borderId="0" xfId="0" applyFont="1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J19" sqref="J19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1" t="s">
        <v>107</v>
      </c>
      <c r="C2" s="141"/>
      <c r="D2" s="141"/>
      <c r="E2" s="141"/>
      <c r="F2" s="141"/>
      <c r="G2" s="141"/>
      <c r="H2" s="141"/>
      <c r="I2" s="132"/>
      <c r="J2" s="132"/>
      <c r="K2" s="142" t="s">
        <v>87</v>
      </c>
      <c r="L2" s="142"/>
      <c r="M2" s="142"/>
      <c r="N2" s="142"/>
      <c r="O2" s="142"/>
      <c r="P2" s="142"/>
      <c r="Q2" s="142"/>
    </row>
    <row r="3" spans="1:17" ht="18" customHeight="1" x14ac:dyDescent="0.7">
      <c r="A3" s="131"/>
      <c r="B3" s="143" t="s">
        <v>105</v>
      </c>
      <c r="C3" s="143"/>
      <c r="D3" s="143"/>
      <c r="E3" s="143"/>
      <c r="F3" s="143"/>
      <c r="G3" s="143"/>
      <c r="H3" s="143"/>
      <c r="I3" s="133"/>
      <c r="J3" s="133"/>
      <c r="K3" s="143" t="s">
        <v>88</v>
      </c>
      <c r="L3" s="143"/>
      <c r="M3" s="143"/>
      <c r="N3" s="143"/>
      <c r="O3" s="143"/>
      <c r="P3" s="143"/>
      <c r="Q3" s="143"/>
    </row>
    <row r="4" spans="1:17" s="135" customFormat="1" ht="18" customHeight="1" x14ac:dyDescent="0.7">
      <c r="A4" s="134"/>
      <c r="B4" s="143" t="s">
        <v>106</v>
      </c>
      <c r="C4" s="143"/>
      <c r="D4" s="143"/>
      <c r="E4" s="143"/>
      <c r="F4" s="143"/>
      <c r="G4" s="143"/>
      <c r="H4" s="143"/>
      <c r="I4" s="133"/>
      <c r="J4" s="133"/>
      <c r="K4" s="144" t="s">
        <v>89</v>
      </c>
      <c r="L4" s="143"/>
      <c r="M4" s="143"/>
      <c r="N4" s="143"/>
      <c r="O4" s="143"/>
      <c r="P4" s="143"/>
      <c r="Q4" s="143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6" t="s">
        <v>112</v>
      </c>
      <c r="C6" s="137"/>
      <c r="D6" s="137"/>
      <c r="E6" s="137"/>
      <c r="F6" s="137"/>
      <c r="G6" s="137"/>
      <c r="H6" s="137"/>
      <c r="I6" s="137"/>
      <c r="J6" s="137"/>
      <c r="K6" s="136" t="s">
        <v>142</v>
      </c>
    </row>
    <row r="7" spans="1:17" ht="15" customHeight="1" x14ac:dyDescent="0.55000000000000004">
      <c r="A7" s="131"/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17" ht="15" customHeight="1" x14ac:dyDescent="0.55000000000000004">
      <c r="A8" s="131"/>
      <c r="B8" s="137" t="s">
        <v>111</v>
      </c>
      <c r="C8" s="137"/>
      <c r="D8" s="137"/>
      <c r="E8" s="137"/>
      <c r="F8" s="137"/>
      <c r="G8" s="137"/>
      <c r="H8" s="137"/>
      <c r="I8" s="137"/>
      <c r="J8" s="137"/>
      <c r="K8" s="137" t="s">
        <v>139</v>
      </c>
    </row>
    <row r="9" spans="1:17" ht="15" customHeight="1" x14ac:dyDescent="0.55000000000000004">
      <c r="A9" s="131"/>
      <c r="B9" s="137" t="s">
        <v>128</v>
      </c>
      <c r="C9" s="137"/>
      <c r="D9" s="137"/>
      <c r="E9" s="137"/>
      <c r="F9" s="137"/>
      <c r="G9" s="137"/>
      <c r="H9" s="137"/>
      <c r="I9" s="137"/>
      <c r="J9" s="137"/>
      <c r="K9" t="s">
        <v>140</v>
      </c>
    </row>
    <row r="10" spans="1:17" ht="15" customHeight="1" x14ac:dyDescent="0.55000000000000004">
      <c r="A10" s="131"/>
      <c r="B10" s="137" t="s">
        <v>129</v>
      </c>
      <c r="C10" s="137"/>
      <c r="D10" s="137"/>
      <c r="E10" s="137"/>
      <c r="F10" s="137"/>
      <c r="G10" s="137"/>
      <c r="H10" s="137"/>
      <c r="I10" s="137"/>
      <c r="J10" s="137"/>
      <c r="K10" t="s">
        <v>141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7"/>
    </row>
    <row r="12" spans="1:17" ht="15" customHeight="1" x14ac:dyDescent="0.6">
      <c r="A12" s="131"/>
      <c r="B12" s="136" t="s">
        <v>90</v>
      </c>
      <c r="C12" s="131"/>
      <c r="D12" s="131"/>
      <c r="E12" s="131"/>
      <c r="F12" s="131"/>
      <c r="G12" s="131"/>
      <c r="H12" s="131"/>
      <c r="K12" s="136" t="s">
        <v>138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130</v>
      </c>
      <c r="E14" s="131"/>
      <c r="F14" s="131"/>
      <c r="G14" s="131"/>
      <c r="H14" s="131"/>
      <c r="K14" s="137" t="s">
        <v>137</v>
      </c>
    </row>
    <row r="15" spans="1:17" ht="15" customHeight="1" x14ac:dyDescent="0.55000000000000004">
      <c r="A15" s="131"/>
      <c r="B15" s="131" t="s">
        <v>131</v>
      </c>
      <c r="E15" s="131"/>
      <c r="F15" s="131"/>
      <c r="G15" s="131"/>
      <c r="H15" s="131"/>
      <c r="K15" s="137" t="s">
        <v>136</v>
      </c>
    </row>
    <row r="16" spans="1:17" ht="15" customHeight="1" x14ac:dyDescent="0.55000000000000004">
      <c r="A16" s="131"/>
      <c r="B16" s="131" t="s">
        <v>132</v>
      </c>
      <c r="D16" s="131"/>
      <c r="E16" s="131"/>
      <c r="F16" s="131"/>
      <c r="G16" s="131"/>
      <c r="H16" s="131"/>
      <c r="K16" s="137" t="s">
        <v>135</v>
      </c>
    </row>
    <row r="17" spans="1:11" ht="15" customHeight="1" x14ac:dyDescent="0.55000000000000004">
      <c r="B17" s="131" t="s">
        <v>133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6" t="s">
        <v>91</v>
      </c>
      <c r="C19" s="131"/>
      <c r="D19" s="131"/>
      <c r="E19" s="131"/>
      <c r="F19" s="131"/>
      <c r="G19" s="131"/>
      <c r="H19" s="131"/>
      <c r="K19" s="136" t="s">
        <v>92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</row>
    <row r="21" spans="1:11" ht="15" customHeight="1" x14ac:dyDescent="0.55000000000000004">
      <c r="A21" s="131"/>
      <c r="B21" s="131" t="s">
        <v>93</v>
      </c>
      <c r="C21" s="131" t="s">
        <v>94</v>
      </c>
      <c r="D21" s="131"/>
      <c r="E21" s="131"/>
      <c r="F21" s="131"/>
      <c r="G21" s="131"/>
      <c r="H21" s="131"/>
      <c r="K21" s="131" t="s">
        <v>134</v>
      </c>
    </row>
    <row r="22" spans="1:11" ht="15" customHeight="1" x14ac:dyDescent="0.55000000000000004">
      <c r="A22" s="131"/>
      <c r="B22" s="131" t="s">
        <v>110</v>
      </c>
      <c r="C22" s="131" t="s">
        <v>119</v>
      </c>
      <c r="D22" s="131"/>
      <c r="E22" s="131"/>
      <c r="F22" s="131"/>
      <c r="G22" s="131"/>
      <c r="H22" s="131"/>
      <c r="K22" s="138" t="s">
        <v>108</v>
      </c>
    </row>
    <row r="23" spans="1:11" ht="15" customHeight="1" x14ac:dyDescent="0.55000000000000004">
      <c r="B23" s="131" t="s">
        <v>116</v>
      </c>
      <c r="C23" s="131" t="s">
        <v>124</v>
      </c>
      <c r="D23" s="131"/>
      <c r="E23" s="131"/>
      <c r="F23" s="131"/>
      <c r="G23" s="131"/>
      <c r="H23" s="131"/>
      <c r="K23" s="138" t="s">
        <v>109</v>
      </c>
    </row>
    <row r="24" spans="1:11" ht="15" customHeight="1" x14ac:dyDescent="0.55000000000000004">
      <c r="A24" s="131"/>
      <c r="B24" s="140" t="s">
        <v>113</v>
      </c>
      <c r="C24" s="131" t="s">
        <v>120</v>
      </c>
      <c r="D24" s="131"/>
      <c r="E24" s="131"/>
      <c r="F24" s="131"/>
      <c r="G24" s="131"/>
      <c r="H24" s="131"/>
      <c r="K24" s="131" t="s">
        <v>95</v>
      </c>
    </row>
    <row r="25" spans="1:11" ht="15" customHeight="1" x14ac:dyDescent="0.55000000000000004">
      <c r="A25" s="131"/>
      <c r="B25" s="131" t="s">
        <v>122</v>
      </c>
      <c r="C25" s="131" t="s">
        <v>121</v>
      </c>
      <c r="D25" s="131"/>
      <c r="E25" s="131"/>
      <c r="F25" s="131"/>
      <c r="G25" s="131"/>
      <c r="H25" s="131"/>
    </row>
    <row r="26" spans="1:11" ht="15" customHeight="1" x14ac:dyDescent="0.6">
      <c r="A26" s="131"/>
      <c r="B26" s="131" t="s">
        <v>114</v>
      </c>
      <c r="C26" s="131" t="s">
        <v>123</v>
      </c>
      <c r="K26" s="136" t="s">
        <v>97</v>
      </c>
    </row>
    <row r="27" spans="1:11" ht="15" customHeight="1" x14ac:dyDescent="0.55000000000000004">
      <c r="A27" s="131"/>
      <c r="B27" s="131" t="s">
        <v>115</v>
      </c>
      <c r="C27" s="131" t="s">
        <v>125</v>
      </c>
      <c r="D27" s="131"/>
      <c r="E27" s="131"/>
      <c r="F27" s="131"/>
      <c r="G27" s="131"/>
      <c r="H27" s="131"/>
      <c r="K27" s="131"/>
    </row>
    <row r="28" spans="1:11" ht="15" customHeight="1" x14ac:dyDescent="0.55000000000000004">
      <c r="A28" s="131"/>
      <c r="B28" s="131" t="s">
        <v>117</v>
      </c>
      <c r="C28" s="131" t="s">
        <v>126</v>
      </c>
      <c r="D28" s="131"/>
      <c r="E28" s="131"/>
      <c r="F28" s="131"/>
      <c r="G28" s="131"/>
      <c r="H28" s="131"/>
      <c r="K28" s="131" t="s">
        <v>99</v>
      </c>
    </row>
    <row r="29" spans="1:11" ht="15" customHeight="1" x14ac:dyDescent="0.55000000000000004">
      <c r="A29" s="131"/>
      <c r="B29" s="131" t="s">
        <v>118</v>
      </c>
      <c r="C29" s="131" t="s">
        <v>127</v>
      </c>
      <c r="D29" s="131"/>
      <c r="E29" s="131"/>
      <c r="F29" s="131"/>
      <c r="G29" s="131"/>
      <c r="H29" s="131"/>
      <c r="K29" s="131" t="s">
        <v>100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1" t="s">
        <v>102</v>
      </c>
    </row>
    <row r="31" spans="1:11" ht="15" customHeight="1" x14ac:dyDescent="0.6">
      <c r="B31" s="136" t="s">
        <v>96</v>
      </c>
      <c r="C31" s="131"/>
      <c r="K31" s="131" t="s">
        <v>103</v>
      </c>
    </row>
    <row r="32" spans="1:11" ht="15" customHeight="1" x14ac:dyDescent="0.55000000000000004">
      <c r="B32" s="131"/>
      <c r="K32" s="139" t="s">
        <v>104</v>
      </c>
    </row>
    <row r="33" spans="2:2" ht="15" customHeight="1" x14ac:dyDescent="0.55000000000000004">
      <c r="B33" s="131" t="s">
        <v>98</v>
      </c>
    </row>
    <row r="34" spans="2:2" ht="15" customHeight="1" x14ac:dyDescent="0.55000000000000004">
      <c r="B34" s="131" t="s">
        <v>101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32" r:id="rId2" xr:uid="{31B58085-3375-4989-B59F-75D4E0B3DAB9}"/>
  </hyperlinks>
  <pageMargins left="0.7" right="0.7" top="0.75" bottom="0.75" header="0.3" footer="0.3"/>
  <pageSetup orientation="portrait" r:id="rId3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workbookViewId="0">
      <selection activeCell="B22" sqref="B22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5" t="s">
        <v>82</v>
      </c>
      <c r="H6" s="145"/>
      <c r="K6" s="69" t="s">
        <v>86</v>
      </c>
    </row>
    <row r="7" spans="2:11" ht="14.7" thickBot="1" x14ac:dyDescent="0.6">
      <c r="B7" s="22" t="s">
        <v>79</v>
      </c>
      <c r="C7" s="13">
        <f>C12</f>
        <v>8</v>
      </c>
      <c r="D7" s="14">
        <f>IFERROR(K7/C7,"")</f>
        <v>4</v>
      </c>
      <c r="E7" s="15">
        <f>IFERROR(SQRT(SUM(K17:K39)/(C7-1)),"")</f>
        <v>3.1167748898959182</v>
      </c>
      <c r="F7" s="28">
        <f>IFERROR(E7/SQRT(C7),"")</f>
        <v>1.1019463300386794</v>
      </c>
      <c r="G7" s="38">
        <f>IFERROR(D7-TINV(1-$H$4/100,C7-1)*F7,"")</f>
        <v>1.3943109840368719</v>
      </c>
      <c r="H7" s="38">
        <f>IFERROR(D7+TINV(1-$H$4/100,C7-1)*F7,"")</f>
        <v>6.6056890159631276</v>
      </c>
      <c r="K7" s="1">
        <f>SUMPRODUCT(B17:B39,C17:C39)</f>
        <v>32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8</v>
      </c>
      <c r="D12" s="14">
        <f>IFERROR(MIN(B17:B39),"")</f>
        <v>0</v>
      </c>
      <c r="E12" s="14">
        <f>IFERROR(MAX(B17:B39),"")</f>
        <v>9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>
        <v>0</v>
      </c>
      <c r="C17" s="72">
        <v>2</v>
      </c>
      <c r="D17" s="2">
        <f t="shared" ref="D17:D39" si="0">IFERROR((C17/$C$12)*100,"")</f>
        <v>25</v>
      </c>
      <c r="E17" s="29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55000000000000004">
      <c r="B18" s="71">
        <v>3</v>
      </c>
      <c r="C18" s="72">
        <v>1</v>
      </c>
      <c r="D18" s="2">
        <f t="shared" si="0"/>
        <v>12.5</v>
      </c>
      <c r="E18" s="29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55000000000000004">
      <c r="B19" s="71">
        <v>4</v>
      </c>
      <c r="C19" s="72">
        <v>2</v>
      </c>
      <c r="D19" s="2">
        <f t="shared" si="0"/>
        <v>25</v>
      </c>
      <c r="E19" s="29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55000000000000004">
      <c r="B20" s="71">
        <v>5</v>
      </c>
      <c r="C20" s="72">
        <v>1</v>
      </c>
      <c r="D20" s="2">
        <f t="shared" si="0"/>
        <v>12.5</v>
      </c>
      <c r="E20" s="29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55000000000000004">
      <c r="B21" s="71">
        <v>7</v>
      </c>
      <c r="C21" s="72">
        <v>1</v>
      </c>
      <c r="D21" s="2">
        <f t="shared" si="0"/>
        <v>12.5</v>
      </c>
      <c r="E21" s="29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55000000000000004">
      <c r="B22" s="71">
        <v>9</v>
      </c>
      <c r="C22" s="72">
        <v>1</v>
      </c>
      <c r="D22" s="2">
        <f t="shared" si="0"/>
        <v>12.5</v>
      </c>
      <c r="E22" s="29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55000000000000004">
      <c r="B23" s="71"/>
      <c r="C23" s="72"/>
      <c r="D23" s="2">
        <f t="shared" si="0"/>
        <v>0</v>
      </c>
      <c r="E23" s="29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55000000000000004">
      <c r="B24" s="71"/>
      <c r="C24" s="72"/>
      <c r="D24" s="2">
        <f t="shared" si="0"/>
        <v>0</v>
      </c>
      <c r="E24" s="29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55000000000000004">
      <c r="B25" s="71"/>
      <c r="C25" s="72"/>
      <c r="D25" s="2">
        <f t="shared" si="0"/>
        <v>0</v>
      </c>
      <c r="E25" s="29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8" ht="14.7" thickBot="1" x14ac:dyDescent="0.6">
      <c r="B7" s="53" t="s">
        <v>143</v>
      </c>
      <c r="C7" s="54">
        <v>8</v>
      </c>
      <c r="D7" s="55">
        <v>4</v>
      </c>
      <c r="E7" s="56">
        <v>3.117</v>
      </c>
      <c r="F7" s="15">
        <f>IFERROR(E7/SQRT(C7),"")</f>
        <v>1.1020259184792343</v>
      </c>
      <c r="G7" s="75">
        <f>IFERROR(D7-TINV(1-$H$4/100,C7-1)*F7,"")</f>
        <v>1.3941227872801893</v>
      </c>
      <c r="H7" s="75">
        <f>IFERROR(D7+TINV(1-$H$4/100,C7-1)*F7,"")</f>
        <v>6.6058772127198111</v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6" t="s">
        <v>83</v>
      </c>
      <c r="H11" s="146"/>
    </row>
    <row r="12" spans="2:8" ht="14.7" thickBot="1" x14ac:dyDescent="0.6">
      <c r="B12" s="36">
        <f>IFERROR(E12/F12,"")</f>
        <v>3.6296786971398016</v>
      </c>
      <c r="C12" s="18">
        <f>IF(C7-1&lt;0,"",C7-1)</f>
        <v>7</v>
      </c>
      <c r="D12" s="10">
        <f>IFERROR(TDIST(ABS(B12),C12,2),"")</f>
        <v>8.4014279358727122E-3</v>
      </c>
      <c r="E12" s="10">
        <f>IFERROR(D7-H9,"")</f>
        <v>4</v>
      </c>
      <c r="F12" s="10">
        <f>F7</f>
        <v>1.1020259184792343</v>
      </c>
      <c r="G12" s="77">
        <f>IFERROR(E12-TINV(1-$H$4/100,C12)*F12,"")</f>
        <v>1.3941227872801893</v>
      </c>
      <c r="H12" s="77">
        <f>IFERROR(E12+TINV(1-$H$4/100,C12)*F12,"")</f>
        <v>6.6058772127198111</v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8" x14ac:dyDescent="0.55000000000000004">
      <c r="B7" s="85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x14ac:dyDescent="0.55000000000000004">
      <c r="B8" s="86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8" ht="14.7" thickBot="1" x14ac:dyDescent="0.6">
      <c r="B9" s="83" t="s">
        <v>7</v>
      </c>
      <c r="C9" s="83">
        <f>IFERROR(SUM(C7:C8),"")</f>
        <v>8</v>
      </c>
      <c r="D9" s="84">
        <f>IFERROR(SUMPRODUCT(D7:D8,C7:C8)/C9,"")</f>
        <v>4</v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6" t="s">
        <v>83</v>
      </c>
      <c r="H13" s="146"/>
    </row>
    <row r="14" spans="2:8" ht="14.7" thickBot="1" x14ac:dyDescent="0.6">
      <c r="B14" s="36">
        <f>IFERROR(E14/F14,"")</f>
        <v>-2.30986290301853</v>
      </c>
      <c r="C14" s="18">
        <f>IF(SUM(C7:C8)-2&lt;0,"",SUM(C7:C8)-2)</f>
        <v>6</v>
      </c>
      <c r="D14" s="10">
        <f>IFERROR(TDIST(ABS(B14),C14,2),"")</f>
        <v>6.0280152088033272E-2</v>
      </c>
      <c r="E14" s="10">
        <f>IFERROR(D7-D8,"")</f>
        <v>-4</v>
      </c>
      <c r="F14" s="10">
        <f>IFERROR(SQRT(((((C7-1)*(E7^2))+((C8-1)*(E8^2)))/C14)/C7+((((C7-1)*(E7^2))+((C8-1)*(E8^2)))/C14)/C8),"")</f>
        <v>1.7317045071258548</v>
      </c>
      <c r="G14" s="77">
        <f>IFERROR(E14-TINV(1-$H$4/100,C14)*F14,"")</f>
        <v>-8.2373282811674109</v>
      </c>
      <c r="H14" s="77">
        <f>IFERROR(E14+TINV(1-$H$4/100,C14)*F14,"")</f>
        <v>0.23732828116741089</v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8" x14ac:dyDescent="0.55000000000000004">
      <c r="B7" s="89" t="s">
        <v>144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ht="14.7" thickBot="1" x14ac:dyDescent="0.6">
      <c r="B8" s="90" t="s">
        <v>145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>
        <f>IF(C7-1&lt;1,"",C7-1)</f>
        <v>3</v>
      </c>
      <c r="D13" s="65">
        <v>0.5</v>
      </c>
      <c r="E13" s="10">
        <f>IFERROR(D13/SQRT((1-D13^2)/(F13)),"")</f>
        <v>0.57735026918962584</v>
      </c>
      <c r="F13" s="88">
        <f>IFERROR(IF(C13-2&lt;0,"",C13-2),"")</f>
        <v>1</v>
      </c>
      <c r="G13" s="77">
        <f>IFERROR(TDIST(ABS(E13),F13,2),"")</f>
        <v>0.66666666666666663</v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6" t="s">
        <v>83</v>
      </c>
      <c r="H17" s="146"/>
    </row>
    <row r="18" spans="2:8" ht="14.7" thickBot="1" x14ac:dyDescent="0.6">
      <c r="B18" s="36">
        <f>IFERROR(E18/F18,"")</f>
        <v>-3.2666394446712945</v>
      </c>
      <c r="C18" s="18">
        <f>IF(C7-1&lt;1,"",C7-1)</f>
        <v>3</v>
      </c>
      <c r="D18" s="10">
        <f>IFERROR(TDIST(ABS(B18),C18,2),"")</f>
        <v>4.6895799658867081E-2</v>
      </c>
      <c r="E18" s="10">
        <f>IFERROR(D7-D8,"")</f>
        <v>-4</v>
      </c>
      <c r="F18" s="10">
        <f>IFERROR(SQRT(F7^2+F8^2-2*D13*F7*F8),"")</f>
        <v>1.2244999999999999</v>
      </c>
      <c r="G18" s="75">
        <f>IFERROR(E18-TINV(1-$H$4/100,C18)*F18,"")</f>
        <v>-7.8969055008198996</v>
      </c>
      <c r="H18" s="75">
        <f>IFERROR(E18+TINV(1-$H$4/100,C18)*F18,"")</f>
        <v>-0.10309449918009994</v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topLeftCell="A13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9" x14ac:dyDescent="0.55000000000000004">
      <c r="B7" s="89" t="s">
        <v>144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9" ht="14.7" thickBot="1" x14ac:dyDescent="0.6">
      <c r="B8" s="90" t="s">
        <v>145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>
        <v>0.5</v>
      </c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17.992802999999999</v>
      </c>
      <c r="E14" s="80">
        <f>IFERROR(E15*(C7-1),"")</f>
        <v>8.9964014999999993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5.9976009999999995</v>
      </c>
      <c r="E15" s="80">
        <f>IFERROR(E13*(E7*E8),"")</f>
        <v>2.9988004999999998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17.992802999999999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5.9976009999999995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>
        <f>IFERROR(D8-(C27*D7),"")</f>
        <v>5</v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>
        <f>IFERROR(E14/D14,"")</f>
        <v>0.5</v>
      </c>
      <c r="D27" s="14">
        <f>IFERROR(SQRT((((1-D32)*E17)/(C7-2))/D14),"")</f>
        <v>0.61237243569579447</v>
      </c>
      <c r="E27" s="97">
        <f>IFERROR(C27*(E7/E8),"")</f>
        <v>0.5</v>
      </c>
      <c r="F27" s="15">
        <f>IFERROR(C27/D27,"")</f>
        <v>0.81649658092772615</v>
      </c>
      <c r="G27" s="75">
        <f>IFERROR(_xlfn.T.DIST.2T(F27,C7-2),"")</f>
        <v>0.49999999999999989</v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>
        <f>IF(E13="","",E13)</f>
        <v>0.5</v>
      </c>
      <c r="D32" s="99">
        <f>IFERROR(C32^2,"")</f>
        <v>0.25</v>
      </c>
      <c r="E32" s="99">
        <f>IFERROR(1-(1-D32)*((C7-1)/(C7-2)),"")</f>
        <v>-0.125</v>
      </c>
      <c r="F32" s="99">
        <f>IFERROR(D32*(C7-2)/(1-D32),"")</f>
        <v>0.66666666666666663</v>
      </c>
      <c r="G32" s="99">
        <f>IFERROR(_xlfn.F.DIST.RT(F32,1,C7-2),"")</f>
        <v>0.5</v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topLeftCell="A13" workbookViewId="0">
      <selection activeCell="E10" sqref="E10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10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10" x14ac:dyDescent="0.55000000000000004">
      <c r="B8" s="63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10" x14ac:dyDescent="0.55000000000000004">
      <c r="B9" s="63">
        <v>3</v>
      </c>
      <c r="C9" s="59">
        <v>4</v>
      </c>
      <c r="D9" s="87">
        <v>7</v>
      </c>
      <c r="E9" s="60">
        <v>2.4489999999999998</v>
      </c>
      <c r="F9" s="66">
        <f>IFERROR(E9/SQRT(C9),"")</f>
        <v>1.2244999999999999</v>
      </c>
      <c r="G9" s="82">
        <f>IFERROR(D9-TINV(1-$H$4/100,C9-1)*F9,"")</f>
        <v>3.1030944991800999</v>
      </c>
      <c r="H9" s="82">
        <f>IFERROR(D9+TINV(1-$H$4/100,C9-1)*F9,"")</f>
        <v>10.8969055008199</v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12</v>
      </c>
      <c r="D11" s="14">
        <f>IFERROR(SUMPRODUCT(D7:D10,C7:C10)/C11,"")</f>
        <v>5</v>
      </c>
      <c r="E11" s="15">
        <f>IFERROR(SQRT(C18/D18),"")</f>
        <v>3.161967296133561</v>
      </c>
      <c r="F11" s="15">
        <f>IFERROR(E11/SQRT(C11),"")</f>
        <v>0.9127813347957523</v>
      </c>
      <c r="G11" s="75">
        <f>IFERROR(D11-TINV(1-$H$4/100,C11-1)*F11,"")</f>
        <v>2.9909818277059119</v>
      </c>
      <c r="H11" s="75">
        <f>IFERROR(D11+TINV(1-$H$4/100,C11-1)*F11,"")</f>
        <v>7.0090181722940876</v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>
        <f>IFERROR(SUMPRODUCT(((D7:D10)-$D$11)^2,C7:C10),"")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4.6685333018985427</v>
      </c>
      <c r="G16" s="19">
        <f>IFERROR(FDIST(F16,D16,D17),"")</f>
        <v>4.0654339681877608E-2</v>
      </c>
      <c r="H16" s="3">
        <f>IFERROR(C16/C18,"")</f>
        <v>0.50919085399753328</v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53.978408999999999</v>
      </c>
      <c r="D17" s="73">
        <f>IFERROR(D18-D16,"")</f>
        <v>9</v>
      </c>
      <c r="E17" s="78">
        <f>IFERROR(C17/D17,"")</f>
        <v>5.9976009999999995</v>
      </c>
    </row>
    <row r="18" spans="2:10" ht="14.7" thickBot="1" x14ac:dyDescent="0.6">
      <c r="B18" s="51" t="s">
        <v>7</v>
      </c>
      <c r="C18" s="21">
        <f>IFERROR(SUM(C16:C17),"")</f>
        <v>109.978409</v>
      </c>
      <c r="D18" s="22">
        <f>IF(C11-1&lt;0,"",C11-1)</f>
        <v>11</v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>
        <f>MATCH($D$17,HSD!$B$2:$AE$2,1)+1</f>
        <v>5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6" t="s">
        <v>83</v>
      </c>
      <c r="H22" s="146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-4</v>
      </c>
      <c r="E23" s="27">
        <f>IFERROR(SQRT($E$17/C7+$E$17/C8),"")</f>
        <v>1.7317045071258548</v>
      </c>
      <c r="F23" s="27">
        <f t="shared" ref="F23:F34" si="0">IF($D$16=2,I23,J23)</f>
        <v>0.10599999999999998</v>
      </c>
      <c r="G23" s="27">
        <f>IFERROR(D23-VLOOKUP($H$4/100,IF($D$16=2,HSD!$A$3:$AF$1002,HSD!$A$1005:$AF$2004),$H$20,TRUE)*E23,"")</f>
        <v>-8.8349287211296641</v>
      </c>
      <c r="H23" s="27">
        <f>IFERROR(D23+VLOOKUP($H$4/100,IF($D$16=2,HSD!$A$3:$AF$1002,HSD!$A$1005:$AF$2004),$H$20,TRUE)*E23,"")</f>
        <v>0.83492872112966321</v>
      </c>
      <c r="I23" s="101">
        <f>IFERROR(1-INDEX(HSD!$A$1:$A$1002,MATCH(ABS(D23/E23),INDEX(HSD!$A$1:$AE$1002,0,MATCH($D$17,HSD!$A$2:$AE$2,1)),1)),"")</f>
        <v>0.10599999999999998</v>
      </c>
      <c r="J23" s="103">
        <f>IFERROR(1-INDEX(HSD!$A$1003:$A$2004,MATCH(ABS(D23/E23),INDEX(HSD!$A$1003:$AE$2004,0,MATCH($D$17,HSD!$A$1004:$AE$1004,1)),1)),"")</f>
        <v>0.16700000000000004</v>
      </c>
    </row>
    <row r="24" spans="2:10" x14ac:dyDescent="0.55000000000000004">
      <c r="B24" s="67"/>
      <c r="C24" s="67">
        <v>3</v>
      </c>
      <c r="D24" s="66">
        <f>IFERROR(D7-D9,"")</f>
        <v>-5</v>
      </c>
      <c r="E24" s="27">
        <f>IFERROR(SQRT($E$17/C7+$E$17/C9),"")</f>
        <v>1.7317045071258548</v>
      </c>
      <c r="F24" s="27">
        <f t="shared" si="0"/>
        <v>4.4000000000000039E-2</v>
      </c>
      <c r="G24" s="27">
        <f>IFERROR(D24-VLOOKUP($H$4/100,IF($D$16=2,HSD!$A$3:$AF$1002,HSD!$A$1005:$AF$2004),$H$20,TRUE)*E24,"")</f>
        <v>-9.8349287211296641</v>
      </c>
      <c r="H24" s="27">
        <f>IFERROR(D24+VLOOKUP($H$4/100,IF($D$16=2,HSD!$A$3:$AF$1002,HSD!$A$1005:$AF$2004),$H$20,TRUE)*E24,"")</f>
        <v>-0.16507127887033679</v>
      </c>
      <c r="I24" s="101">
        <f>IFERROR(1-INDEX(HSD!$A$1:$A$1002,MATCH(ABS(D24/E24),INDEX(HSD!$A$1:$AE$1002,0,MATCH($D$17,HSD!$A$2:$AE$2,1)),1)),"")</f>
        <v>4.4000000000000039E-2</v>
      </c>
      <c r="J24" s="103">
        <f>IFERROR(1-INDEX(HSD!$A$1003:$A$2004,MATCH(ABS(D24/E24),INDEX(HSD!$A$1003:$AE$2004,0,MATCH($D$17,HSD!$A$1004:$AE$1004,1)),1)),"")</f>
        <v>7.1999999999999953E-2</v>
      </c>
    </row>
    <row r="25" spans="2:10" x14ac:dyDescent="0.55000000000000004">
      <c r="B25" s="104"/>
      <c r="C25" s="104">
        <v>4</v>
      </c>
      <c r="D25" s="105">
        <f>IFERROR(D7-D10,"")</f>
        <v>2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4</v>
      </c>
      <c r="E26" s="78">
        <f>IFERROR(SQRT($E$17/C8+$E$17/C7),"")</f>
        <v>1.7317045071258548</v>
      </c>
      <c r="F26" s="43">
        <f t="shared" si="0"/>
        <v>0.10599999999999998</v>
      </c>
      <c r="G26" s="43">
        <f>IFERROR(D26-VLOOKUP($H$4/100,IF($D$16=2,HSD!$A$3:$AF$1002,HSD!$A$1005:$AF$2004),$H$20,TRUE)*E26,"")</f>
        <v>-0.83492872112966321</v>
      </c>
      <c r="H26" s="43">
        <f>IFERROR(D26+VLOOKUP($H$4/100,IF($D$16=2,HSD!$A$3:$AF$1002,HSD!$A$1005:$AF$2004),$H$20,TRUE)*E26,"")</f>
        <v>8.8349287211296641</v>
      </c>
      <c r="I26" s="101">
        <f>IFERROR(1-INDEX(HSD!$A$1:$A$1002,MATCH(ABS(D26/E26),INDEX(HSD!$A$1:$AE$1002,0,MATCH($D$17,HSD!$A$2:$AE$2,1)),1)),"")</f>
        <v>0.10599999999999998</v>
      </c>
      <c r="J26" s="103">
        <f>IFERROR(1-INDEX(HSD!$A$1003:$A$2004,MATCH(ABS(D26/E26),INDEX(HSD!$A$1003:$AE$2004,0,MATCH($D$17,HSD!$A$1004:$AE$1004,1)),1)),"")</f>
        <v>0.16700000000000004</v>
      </c>
    </row>
    <row r="27" spans="2:10" x14ac:dyDescent="0.55000000000000004">
      <c r="B27" s="106"/>
      <c r="C27" s="106">
        <v>3</v>
      </c>
      <c r="D27" s="78">
        <f>IFERROR(D8-D9,"")</f>
        <v>-1</v>
      </c>
      <c r="E27" s="78">
        <f>IFERROR(SQRT($E$17/C8+$E$17/C9),"")</f>
        <v>1.7317045071258548</v>
      </c>
      <c r="F27" s="27">
        <f t="shared" si="0"/>
        <v>0.83599999999999997</v>
      </c>
      <c r="G27" s="27">
        <f>IFERROR(D27-VLOOKUP($H$4/100,IF($D$16=2,HSD!$A$3:$AF$1002,HSD!$A$1005:$AF$2004),$H$20,TRUE)*E27,"")</f>
        <v>-5.8349287211296632</v>
      </c>
      <c r="H27" s="27">
        <f>IFERROR(D27+VLOOKUP($H$4/100,IF($D$16=2,HSD!$A$3:$AF$1002,HSD!$A$1005:$AF$2004),$H$20,TRUE)*E27,"")</f>
        <v>3.8349287211296632</v>
      </c>
      <c r="I27" s="101">
        <f>IFERROR(1-INDEX(HSD!$A$1:$A$1002,MATCH(ABS(D27/E27),INDEX(HSD!$A$1:$AE$1002,0,MATCH($D$17,HSD!$A$2:$AE$2,1)),1)),"")</f>
        <v>0.83599999999999997</v>
      </c>
      <c r="J27" s="103">
        <f>IFERROR(1-INDEX(HSD!$A$1003:$A$2004,MATCH(ABS(D27/E27),INDEX(HSD!$A$1003:$AE$2004,0,MATCH($D$17,HSD!$A$1004:$AE$1004,1)),1)),"")</f>
        <v>0.93700000000000006</v>
      </c>
    </row>
    <row r="28" spans="2:10" x14ac:dyDescent="0.55000000000000004">
      <c r="B28" s="104"/>
      <c r="C28" s="104">
        <v>4</v>
      </c>
      <c r="D28" s="105">
        <f>IFERROR(D8-D10,"")</f>
        <v>6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5</v>
      </c>
      <c r="E29" s="78">
        <f>IFERROR(SQRT($E$17/C9+$E$17/C7),"")</f>
        <v>1.7317045071258548</v>
      </c>
      <c r="F29" s="27">
        <f t="shared" si="0"/>
        <v>4.4000000000000039E-2</v>
      </c>
      <c r="G29" s="27">
        <f>IFERROR(D29-VLOOKUP($H$4/100,IF($D$16=2,HSD!$A$3:$AF$1002,HSD!$A$1005:$AF$2004),$H$20,TRUE)*E29,"")</f>
        <v>0.16507127887033679</v>
      </c>
      <c r="H29" s="27">
        <f>IFERROR(D29+VLOOKUP($H$4/100,IF($D$16=2,HSD!$A$3:$AF$1002,HSD!$A$1005:$AF$2004),$H$20,TRUE)*E29,"")</f>
        <v>9.8349287211296641</v>
      </c>
      <c r="I29" s="101">
        <f>IFERROR(1-INDEX(HSD!$A$1:$A$1002,MATCH(ABS(D29/E29),INDEX(HSD!$A$1:$AE$1002,0,MATCH($D$17,HSD!$A$2:$AE$2,1)),1)),"")</f>
        <v>4.4000000000000039E-2</v>
      </c>
      <c r="J29" s="103">
        <f>IFERROR(1-INDEX(HSD!$A$1003:$A$2004,MATCH(ABS(D29/E29),INDEX(HSD!$A$1003:$AE$2004,0,MATCH($D$17,HSD!$A$1004:$AE$1004,1)),1)),"")</f>
        <v>7.1999999999999953E-2</v>
      </c>
    </row>
    <row r="30" spans="2:10" x14ac:dyDescent="0.55000000000000004">
      <c r="B30" s="106"/>
      <c r="C30" s="106">
        <v>2</v>
      </c>
      <c r="D30" s="78">
        <f>IFERROR(D9-D8,"")</f>
        <v>1</v>
      </c>
      <c r="E30" s="78">
        <f>IFERROR(SQRT($E$17/C9+$E$17/C8),"")</f>
        <v>1.7317045071258548</v>
      </c>
      <c r="F30" s="27">
        <f t="shared" si="0"/>
        <v>0.83599999999999997</v>
      </c>
      <c r="G30" s="27">
        <f>IFERROR(D30-VLOOKUP($H$4/100,IF($D$16=2,HSD!$A$3:$AF$1002,HSD!$A$1005:$AF$2004),$H$20,TRUE)*E30,"")</f>
        <v>-3.8349287211296632</v>
      </c>
      <c r="H30" s="27">
        <f>IFERROR(D30+VLOOKUP($H$4/100,IF($D$16=2,HSD!$A$3:$AF$1002,HSD!$A$1005:$AF$2004),$H$20,TRUE)*E30,"")</f>
        <v>5.8349287211296632</v>
      </c>
      <c r="I30" s="101">
        <f>IFERROR(1-INDEX(HSD!$A$1:$A$1002,MATCH(ABS(D30/E30),INDEX(HSD!$A$1:$AE$1002,0,MATCH($D$17,HSD!$A$2:$AE$2,1)),1)),"")</f>
        <v>0.83599999999999997</v>
      </c>
      <c r="J30" s="103">
        <f>IFERROR(1-INDEX(HSD!$A$1003:$A$2004,MATCH(ABS(D30/E30),INDEX(HSD!$A$1003:$AE$2004,0,MATCH($D$17,HSD!$A$1004:$AE$1004,1)),1)),"")</f>
        <v>0.93700000000000006</v>
      </c>
    </row>
    <row r="31" spans="2:10" x14ac:dyDescent="0.55000000000000004">
      <c r="B31" s="104"/>
      <c r="C31" s="104">
        <v>4</v>
      </c>
      <c r="D31" s="105">
        <f>IFERROR(D9-D10,"")</f>
        <v>7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-2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-6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-7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workbookViewId="0">
      <selection activeCell="D7" sqref="D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  <c r="I6" s="11" t="s">
        <v>6</v>
      </c>
      <c r="K6" s="69" t="s">
        <v>0</v>
      </c>
    </row>
    <row r="7" spans="2:11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 t="shared" ref="F7:F10" si="0">IFERROR(E7/SQRT(C7),"")</f>
        <v>1.2244999999999999</v>
      </c>
      <c r="G7" s="82">
        <f t="shared" ref="G7:G10" si="1">IFERROR(D7-TINV(1-$H$4/100,C7-1)*F7,"")</f>
        <v>-1.8969055008199001</v>
      </c>
      <c r="H7" s="82">
        <f t="shared" ref="H7:H10" si="2">IFERROR(D7+TINV(1-$H$4/100,C7-1)*F7,"")</f>
        <v>5.8969055008198996</v>
      </c>
      <c r="I7" s="12"/>
      <c r="K7" s="78">
        <f>(E7^2)*(C7-1)</f>
        <v>17.992802999999999</v>
      </c>
    </row>
    <row r="8" spans="2:11" x14ac:dyDescent="0.55000000000000004">
      <c r="B8" s="63">
        <v>2</v>
      </c>
      <c r="C8" s="112">
        <v>4</v>
      </c>
      <c r="D8" s="87">
        <v>6</v>
      </c>
      <c r="E8" s="60">
        <v>2.4489999999999998</v>
      </c>
      <c r="F8" s="66">
        <f t="shared" si="0"/>
        <v>1.2244999999999999</v>
      </c>
      <c r="G8" s="82">
        <f t="shared" si="1"/>
        <v>2.1030944991800999</v>
      </c>
      <c r="H8" s="82">
        <f t="shared" si="2"/>
        <v>9.8969055008198996</v>
      </c>
      <c r="I8" s="12"/>
      <c r="K8" s="78">
        <f>(E8^2)*(C8-1)</f>
        <v>17.992802999999999</v>
      </c>
    </row>
    <row r="9" spans="2:11" x14ac:dyDescent="0.55000000000000004">
      <c r="B9" s="63">
        <v>3</v>
      </c>
      <c r="C9" s="112">
        <v>4</v>
      </c>
      <c r="D9" s="87">
        <v>7</v>
      </c>
      <c r="E9" s="60">
        <v>2.4489999999999998</v>
      </c>
      <c r="F9" s="66">
        <f t="shared" si="0"/>
        <v>1.2244999999999999</v>
      </c>
      <c r="G9" s="82">
        <f t="shared" si="1"/>
        <v>3.1030944991800999</v>
      </c>
      <c r="H9" s="82">
        <f t="shared" si="2"/>
        <v>10.8969055008199</v>
      </c>
      <c r="I9" s="12"/>
      <c r="K9" s="78">
        <f>(E9^2)*(C9-1)</f>
        <v>17.992802999999999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12</v>
      </c>
      <c r="D11" s="84">
        <f>IFERROR(AVERAGE(D7:D10),"")</f>
        <v>5</v>
      </c>
      <c r="E11" s="84">
        <f>IFERROR(SQRT(SUM(C16,C17,C22)/(C11-1)),"")</f>
        <v>3.161967296133561</v>
      </c>
      <c r="F11" s="84">
        <f t="shared" ref="F11" si="3">IFERROR(E11/SQRT(C11),"")</f>
        <v>0.9127813347957523</v>
      </c>
      <c r="G11" s="84">
        <f t="shared" ref="G11" si="4">IFERROR(D11-TINV(1-$H$4/100,C11-1)*F11,"")</f>
        <v>2.9909818277059119</v>
      </c>
      <c r="H11" s="84">
        <f t="shared" ref="H11" si="5">IFERROR(D11+TINV(1-$H$4/100,C11-1)*F11,"")</f>
        <v>7.0090181722940876</v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>
        <f>IFERROR(SUMPRODUCT(((D7:D10)-AVERAGE(D7:D10))^2,C7:C10),"")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6.8166854118752909</v>
      </c>
      <c r="G16" s="19">
        <f>IFERROR(FDIST(F16,D16,D17),"")</f>
        <v>2.854099720696502E-2</v>
      </c>
      <c r="H16" s="3">
        <f>IFERROR(C16/(C16+C17),"")</f>
        <v>0.6943978670875115</v>
      </c>
    </row>
    <row r="17" spans="2:9" ht="14.7" thickBot="1" x14ac:dyDescent="0.6">
      <c r="B17" s="51" t="s">
        <v>13</v>
      </c>
      <c r="C17" s="21">
        <f>IFERROR(SUM(K7:K10)-C22,"")</f>
        <v>24.645409000000001</v>
      </c>
      <c r="D17" s="22">
        <f>IFERROR(D16*D22,"")</f>
        <v>6</v>
      </c>
      <c r="E17" s="21">
        <f>IFERROR(C17/D17,"")</f>
        <v>4.1075681666666668</v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>
        <v>29.332999999999998</v>
      </c>
      <c r="D22" s="18">
        <f>IFERROR(IF(C7-1&lt;0,"",C7-1),"")</f>
        <v>3</v>
      </c>
      <c r="E22" s="10">
        <f>IFERROR(C22/D22,"")</f>
        <v>9.7776666666666667</v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topLeftCell="A22" workbookViewId="0">
      <selection activeCell="F17" sqref="F1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6" t="s">
        <v>82</v>
      </c>
      <c r="H6" s="146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>
        <v>4</v>
      </c>
      <c r="E7" s="100">
        <v>2</v>
      </c>
      <c r="F7" s="58">
        <v>2.4489999999999998</v>
      </c>
      <c r="G7" s="114">
        <f>IFERROR(E7-TINV(1-$H$4/100,$D$46)*(SQRT($E$46/D7)),"")</f>
        <v>-0.57257903827515078</v>
      </c>
      <c r="H7" s="114">
        <f>IFERROR(E7+TINV(1-$H$4/100,$D$46)*(SQRT($E$46/D7)),"")</f>
        <v>4.5725790382751512</v>
      </c>
      <c r="K7" s="95">
        <f t="shared" ref="K7:K22" si="0">F7^2*(D7-1)</f>
        <v>17.992802999999999</v>
      </c>
      <c r="L7" s="95">
        <f>IF(E7&lt;&gt;"",D7*(E7-$K$23)^2,"")</f>
        <v>28.44444444444445</v>
      </c>
    </row>
    <row r="8" spans="2:12" x14ac:dyDescent="0.55000000000000004">
      <c r="B8" s="125"/>
      <c r="C8" s="125">
        <v>2</v>
      </c>
      <c r="D8" s="63">
        <v>4</v>
      </c>
      <c r="E8" s="100">
        <v>4</v>
      </c>
      <c r="F8" s="100">
        <v>2.4489999999999998</v>
      </c>
      <c r="G8" s="80">
        <f>IFERROR(E8-TINV(1-$H$4/100,$D$46)*(SQRT($E$46/D8)),"")</f>
        <v>1.4274209617248492</v>
      </c>
      <c r="H8" s="80">
        <f>IFERROR(E8+TINV(1-$H$4/100,$D$46)*(SQRT($E$46/D8)),"")</f>
        <v>6.5725790382751512</v>
      </c>
      <c r="K8" s="66">
        <f t="shared" si="0"/>
        <v>17.992802999999999</v>
      </c>
      <c r="L8" s="66">
        <f>IF(E8&lt;&gt;"",D8*(E8-$K$23)^2,"")</f>
        <v>1.7777777777777795</v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>
        <v>4</v>
      </c>
      <c r="E11" s="130">
        <v>6</v>
      </c>
      <c r="F11" s="64">
        <v>2.4489999999999998</v>
      </c>
      <c r="G11" s="116">
        <f>IFERROR(E11-TINV(1-$H$4/100,$D$46)*(SQRT($E$46/D11)),"")</f>
        <v>3.4274209617248492</v>
      </c>
      <c r="H11" s="116">
        <f>IFERROR(E11+TINV(1-$H$4/100,$D$46)*(SQRT($E$46/D11)),"")</f>
        <v>8.5725790382751512</v>
      </c>
      <c r="K11" s="117">
        <f t="shared" si="0"/>
        <v>17.992802999999999</v>
      </c>
      <c r="L11" s="117">
        <f t="shared" ref="L11:L22" si="2">IF(E11&lt;&gt;"",D11*(E11-$K$23)^2,"")</f>
        <v>7.1111111111111081</v>
      </c>
    </row>
    <row r="12" spans="2:12" x14ac:dyDescent="0.55000000000000004">
      <c r="B12" s="126"/>
      <c r="C12" s="126">
        <v>2</v>
      </c>
      <c r="D12" s="72">
        <v>4</v>
      </c>
      <c r="E12" s="71">
        <v>4</v>
      </c>
      <c r="F12" s="100">
        <v>2.4489999999999998</v>
      </c>
      <c r="G12" s="80">
        <f>IFERROR(E12-TINV(1-$H$4/100,$D$46)*(SQRT($E$46/D12)),"")</f>
        <v>1.4274209617248492</v>
      </c>
      <c r="H12" s="80">
        <f>IFERROR(E12+TINV(1-$H$4/100,$D$46)*(SQRT($E$46/D12)),"")</f>
        <v>6.5725790382751512</v>
      </c>
      <c r="I12" s="78"/>
      <c r="K12" s="66">
        <f t="shared" si="0"/>
        <v>17.992802999999999</v>
      </c>
      <c r="L12" s="66">
        <f t="shared" si="2"/>
        <v>1.7777777777777795</v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>
        <v>4</v>
      </c>
      <c r="E15" s="130">
        <v>7</v>
      </c>
      <c r="F15" s="64">
        <v>2.4489999999999998</v>
      </c>
      <c r="G15" s="116">
        <f>IFERROR(E15-TINV(1-$H$4/100,$D$46)*(SQRT($E$46/D15)),"")</f>
        <v>4.4274209617248488</v>
      </c>
      <c r="H15" s="116">
        <f>IFERROR(E15+TINV(1-$H$4/100,$D$46)*(SQRT($E$46/D15)),"")</f>
        <v>9.5725790382751512</v>
      </c>
      <c r="I15" s="78"/>
      <c r="K15" s="117">
        <f t="shared" si="0"/>
        <v>17.992802999999999</v>
      </c>
      <c r="L15" s="117">
        <f t="shared" si="2"/>
        <v>21.777777777777771</v>
      </c>
    </row>
    <row r="16" spans="2:12" ht="15.75" customHeight="1" x14ac:dyDescent="0.55000000000000004">
      <c r="B16" s="126"/>
      <c r="C16" s="126">
        <v>2</v>
      </c>
      <c r="D16" s="72">
        <v>4</v>
      </c>
      <c r="E16" s="71">
        <v>5</v>
      </c>
      <c r="F16" s="100">
        <v>2.4489999999999998</v>
      </c>
      <c r="G16" s="80">
        <f>IFERROR(E16-TINV(1-$H$4/100,$D$46)*(SQRT($E$46/D16)),"")</f>
        <v>2.4274209617248492</v>
      </c>
      <c r="H16" s="80">
        <f>IFERROR(E16+TINV(1-$H$4/100,$D$46)*(SQRT($E$46/D16)),"")</f>
        <v>7.5725790382751512</v>
      </c>
      <c r="K16" s="66">
        <f t="shared" si="0"/>
        <v>17.992802999999999</v>
      </c>
      <c r="L16" s="66">
        <f t="shared" si="2"/>
        <v>0.44444444444444364</v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>
        <f>SUMPRODUCT(E7:E22,D7:D22)/SUM(D7:D22)</f>
        <v>4.666666666666667</v>
      </c>
      <c r="L23" s="114">
        <f>SUM(L7:L22)</f>
        <v>61.333333333333329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6" t="s">
        <v>82</v>
      </c>
      <c r="H26" s="146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>
        <f>IF(SUM(D7:D10)&gt;0,SUM(D7:D10),"")</f>
        <v>8</v>
      </c>
      <c r="E27" s="114">
        <f>IFERROR(SUMPRODUCT(D7:D10,E7:E10)/D27,"")</f>
        <v>3</v>
      </c>
      <c r="F27" s="114">
        <f>IFERROR(SQRT(K27/(D27-1)),"")</f>
        <v>2.5067225614335542</v>
      </c>
      <c r="G27" s="114">
        <f>IFERROR(E27-TINV(1-$H$4/100,$D$46)*(SQRT($E$46/D27)),"")</f>
        <v>1.1809119168972741</v>
      </c>
      <c r="H27" s="114">
        <f>IFERROR(E27+TINV(1-$H$4/100,$D$46)*(SQRT($E$46/D27)),"")</f>
        <v>4.8190880831027254</v>
      </c>
      <c r="K27" s="114">
        <f>D7*(E7-E27)^2+D8*(E8-E27)^2+D9*(E9-E27)^2+D10*(E10-E27)^2+K7+K8+K9+K10</f>
        <v>43.985605999999997</v>
      </c>
      <c r="L27" s="114">
        <f>IFERROR((E27-$K$23)^2,"")</f>
        <v>2.7777777777777786</v>
      </c>
    </row>
    <row r="28" spans="2:12" x14ac:dyDescent="0.55000000000000004">
      <c r="B28" s="121">
        <v>2</v>
      </c>
      <c r="C28" s="121" t="s">
        <v>7</v>
      </c>
      <c r="D28" s="122">
        <f>IF(SUM(D11:D14)&gt;0,SUM(D11:D14),"")</f>
        <v>8</v>
      </c>
      <c r="E28" s="80">
        <f>IFERROR(SUMPRODUCT(D11:D14,E11:E14)/D28,"")</f>
        <v>5</v>
      </c>
      <c r="F28" s="80">
        <f>IFERROR(SQRT(K28/(D28-1)),"")</f>
        <v>2.5067225614335542</v>
      </c>
      <c r="G28" s="80">
        <f>IFERROR(E28-TINV(1-$H$4/100,$D$46)*(SQRT($E$46/D28)),"")</f>
        <v>3.1809119168972741</v>
      </c>
      <c r="H28" s="80">
        <f>IFERROR(E28+TINV(1-$H$4/100,$D$46)*(SQRT($E$46/D28)),"")</f>
        <v>6.8190880831027254</v>
      </c>
      <c r="K28" s="80">
        <f>D11*(E11-E28)^2+D12*(E12-E28)^2+D13*(E13-E28)^2+D14*(E14-E28)^2+K11+K12+K13+K14</f>
        <v>43.985605999999997</v>
      </c>
      <c r="L28" s="80">
        <f>IFERROR((E28-$K$23)^2,"")</f>
        <v>0.11111111111111091</v>
      </c>
    </row>
    <row r="29" spans="2:12" x14ac:dyDescent="0.55000000000000004">
      <c r="B29" s="121">
        <v>3</v>
      </c>
      <c r="C29" s="121" t="s">
        <v>7</v>
      </c>
      <c r="D29" s="122">
        <f>IF(SUM(D15:D18)&gt;0,SUM(D15:D18),"")</f>
        <v>8</v>
      </c>
      <c r="E29" s="80">
        <f>IFERROR(SUMPRODUCT(D15:D18,E15:E18)/D29,"")</f>
        <v>6</v>
      </c>
      <c r="F29" s="80">
        <f>IFERROR(SQRT(K29/(D29-1)),"")</f>
        <v>2.5067225614335542</v>
      </c>
      <c r="G29" s="80">
        <f>IFERROR(E29-TINV(1-$H$4/100,$D$46)*(SQRT($E$46/D29)),"")</f>
        <v>4.1809119168972746</v>
      </c>
      <c r="H29" s="80">
        <f>IFERROR(E29+TINV(1-$H$4/100,$D$46)*(SQRT($E$46/D29)),"")</f>
        <v>7.8190880831027254</v>
      </c>
      <c r="K29" s="80">
        <f>D15*(E15-E29)^2+D16*(E16-E29)^2+D17*(E17-E29)^2+D18*(E18-E29)^2+K15+K16+K17+K18</f>
        <v>43.985605999999997</v>
      </c>
      <c r="L29" s="80">
        <f>IFERROR((E29-$K$23)^2,"")</f>
        <v>1.777777777777777</v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6" t="s">
        <v>82</v>
      </c>
      <c r="H34" s="146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>
        <f>IF(SUM(D7,D11,D15,D19)&gt;0,SUM(D7,D11,D15,D19),"")</f>
        <v>12</v>
      </c>
      <c r="E35" s="78">
        <f>IFERROR(SUM(D7*E7,D11*E11,D15*E15,D19*E19)/D35,"")</f>
        <v>5</v>
      </c>
      <c r="F35" s="78">
        <f>IFERROR(SQRT(K35/(D35-1)),"")</f>
        <v>3.1619672961335605</v>
      </c>
      <c r="G35" s="114">
        <f>IFERROR(E35-TINV(1-$H$4/100,$D$46)*(SQRT($E$46/D35)),"")</f>
        <v>3.5147207997402532</v>
      </c>
      <c r="H35" s="114">
        <f>IFERROR(E35+TINV(1-$H$4/100,$D$46)*(SQRT($E$46/D35)),"")</f>
        <v>6.4852792002597468</v>
      </c>
      <c r="K35" s="114">
        <f>D7*(E7-E35)^2+D11*(E11-E35)^2+D15*(E15-E35)^2+D19*(E19-E35)^2+K7+K11+K15+K19</f>
        <v>109.97840899999998</v>
      </c>
      <c r="L35" s="114">
        <f>IFERROR((E35-$K$23)^2,"")</f>
        <v>0.11111111111111091</v>
      </c>
    </row>
    <row r="36" spans="2:12" x14ac:dyDescent="0.55000000000000004">
      <c r="B36" s="73" t="s">
        <v>7</v>
      </c>
      <c r="C36" s="106">
        <v>2</v>
      </c>
      <c r="D36" s="124">
        <f>IF(SUM(D8,D12,D16,D20)&gt;0,SUM(D8,D12,D16,D20),"")</f>
        <v>12</v>
      </c>
      <c r="E36" s="78">
        <f>IFERROR(SUM(D8*E8,D12*E12,D16*E16,D20*E20)/D36,"")</f>
        <v>4.333333333333333</v>
      </c>
      <c r="F36" s="78">
        <f>IFERROR(SQRT(K36/(D36-1)),"")</f>
        <v>2.2692625086872016</v>
      </c>
      <c r="G36" s="80">
        <f>IFERROR(E36-TINV(1-$H$4/100,$D$46)*(SQRT($E$46/D36)),"")</f>
        <v>2.8480541330735862</v>
      </c>
      <c r="H36" s="80">
        <f>IFERROR(E36+TINV(1-$H$4/100,$D$46)*(SQRT($E$46/D36)),"")</f>
        <v>5.8186125335930798</v>
      </c>
      <c r="K36" s="80">
        <f>D8*(E8-E36)^2+D12*(E12-E36)^2+D16*(E16-E36)^2+D20*(E20-E36)^2+K8+K12+K16+K20</f>
        <v>56.645075666666656</v>
      </c>
      <c r="L36" s="80">
        <f>IFERROR((E36-$K$23)^2,"")</f>
        <v>0.11111111111111151</v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37.333333333333329</v>
      </c>
      <c r="D43" s="20">
        <f>IF(COUNT(D27:D30)-1&gt;0,COUNT(D27:D30)-1,"")</f>
        <v>2</v>
      </c>
      <c r="E43" s="78">
        <f>IFERROR(C43/D43,"")</f>
        <v>18.666666666666664</v>
      </c>
      <c r="F43" s="19">
        <f>IFERROR(E43/$E$46,"")</f>
        <v>3.1123555345990281</v>
      </c>
      <c r="G43" s="19">
        <f>IFERROR(FDIST(F43,D43,$D$46),"")</f>
        <v>6.9043864734971941E-2</v>
      </c>
      <c r="H43" s="78">
        <f>IFERROR(C43/(C43+$C$46),"")</f>
        <v>0.25695708202327472</v>
      </c>
      <c r="K43" s="19"/>
    </row>
    <row r="44" spans="2:12" x14ac:dyDescent="0.55000000000000004">
      <c r="B44" s="73" t="s">
        <v>32</v>
      </c>
      <c r="C44" s="78">
        <f>IFERROR(SUMPRODUCT(D35:D37,L35:L37),"")</f>
        <v>2.6666666666666687</v>
      </c>
      <c r="D44" s="73">
        <f>IF(COUNT(D35:D38)-1&gt;0,COUNT(D35:D38)-1,"")</f>
        <v>1</v>
      </c>
      <c r="E44" s="78">
        <f>IFERROR(C44/D44,"")</f>
        <v>2.6666666666666687</v>
      </c>
      <c r="F44" s="78">
        <f>IFERROR(E44/$E$46,"")</f>
        <v>0.44462221922843298</v>
      </c>
      <c r="G44" s="78">
        <f>IFERROR(FDIST(F44,D44,$D$46),"")</f>
        <v>0.51335727511926788</v>
      </c>
      <c r="H44" s="78">
        <f>IFERROR(C44/(C44+$C$46),"")</f>
        <v>2.4105791593005164E-2</v>
      </c>
      <c r="K44" s="78"/>
    </row>
    <row r="45" spans="2:12" x14ac:dyDescent="0.55000000000000004">
      <c r="B45" s="73" t="s">
        <v>47</v>
      </c>
      <c r="C45" s="78">
        <f>IFERROR(L23-C43-C44,"")</f>
        <v>21.333333333333332</v>
      </c>
      <c r="D45" s="73">
        <f>IFERROR(D43*D44,"")</f>
        <v>2</v>
      </c>
      <c r="E45" s="78">
        <f>IFERROR(C45/D45,"")</f>
        <v>10.666666666666666</v>
      </c>
      <c r="F45" s="78">
        <f>IFERROR(E45/$E$46,"")</f>
        <v>1.7784888769137306</v>
      </c>
      <c r="G45" s="78">
        <f>IFERROR(FDIST(F45,D45,$D$46),"")</f>
        <v>0.1973157188522619</v>
      </c>
      <c r="H45" s="78">
        <f>IFERROR(C45/(C45+$C$46),"")</f>
        <v>0.16500354523007829</v>
      </c>
      <c r="K45" s="78"/>
    </row>
    <row r="46" spans="2:12" x14ac:dyDescent="0.55000000000000004">
      <c r="B46" s="73" t="s">
        <v>18</v>
      </c>
      <c r="C46" s="78">
        <f>IFERROR(SUM(K7,K8,K9,K11,K12,K13,K15,K16,K17),"")</f>
        <v>107.95681799999998</v>
      </c>
      <c r="D46" s="124">
        <f>IFERROR(D47-SUM(D43:D45)-1,"")</f>
        <v>18</v>
      </c>
      <c r="E46" s="78">
        <f>IFERROR(C46/D46,"")</f>
        <v>5.9976009999999995</v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169.29015133333331</v>
      </c>
      <c r="D47" s="22">
        <f>IF(SUM(D7:D22)&gt;0,SUM(D7:D22),"")</f>
        <v>24</v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2019-11-01T00:12:45Z</dcterms:modified>
</cp:coreProperties>
</file>