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20" documentId="13_ncr:1_{DCD32313-8B76-407D-8C80-FFCF946ECF37}" xr6:coauthVersionLast="47" xr6:coauthVersionMax="47" xr10:uidLastSave="{7019D972-11C2-415C-ACFC-B3755A9F6005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<sst xmlns="http://schemas.openxmlformats.org/spreadsheetml/2006/main" count="128" uniqueCount="108">
  <si>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</si>
  <si>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</si>
  <si>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</si>
  <si>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</si>
  <si>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</si>
  <si>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</si>
  <si>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</si>
  <si>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</si>
  <si>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</si>
  <si>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</si>
  <si>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</si>
  <si>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</si>
  <si>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</si>
  <si>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</si>
  <si>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</si>
  <si>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</si>
  <si>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</si>
  <si>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</si>
  <si>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</si>
  <si>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</si>
  <si>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</si>
  <si>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</si>
  <si>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</si>
  <si>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</si>
  <si>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</si>
  <si>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</si>
  <si>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</si>
  <si>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</si>
  <si>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</si>
  <si>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</si>
  <si>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</si>
  <si>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</si>
  <si>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</si>
  <si>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</si>
  <si>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</si>
  <si>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</si>
  <si>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</si>
  <si>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</si>
  <si>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</si>
  <si>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</si>
  <si>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</si>
  <si>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</si>
  <si>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</si>
  <si>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</si>
  <si>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</si>
  <si>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</si>
  <si>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</si>
  <si>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</si>
  <si>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</si>
  <si>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</si>
  <si>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</si>
  <si>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</si>
  <si>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</si>
  <si>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</si>
  <si>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</si>
  <si>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</si>
  <si>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</si>
  <si>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</si>
  <si>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</si>
  <si>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</si>
  <si>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</si>
  <si>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</si>
  <si>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</si>
  <si>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</si>
  <si>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</si>
  <si>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</si>
  <si>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</si>
  <si>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</si>
  <si>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</si>
  <si>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</si>
  <si>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</si>
  <si>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</si>
  <si>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</si>
  <si>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</si>
  <si>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</si>
  <si>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</si>
  <si>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</si>
  <si>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</si>
  <si>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</si>
  <si>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</si>
  <si>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</si>
  <si>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</si>
  <si>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</si>
  <si>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</si>
  <si>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</si>
  <si>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</si>
  <si>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</si>
  <si>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</si>
  <si>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</si>
  <si>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</si>
  <si>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</si>
  <si>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</si>
  <si>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</si>
  <si>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</si>
  <si>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</si>
  <si>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</si>
  <si>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</si>
  <si>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</si>
  <si>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</si>
  <si>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</si>
  <si>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</si>
  <si>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</si>
  <si>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</si>
  <si>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https://cwendorf.github.io/BASE/ARISE</t>
  </si>
  <si>
    <t>http://cwendorf.github.io</t>
  </si>
  <si>
    <t>Version: 2.210601</t>
  </si>
  <si>
    <t>Wendorf, C. A. (2021).</t>
  </si>
  <si>
    <t>ARISE: Arelational and Relational Interval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</si>
</sst>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7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105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103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100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101</v>
      </c>
    </row>
    <row r="26" spans="1:11" ht="15" customHeight="1" x14ac:dyDescent="0.3">
      <c r="A26" s="27"/>
      <c r="K26" s="93" t="s">
        <v>104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102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106</v>
      </c>
    </row>
    <row r="31" spans="1:11" ht="15" customHeight="1" x14ac:dyDescent="0.3">
      <c r="B31" s="27" t="s">
        <v>26</v>
      </c>
      <c r="C31" s="27"/>
      <c r="K31" s="1" t="s">
        <v>107</v>
      </c>
    </row>
    <row r="32" spans="1:11" ht="15" customHeight="1" x14ac:dyDescent="0.3">
      <c r="B32" s="27" t="s">
        <v>25</v>
      </c>
      <c r="K32" s="27" t="s">
        <v>103</v>
      </c>
    </row>
    <row r="33" spans="11:11" ht="15" customHeight="1" x14ac:dyDescent="0.3">
      <c r="K33" s="9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>Manipulation</v>
      </c>
      <c r="M6" s="72" t="str">
        <f>IF(B20="","",B20)</f>
        <v>Outcome</v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30" t="s">
        <v>94</v>
      </c>
      <c r="C7" s="130"/>
      <c r="D7" s="130"/>
      <c r="E7" s="130"/>
      <c r="F7" s="130"/>
      <c r="G7" s="130"/>
      <c r="H7" s="130"/>
      <c r="K7" s="32">
        <v>1</v>
      </c>
      <c r="L7" s="32">
        <v>1</v>
      </c>
      <c r="M7" s="31">
        <v>61</v>
      </c>
      <c r="T7" s="13">
        <v>1</v>
      </c>
      <c r="U7" s="15">
        <f>IFERROR(AVERAGEIFS($M:$M,$L:$L,$T7),"")</f>
        <v>67</v>
      </c>
      <c r="V7" s="15">
        <f t="array" ref="V7">IFERROR(STDEV(IF($L:$L=$T7,$M:$M)),"")</f>
        <v>4.2946995755750415</v>
      </c>
      <c r="W7" s="70">
        <f>IF(COUNTIF($L:$L,$T7)&lt;1,"",COUNTIF($L:$L,$T7))</f>
        <v>10</v>
      </c>
      <c r="X7" s="14">
        <f t="shared" ref="X7:X12" si="0">IFERROR(V7/SQRT(W7),"")</f>
        <v>1.3581032524975574</v>
      </c>
      <c r="Y7" s="69"/>
      <c r="Z7" s="69"/>
    </row>
    <row r="8" spans="2:26" ht="15" customHeight="1" thickBot="1" x14ac:dyDescent="0.35">
      <c r="B8" s="131"/>
      <c r="C8" s="131"/>
      <c r="D8" s="131"/>
      <c r="E8" s="131"/>
      <c r="F8" s="131"/>
      <c r="G8" s="131"/>
      <c r="H8" s="131"/>
      <c r="K8" s="31">
        <v>2</v>
      </c>
      <c r="L8" s="31">
        <v>1</v>
      </c>
      <c r="M8" s="31">
        <v>64</v>
      </c>
      <c r="T8" s="49">
        <v>2</v>
      </c>
      <c r="U8" s="65">
        <f>IFERROR(AVERAGEIFS($M:$M,$L:$L,$T8),"")</f>
        <v>71</v>
      </c>
      <c r="V8" s="65">
        <f t="array" ref="V8">IFERROR(STDEV(IF($L:$L=$T8,$M:$M)),"")</f>
        <v>5.3748384988656994</v>
      </c>
      <c r="W8" s="9">
        <f>IF(COUNTIF($L:$L,$T8)&lt;1,"",COUNTIF($L:$L,$T8))</f>
        <v>10</v>
      </c>
      <c r="X8" s="48">
        <f t="shared" si="0"/>
        <v>1.6996731711975948</v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K9" s="31">
        <v>3</v>
      </c>
      <c r="L9" s="31">
        <v>1</v>
      </c>
      <c r="M9" s="31">
        <v>72</v>
      </c>
      <c r="T9" s="49">
        <v>3</v>
      </c>
      <c r="U9" s="65">
        <f>IFERROR(AVERAGEIFS($M:$M,$L:$L,$T9),"")</f>
        <v>72.5</v>
      </c>
      <c r="V9" s="65">
        <f t="array" ref="V9">IFERROR(STDEV(IF($L:$L=$T9,$M:$M)),"")</f>
        <v>4.85912657903775</v>
      </c>
      <c r="W9" s="9">
        <f>IF(COUNTIF($L:$L,$T9)&lt;1,"",COUNTIF($L:$L,$T9))</f>
        <v>10</v>
      </c>
      <c r="X9" s="48">
        <f t="shared" si="0"/>
        <v>1.5365907428821477</v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K10" s="31">
        <v>4</v>
      </c>
      <c r="L10" s="31">
        <v>1</v>
      </c>
      <c r="M10" s="31">
        <v>64</v>
      </c>
      <c r="T10" s="49">
        <v>4</v>
      </c>
      <c r="U10" s="65">
        <f>IFERROR(AVERAGEIFS($M:$M,$L:$L,$T10),"")</f>
        <v>76</v>
      </c>
      <c r="V10" s="65">
        <f t="array" ref="V10">IFERROR(STDEV(IF($L:$L=$T10,$M:$M)),"")</f>
        <v>6.5828058860438334</v>
      </c>
      <c r="W10" s="9">
        <f>IF(COUNTIF($L:$L,$T10)&lt;1,"",COUNTIF($L:$L,$T10))</f>
        <v>10</v>
      </c>
      <c r="X10" s="48">
        <f t="shared" si="0"/>
        <v>2.0816659994661326</v>
      </c>
      <c r="Y10" s="64"/>
      <c r="Z10" s="64"/>
    </row>
    <row r="11" spans="2:26" ht="15" customHeight="1" x14ac:dyDescent="0.3">
      <c r="B11" s="132" t="s">
        <v>93</v>
      </c>
      <c r="C11" s="132"/>
      <c r="D11" s="132"/>
      <c r="E11" s="132"/>
      <c r="F11" s="132"/>
      <c r="G11" s="132"/>
      <c r="H11" s="132"/>
      <c r="K11" s="31">
        <v>5</v>
      </c>
      <c r="L11" s="31">
        <v>1</v>
      </c>
      <c r="M11" s="31">
        <v>64</v>
      </c>
      <c r="T11" s="49">
        <v>5</v>
      </c>
      <c r="U11" s="65">
        <f>IFERROR(AVERAGEIFS($M:$M,$L:$L,$T11),"")</f>
        <v>65.5</v>
      </c>
      <c r="V11" s="65">
        <f t="array" ref="V11">IFERROR(STDEV(IF($L:$L=$T11,$M:$M)),"")</f>
        <v>4.9721446300587662</v>
      </c>
      <c r="W11" s="9">
        <f>IF(COUNTIF($L:$L,$T11)&lt;1,"",COUNTIF($L:$L,$T11))</f>
        <v>10</v>
      </c>
      <c r="X11" s="48">
        <f t="shared" si="0"/>
        <v>1.5723301886761005</v>
      </c>
      <c r="Y11" s="64"/>
      <c r="Z11" s="64"/>
    </row>
    <row r="12" spans="2:26" ht="15" customHeight="1" thickBot="1" x14ac:dyDescent="0.35">
      <c r="B12" s="133"/>
      <c r="C12" s="133"/>
      <c r="D12" s="133"/>
      <c r="E12" s="133"/>
      <c r="F12" s="133"/>
      <c r="G12" s="133"/>
      <c r="H12" s="133"/>
      <c r="K12" s="31">
        <v>6</v>
      </c>
      <c r="L12" s="31">
        <v>1</v>
      </c>
      <c r="M12" s="31">
        <v>70</v>
      </c>
      <c r="T12" s="16" t="s">
        <v>22</v>
      </c>
      <c r="U12" s="18">
        <f>IFERROR(AVERAGE($M:$M),"")</f>
        <v>70.400000000000006</v>
      </c>
      <c r="V12" s="18">
        <f>IFERROR(STDEV($M:$M),"")</f>
        <v>6.337449432233953</v>
      </c>
      <c r="W12" s="63">
        <f>IFERROR(COUNT($L:$L),"")</f>
        <v>50</v>
      </c>
      <c r="X12" s="17">
        <f t="shared" si="0"/>
        <v>0.89625069379189271</v>
      </c>
      <c r="Y12" s="62"/>
      <c r="Z12" s="62"/>
    </row>
    <row r="13" spans="2:26" ht="15" customHeight="1" x14ac:dyDescent="0.3">
      <c r="B13" s="133"/>
      <c r="C13" s="133"/>
      <c r="D13" s="133"/>
      <c r="E13" s="133"/>
      <c r="F13" s="133"/>
      <c r="G13" s="133"/>
      <c r="H13" s="133"/>
      <c r="K13" s="31">
        <v>7</v>
      </c>
      <c r="L13" s="31">
        <v>1</v>
      </c>
      <c r="M13" s="31">
        <v>73</v>
      </c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4"/>
      <c r="C14" s="134"/>
      <c r="D14" s="134"/>
      <c r="E14" s="134"/>
      <c r="F14" s="134"/>
      <c r="G14" s="134"/>
      <c r="H14" s="134"/>
      <c r="K14" s="31">
        <v>8</v>
      </c>
      <c r="L14" s="31">
        <v>1</v>
      </c>
      <c r="M14" s="31">
        <v>65</v>
      </c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K15" s="31">
        <v>9</v>
      </c>
      <c r="L15" s="31">
        <v>1</v>
      </c>
      <c r="M15" s="31">
        <v>65</v>
      </c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K16" s="31">
        <v>10</v>
      </c>
      <c r="L16" s="31">
        <v>1</v>
      </c>
      <c r="M16" s="31">
        <v>72</v>
      </c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K17" s="31">
        <v>11</v>
      </c>
      <c r="L17" s="31">
        <v>2</v>
      </c>
      <c r="M17" s="31">
        <v>69</v>
      </c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5" t="s">
        <v>44</v>
      </c>
      <c r="C18" s="135"/>
      <c r="D18" s="58" t="s">
        <v>42</v>
      </c>
      <c r="E18" s="58"/>
      <c r="F18" s="58"/>
      <c r="G18" s="58"/>
      <c r="H18" s="52" t="s">
        <v>41</v>
      </c>
      <c r="K18" s="31">
        <v>12</v>
      </c>
      <c r="L18" s="31">
        <v>2</v>
      </c>
      <c r="M18" s="31">
        <v>74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27" t="s">
        <v>91</v>
      </c>
      <c r="C19" s="127"/>
      <c r="D19" s="129"/>
      <c r="E19" s="127"/>
      <c r="F19" s="127"/>
      <c r="G19" s="128"/>
      <c r="H19" s="50"/>
      <c r="K19" s="31">
        <v>13</v>
      </c>
      <c r="L19" s="31">
        <v>2</v>
      </c>
      <c r="M19" s="31">
        <v>79</v>
      </c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24" t="s">
        <v>92</v>
      </c>
      <c r="C20" s="124"/>
      <c r="D20" s="125"/>
      <c r="E20" s="124"/>
      <c r="F20" s="124"/>
      <c r="G20" s="126"/>
      <c r="H20" s="42"/>
      <c r="K20" s="31">
        <v>14</v>
      </c>
      <c r="L20" s="31">
        <v>2</v>
      </c>
      <c r="M20" s="31">
        <v>69</v>
      </c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K21" s="31">
        <v>15</v>
      </c>
      <c r="L21" s="31">
        <v>2</v>
      </c>
      <c r="M21" s="31">
        <v>64</v>
      </c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5" t="str">
        <f>IF(B19="","Factor",B19)</f>
        <v>Manipulation</v>
      </c>
      <c r="C22" s="135"/>
      <c r="D22" s="53" t="s">
        <v>42</v>
      </c>
      <c r="E22" s="53"/>
      <c r="F22" s="53"/>
      <c r="G22" s="53"/>
      <c r="H22" s="52" t="s">
        <v>41</v>
      </c>
      <c r="K22" s="31">
        <v>16</v>
      </c>
      <c r="L22" s="31">
        <v>2</v>
      </c>
      <c r="M22" s="31">
        <v>64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27" t="s">
        <v>95</v>
      </c>
      <c r="C23" s="128"/>
      <c r="D23" s="129"/>
      <c r="E23" s="127"/>
      <c r="F23" s="127"/>
      <c r="G23" s="128"/>
      <c r="H23" s="50">
        <f>IF(B23="","",1)</f>
        <v>1</v>
      </c>
      <c r="K23" s="31">
        <v>17</v>
      </c>
      <c r="L23" s="31">
        <v>2</v>
      </c>
      <c r="M23" s="31">
        <v>69</v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1" t="s">
        <v>96</v>
      </c>
      <c r="C24" s="121"/>
      <c r="D24" s="122"/>
      <c r="E24" s="121"/>
      <c r="F24" s="121"/>
      <c r="G24" s="123"/>
      <c r="H24" s="44">
        <f>IF(B24="","",2)</f>
        <v>2</v>
      </c>
      <c r="K24" s="31">
        <v>18</v>
      </c>
      <c r="L24" s="31">
        <v>2</v>
      </c>
      <c r="M24" s="31">
        <v>69</v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1" t="s">
        <v>97</v>
      </c>
      <c r="C25" s="121"/>
      <c r="D25" s="122"/>
      <c r="E25" s="121"/>
      <c r="F25" s="121"/>
      <c r="G25" s="123"/>
      <c r="H25" s="44">
        <f>IF(B25="","",3)</f>
        <v>3</v>
      </c>
      <c r="K25" s="31">
        <v>19</v>
      </c>
      <c r="L25" s="31">
        <v>2</v>
      </c>
      <c r="M25" s="31">
        <v>74</v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1" t="s">
        <v>98</v>
      </c>
      <c r="C26" s="121"/>
      <c r="D26" s="122"/>
      <c r="E26" s="121"/>
      <c r="F26" s="121"/>
      <c r="G26" s="123"/>
      <c r="H26" s="43">
        <f>IF(B26="","",4)</f>
        <v>4</v>
      </c>
      <c r="K26" s="31">
        <v>20</v>
      </c>
      <c r="L26" s="31">
        <v>2</v>
      </c>
      <c r="M26" s="31">
        <v>79</v>
      </c>
      <c r="T26" s="87" t="s">
        <v>14</v>
      </c>
      <c r="U26" s="37">
        <f t="array" ref="U26">IFERROR(DEVSQ(U7:U11)*(W7:W11),"")</f>
        <v>716.99999999999989</v>
      </c>
      <c r="V26" s="36">
        <f>IFERROR(COUNT(W7:W11)-1,"")</f>
        <v>4</v>
      </c>
      <c r="W26" s="35">
        <f>IFERROR(U26/V26,"")</f>
        <v>179.24999999999997</v>
      </c>
      <c r="X26" s="35">
        <f>IFERROR(W26/W27,"")</f>
        <v>6.4478417266187043</v>
      </c>
      <c r="Y26" s="35" t="str">
        <f>IFERROR(IF(FDIST(X26,V26,V27)&lt;0.001,"&lt; 0.001",FDIST(X26,V26,V27)),"")</f>
        <v>&lt; 0.001</v>
      </c>
      <c r="Z26" s="26">
        <f>IFERROR(U26/U28,"")</f>
        <v>0.36432926829268281</v>
      </c>
    </row>
    <row r="27" spans="2:26" ht="15" customHeight="1" thickBot="1" x14ac:dyDescent="0.35">
      <c r="B27" s="124" t="s">
        <v>99</v>
      </c>
      <c r="C27" s="124"/>
      <c r="D27" s="125"/>
      <c r="E27" s="124"/>
      <c r="F27" s="124"/>
      <c r="G27" s="126"/>
      <c r="H27" s="42">
        <f>IF(B27="","",5)</f>
        <v>5</v>
      </c>
      <c r="K27" s="31">
        <v>21</v>
      </c>
      <c r="L27" s="31">
        <v>3</v>
      </c>
      <c r="M27" s="31">
        <v>70</v>
      </c>
      <c r="T27" s="88" t="s">
        <v>15</v>
      </c>
      <c r="U27" s="5">
        <f t="array" ref="U27">SUM(IF(W7:W11&lt;&gt;"",V7:V11^2*((W7:W11)-1),0))</f>
        <v>1251</v>
      </c>
      <c r="V27" s="6">
        <f t="array" ref="V27">SUM(IF(W7:W11&lt;&gt;"",W7:W11-1))</f>
        <v>45</v>
      </c>
      <c r="W27" s="7">
        <f>IFERROR(U27/V27,"")</f>
        <v>27.8</v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K28" s="31">
        <v>22</v>
      </c>
      <c r="L28" s="31">
        <v>3</v>
      </c>
      <c r="M28" s="31">
        <v>75</v>
      </c>
      <c r="T28" s="90" t="s">
        <v>16</v>
      </c>
      <c r="U28" s="33">
        <f>IFERROR((V12^2)*(W12-1),"")</f>
        <v>1968.0000000000002</v>
      </c>
      <c r="V28" s="34">
        <f>W12-1</f>
        <v>49</v>
      </c>
      <c r="W28" s="33">
        <f>IFERROR(U28/V28,"")</f>
        <v>40.163265306122454</v>
      </c>
      <c r="X28" s="33"/>
      <c r="Y28" s="33"/>
      <c r="Z28" s="25"/>
    </row>
    <row r="29" spans="2:26" ht="15" customHeight="1" x14ac:dyDescent="0.3">
      <c r="K29" s="31">
        <v>23</v>
      </c>
      <c r="L29" s="31">
        <v>3</v>
      </c>
      <c r="M29" s="31">
        <v>80</v>
      </c>
      <c r="T29" s="24"/>
      <c r="U29" s="24"/>
      <c r="V29" s="24"/>
      <c r="W29" s="24"/>
      <c r="X29" s="24"/>
      <c r="Y29" s="24"/>
      <c r="Z29" s="24"/>
    </row>
    <row r="30" spans="2:26" ht="15" customHeight="1" x14ac:dyDescent="0.3">
      <c r="K30" s="31">
        <v>24</v>
      </c>
      <c r="L30" s="31">
        <v>3</v>
      </c>
      <c r="M30" s="31">
        <v>80</v>
      </c>
    </row>
    <row r="31" spans="2:26" ht="15" customHeight="1" x14ac:dyDescent="0.3">
      <c r="K31" s="31">
        <v>25</v>
      </c>
      <c r="L31" s="31">
        <v>3</v>
      </c>
      <c r="M31" s="31">
        <v>70</v>
      </c>
      <c r="S31" s="1"/>
    </row>
    <row r="32" spans="2:26" ht="15" customHeight="1" x14ac:dyDescent="0.3">
      <c r="K32" s="31">
        <v>26</v>
      </c>
      <c r="L32" s="31">
        <v>3</v>
      </c>
      <c r="M32" s="31">
        <v>65</v>
      </c>
      <c r="S32" s="1"/>
    </row>
    <row r="33" spans="11:19" ht="15" customHeight="1" x14ac:dyDescent="0.3">
      <c r="K33" s="31">
        <v>27</v>
      </c>
      <c r="L33" s="31">
        <v>3</v>
      </c>
      <c r="M33" s="31">
        <v>70</v>
      </c>
      <c r="S33" s="1"/>
    </row>
    <row r="34" spans="11:19" ht="15" customHeight="1" x14ac:dyDescent="0.3">
      <c r="K34" s="31">
        <v>28</v>
      </c>
      <c r="L34" s="31">
        <v>3</v>
      </c>
      <c r="M34" s="32">
        <v>75</v>
      </c>
      <c r="S34" s="1"/>
    </row>
    <row r="35" spans="11:19" ht="15" customHeight="1" x14ac:dyDescent="0.3">
      <c r="K35" s="31">
        <v>29</v>
      </c>
      <c r="L35" s="31">
        <v>3</v>
      </c>
      <c r="M35" s="31">
        <v>70</v>
      </c>
      <c r="S35" s="1"/>
    </row>
    <row r="36" spans="11:19" ht="15" customHeight="1" x14ac:dyDescent="0.3">
      <c r="K36" s="31">
        <v>30</v>
      </c>
      <c r="L36" s="31">
        <v>3</v>
      </c>
      <c r="M36" s="31">
        <v>70</v>
      </c>
    </row>
    <row r="37" spans="11:19" ht="15" customHeight="1" x14ac:dyDescent="0.3">
      <c r="K37" s="31">
        <v>31</v>
      </c>
      <c r="L37" s="31">
        <v>4</v>
      </c>
      <c r="M37" s="31">
        <v>70</v>
      </c>
    </row>
    <row r="38" spans="11:19" ht="15" customHeight="1" x14ac:dyDescent="0.3">
      <c r="K38" s="31">
        <v>32</v>
      </c>
      <c r="L38" s="31">
        <v>4</v>
      </c>
      <c r="M38" s="31">
        <v>80</v>
      </c>
    </row>
    <row r="39" spans="11:19" ht="15" customHeight="1" x14ac:dyDescent="0.3">
      <c r="K39" s="31">
        <v>33</v>
      </c>
      <c r="L39" s="31">
        <v>4</v>
      </c>
      <c r="M39" s="31">
        <v>85</v>
      </c>
    </row>
    <row r="40" spans="11:19" ht="15" customHeight="1" x14ac:dyDescent="0.3">
      <c r="K40" s="31">
        <v>34</v>
      </c>
      <c r="L40" s="31">
        <v>4</v>
      </c>
      <c r="M40" s="31">
        <v>75</v>
      </c>
    </row>
    <row r="41" spans="11:19" ht="15" customHeight="1" x14ac:dyDescent="0.3">
      <c r="K41" s="31">
        <v>35</v>
      </c>
      <c r="L41" s="31">
        <v>4</v>
      </c>
      <c r="M41" s="31">
        <v>70</v>
      </c>
    </row>
    <row r="42" spans="11:19" ht="15" customHeight="1" x14ac:dyDescent="0.3">
      <c r="K42" s="31">
        <v>36</v>
      </c>
      <c r="L42" s="31">
        <v>4</v>
      </c>
      <c r="M42" s="31">
        <v>65</v>
      </c>
    </row>
    <row r="43" spans="11:19" ht="15" customHeight="1" x14ac:dyDescent="0.3">
      <c r="K43" s="31">
        <v>37</v>
      </c>
      <c r="L43" s="31">
        <v>4</v>
      </c>
      <c r="M43" s="31">
        <v>75</v>
      </c>
    </row>
    <row r="44" spans="11:19" ht="15" customHeight="1" x14ac:dyDescent="0.3">
      <c r="K44" s="31">
        <v>38</v>
      </c>
      <c r="L44" s="31">
        <v>4</v>
      </c>
      <c r="M44" s="31">
        <v>75</v>
      </c>
    </row>
    <row r="45" spans="11:19" ht="15" customHeight="1" x14ac:dyDescent="0.3">
      <c r="K45" s="31">
        <v>39</v>
      </c>
      <c r="L45" s="31">
        <v>4</v>
      </c>
      <c r="M45" s="31">
        <v>85</v>
      </c>
    </row>
    <row r="46" spans="11:19" ht="15" customHeight="1" x14ac:dyDescent="0.3">
      <c r="K46" s="31">
        <v>40</v>
      </c>
      <c r="L46" s="31">
        <v>4</v>
      </c>
      <c r="M46" s="31">
        <v>80</v>
      </c>
    </row>
    <row r="47" spans="11:19" ht="15" customHeight="1" x14ac:dyDescent="0.3">
      <c r="K47" s="31">
        <v>41</v>
      </c>
      <c r="L47" s="31">
        <v>5</v>
      </c>
      <c r="M47" s="31">
        <v>65</v>
      </c>
    </row>
    <row r="48" spans="11:19" ht="15" customHeight="1" x14ac:dyDescent="0.3">
      <c r="K48" s="31">
        <v>42</v>
      </c>
      <c r="L48" s="31">
        <v>5</v>
      </c>
      <c r="M48" s="31">
        <v>55</v>
      </c>
    </row>
    <row r="49" spans="11:13" ht="15" customHeight="1" x14ac:dyDescent="0.3">
      <c r="K49" s="31">
        <v>43</v>
      </c>
      <c r="L49" s="31">
        <v>5</v>
      </c>
      <c r="M49" s="31">
        <v>70</v>
      </c>
    </row>
    <row r="50" spans="11:13" ht="15" customHeight="1" x14ac:dyDescent="0.3">
      <c r="K50" s="31">
        <v>44</v>
      </c>
      <c r="L50" s="31">
        <v>5</v>
      </c>
      <c r="M50" s="31">
        <v>65</v>
      </c>
    </row>
    <row r="51" spans="11:13" ht="15" customHeight="1" x14ac:dyDescent="0.3">
      <c r="K51" s="31">
        <v>45</v>
      </c>
      <c r="L51" s="31">
        <v>5</v>
      </c>
      <c r="M51" s="31">
        <v>65</v>
      </c>
    </row>
    <row r="52" spans="11:13" ht="15" customHeight="1" x14ac:dyDescent="0.3">
      <c r="K52" s="31">
        <v>46</v>
      </c>
      <c r="L52" s="31">
        <v>5</v>
      </c>
      <c r="M52" s="31">
        <v>70</v>
      </c>
    </row>
    <row r="53" spans="11:13" ht="15" customHeight="1" x14ac:dyDescent="0.3">
      <c r="K53" s="31">
        <v>47</v>
      </c>
      <c r="L53" s="31">
        <v>5</v>
      </c>
      <c r="M53" s="31">
        <v>70</v>
      </c>
    </row>
    <row r="54" spans="11:13" ht="15" customHeight="1" x14ac:dyDescent="0.3">
      <c r="K54" s="31">
        <v>48</v>
      </c>
      <c r="L54" s="31">
        <v>5</v>
      </c>
      <c r="M54" s="31">
        <v>60</v>
      </c>
    </row>
    <row r="55" spans="11:13" ht="15" customHeight="1" x14ac:dyDescent="0.3">
      <c r="K55" s="31">
        <v>49</v>
      </c>
      <c r="L55" s="31">
        <v>5</v>
      </c>
      <c r="M55" s="31">
        <v>65</v>
      </c>
    </row>
    <row r="56" spans="11:13" ht="15" customHeight="1" x14ac:dyDescent="0.3">
      <c r="K56" s="31">
        <v>50</v>
      </c>
      <c r="L56" s="31">
        <v>5</v>
      </c>
      <c r="M56" s="31">
        <v>70</v>
      </c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6" t="s">
        <v>73</v>
      </c>
      <c r="F6" s="136"/>
      <c r="G6" s="136" t="s">
        <v>56</v>
      </c>
      <c r="H6" s="136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>One</v>
      </c>
      <c r="C7" s="101">
        <f>IFERROR(Data!U7,"")</f>
        <v>67</v>
      </c>
      <c r="D7" s="101">
        <f>IF(C7="","",Data!V7)</f>
        <v>4.2946995755750415</v>
      </c>
      <c r="E7" s="102">
        <f>IFERROR(C7-TINV(1-$H$4/100,Data!W7-1)*O7,"")</f>
        <v>63.927756999543114</v>
      </c>
      <c r="F7" s="102">
        <f>IFERROR(C7+TINV(1-$H$4/100,Data!W7-1)*O7,"")</f>
        <v>70.072243000456893</v>
      </c>
      <c r="G7" s="103">
        <f>IFERROR(C7-TINV(1-$H$4/100,$N$31)*(SQRT(2*$O$31/HARMEAN(Data!$W$7:$W$11)))/2,"")</f>
        <v>64.625407125225294</v>
      </c>
      <c r="H7" s="103">
        <f>IFERROR(C7+TINV(1-$H$4/100,$N$31)*(SQRT(2*$O$31/HARMEAN(Data!$W$7:$W$11)))/2,"")</f>
        <v>69.374592874774706</v>
      </c>
      <c r="I7" s="94"/>
      <c r="J7" s="94"/>
      <c r="K7" s="104" t="str">
        <f t="shared" ref="K7:K11" si="0">B7</f>
        <v>One</v>
      </c>
      <c r="L7" s="74">
        <v>70</v>
      </c>
      <c r="M7" s="101">
        <f>IFERROR(C7-L7,"")</f>
        <v>-3</v>
      </c>
      <c r="N7" s="75">
        <f>IFERROR(Data!W7-1,"")</f>
        <v>9</v>
      </c>
      <c r="O7" s="101">
        <f>IFERROR(Data!X7,"")</f>
        <v>1.3581032524975574</v>
      </c>
      <c r="P7" s="101">
        <f>IFERROR(M7/O7,"")</f>
        <v>-2.2089631215321721</v>
      </c>
      <c r="Q7" s="101">
        <f>IFERROR(IF(TDIST(ABS(P7),N7,2)&lt;0.001,"&lt;0.001",TDIST(ABS(P7),N7,2)),"")</f>
        <v>5.4537415263324604E-2</v>
      </c>
    </row>
    <row r="8" spans="2:17" s="97" customFormat="1" ht="15" customHeight="1" x14ac:dyDescent="0.3">
      <c r="B8" s="104" t="str">
        <f>IF(C8="","",IF(Data!B24="","2",Data!B24))</f>
        <v>Two</v>
      </c>
      <c r="C8" s="101">
        <f>IFERROR(Data!U8,"")</f>
        <v>71</v>
      </c>
      <c r="D8" s="101">
        <f>IF(C8="","",Data!V8)</f>
        <v>5.3748384988656994</v>
      </c>
      <c r="E8" s="101">
        <f>IFERROR(C8-TINV(1-$H$4/100,Data!W8-1)*O8,"")</f>
        <v>67.155072161359428</v>
      </c>
      <c r="F8" s="101">
        <f>IFERROR(C8+TINV(1-$H$4/100,Data!W8-1)*O8,"")</f>
        <v>74.844927838640572</v>
      </c>
      <c r="G8" s="101">
        <f>IFERROR(C8-TINV(1-$H$4/100,$N$31)*(SQRT(2*$O$31/HARMEAN(Data!$W$7:$W$11)))/2,"")</f>
        <v>68.625407125225294</v>
      </c>
      <c r="H8" s="101">
        <f>IFERROR(C8+TINV(1-$H$4/100,$N$31)*(SQRT(2*$O$31/HARMEAN(Data!$W$7:$W$11)))/2,"")</f>
        <v>73.374592874774706</v>
      </c>
      <c r="I8" s="94"/>
      <c r="J8" s="94"/>
      <c r="K8" s="101" t="str">
        <f t="shared" si="0"/>
        <v>Two</v>
      </c>
      <c r="L8" s="74">
        <v>70</v>
      </c>
      <c r="M8" s="101">
        <f>IFERROR(C8-L8,"")</f>
        <v>1</v>
      </c>
      <c r="N8" s="75">
        <f>IFERROR(Data!W8-1,"")</f>
        <v>9</v>
      </c>
      <c r="O8" s="101">
        <f>IFERROR(Data!X8,"")</f>
        <v>1.6996731711975948</v>
      </c>
      <c r="P8" s="101">
        <f>IFERROR(M8/O8,"")</f>
        <v>0.58834840541455213</v>
      </c>
      <c r="Q8" s="101">
        <f>IFERROR(IF(TDIST(ABS(P8),N8,2)&lt;0.001,"&lt;0.001",TDIST(ABS(P8),N8,2)),"")</f>
        <v>0.57076596523986223</v>
      </c>
    </row>
    <row r="9" spans="2:17" s="97" customFormat="1" ht="15" customHeight="1" x14ac:dyDescent="0.3">
      <c r="B9" s="104" t="str">
        <f>IF(C9="","",IF(Data!B25="","3",Data!B25))</f>
        <v>Three</v>
      </c>
      <c r="C9" s="101">
        <f>IFERROR(Data!U9,"")</f>
        <v>72.5</v>
      </c>
      <c r="D9" s="101">
        <f>IF(C9="","",Data!V9)</f>
        <v>4.85912657903775</v>
      </c>
      <c r="E9" s="101">
        <f>IFERROR(C9-TINV(1-$H$4/100,Data!W9-1)*O9,"")</f>
        <v>69.023990244699732</v>
      </c>
      <c r="F9" s="101">
        <f>IFERROR(C9+TINV(1-$H$4/100,Data!W9-1)*O9,"")</f>
        <v>75.976009755300268</v>
      </c>
      <c r="G9" s="101">
        <f>IFERROR(C9-TINV(1-$H$4/100,$N$31)*(SQRT(2*$O$31/HARMEAN(Data!$W$7:$W$11)))/2,"")</f>
        <v>70.125407125225294</v>
      </c>
      <c r="H9" s="101">
        <f>IFERROR(C9+TINV(1-$H$4/100,$N$31)*(SQRT(2*$O$31/HARMEAN(Data!$W$7:$W$11)))/2,"")</f>
        <v>74.874592874774706</v>
      </c>
      <c r="I9" s="94"/>
      <c r="J9" s="94"/>
      <c r="K9" s="101" t="str">
        <f t="shared" si="0"/>
        <v>Three</v>
      </c>
      <c r="L9" s="74">
        <v>70</v>
      </c>
      <c r="M9" s="101">
        <f>IFERROR(C9-L9,"")</f>
        <v>2.5</v>
      </c>
      <c r="N9" s="75">
        <f>IFERROR(Data!W9-1,"")</f>
        <v>9</v>
      </c>
      <c r="O9" s="101">
        <f>IFERROR(Data!X9,"")</f>
        <v>1.5365907428821477</v>
      </c>
      <c r="P9" s="101">
        <f>IFERROR(M9/O9,"")</f>
        <v>1.6269784336399216</v>
      </c>
      <c r="Q9" s="101">
        <f>IFERROR(IF(TDIST(ABS(P9),N9,2)&lt;0.001,"&lt;0.001",TDIST(ABS(P9),N9,2)),"")</f>
        <v>0.13818475535118313</v>
      </c>
    </row>
    <row r="10" spans="2:17" s="97" customFormat="1" ht="15" customHeight="1" x14ac:dyDescent="0.3">
      <c r="B10" s="104" t="str">
        <f>IF(C10="","",IF(Data!B26="","4",Data!B26))</f>
        <v>Four</v>
      </c>
      <c r="C10" s="101">
        <f>IFERROR(Data!U10,"")</f>
        <v>76</v>
      </c>
      <c r="D10" s="101">
        <f>IF(C10="","",Data!V10)</f>
        <v>6.5828058860438334</v>
      </c>
      <c r="E10" s="101">
        <f>IFERROR(C10-TINV(1-$H$4/100,Data!W10-1)*O10,"")</f>
        <v>71.290944348754209</v>
      </c>
      <c r="F10" s="101">
        <f>IFERROR(C10+TINV(1-$H$4/100,Data!W10-1)*O10,"")</f>
        <v>80.709055651245791</v>
      </c>
      <c r="G10" s="101">
        <f>IFERROR(C10-TINV(1-$H$4/100,$N$31)*(SQRT(2*$O$31/HARMEAN(Data!$W$7:$W$11)))/2,"")</f>
        <v>73.625407125225294</v>
      </c>
      <c r="H10" s="101">
        <f>IFERROR(C10+TINV(1-$H$4/100,$N$31)*(SQRT(2*$O$31/HARMEAN(Data!$W$7:$W$11)))/2,"")</f>
        <v>78.374592874774706</v>
      </c>
      <c r="I10" s="94"/>
      <c r="J10" s="94"/>
      <c r="K10" s="101" t="str">
        <f t="shared" si="0"/>
        <v>Four</v>
      </c>
      <c r="L10" s="74">
        <v>70</v>
      </c>
      <c r="M10" s="101">
        <f>IFERROR(C10-L10,"")</f>
        <v>6</v>
      </c>
      <c r="N10" s="75">
        <f>IFERROR(Data!W10-1,"")</f>
        <v>9</v>
      </c>
      <c r="O10" s="101">
        <f>IFERROR(Data!X10,"")</f>
        <v>2.0816659994661326</v>
      </c>
      <c r="P10" s="101">
        <f>IFERROR(M10/O10,"")</f>
        <v>2.8823067684915684</v>
      </c>
      <c r="Q10" s="101">
        <f>IFERROR(IF(TDIST(ABS(P10),N10,2)&lt;0.001,"&lt;0.001",TDIST(ABS(P10),N10,2)),"")</f>
        <v>1.8109821663250519E-2</v>
      </c>
    </row>
    <row r="11" spans="2:17" s="97" customFormat="1" ht="15" customHeight="1" thickBot="1" x14ac:dyDescent="0.35">
      <c r="B11" s="115" t="str">
        <f>IF(C11="","",IF(Data!B27="","5",Data!B27))</f>
        <v>Five</v>
      </c>
      <c r="C11" s="105">
        <f>IFERROR(Data!U11,"")</f>
        <v>65.5</v>
      </c>
      <c r="D11" s="105">
        <f>IF(C11="","",Data!V11)</f>
        <v>4.9721446300587662</v>
      </c>
      <c r="E11" s="105">
        <f>IFERROR(C11-TINV(1-$H$4/100,Data!W11-1)*O11,"")</f>
        <v>61.943142001402506</v>
      </c>
      <c r="F11" s="105">
        <f>IFERROR(C11+TINV(1-$H$4/100,Data!W11-1)*O11,"")</f>
        <v>69.056857998597494</v>
      </c>
      <c r="G11" s="105">
        <f>IFERROR(C11-TINV(1-$H$4/100,$N$31)*(SQRT(2*$O$31/HARMEAN(Data!$W$7:$W$11)))/2,"")</f>
        <v>63.125407125225294</v>
      </c>
      <c r="H11" s="105">
        <f>IFERROR(C11+TINV(1-$H$4/100,$N$31)*(SQRT(2*$O$31/HARMEAN(Data!$W$7:$W$11)))/2,"")</f>
        <v>67.874592874774706</v>
      </c>
      <c r="I11" s="94"/>
      <c r="J11" s="94"/>
      <c r="K11" s="105" t="str">
        <f t="shared" si="0"/>
        <v>Five</v>
      </c>
      <c r="L11" s="76">
        <v>70</v>
      </c>
      <c r="M11" s="105">
        <f>IFERROR(C11-L11,"")</f>
        <v>-4.5</v>
      </c>
      <c r="N11" s="34">
        <f>IFERROR(Data!W11-1,"")</f>
        <v>9</v>
      </c>
      <c r="O11" s="105">
        <f>IFERROR(Data!X11,"")</f>
        <v>1.5723301886761005</v>
      </c>
      <c r="P11" s="105">
        <f>IFERROR(M11/O11,"")</f>
        <v>-2.8619942760171719</v>
      </c>
      <c r="Q11" s="105">
        <f>IFERROR(IF(TDIST(ABS(P11),N11,2)&lt;0.001,"&lt;0.001",TDIST(ABS(P11),N11,2)),"")</f>
        <v>1.8719423349875645E-2</v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>1 vs. 2</v>
      </c>
      <c r="L16" s="77"/>
      <c r="M16" s="35">
        <f>IFERROR(C7-C8-L16,"")</f>
        <v>-4</v>
      </c>
      <c r="N16" s="36">
        <f>IFERROR(Data!W7+Data!W8-2,"")</f>
        <v>18</v>
      </c>
      <c r="O16" s="35">
        <f>IF(M16="","",SQRT(2*$O$31/AVERAGE(Data!$W$7:$W$11)))</f>
        <v>2.3579652245103193</v>
      </c>
      <c r="P16" s="78">
        <f t="shared" ref="P16:P25" si="1">IFERROR(M16/O16,"")</f>
        <v>-1.6963778593599417</v>
      </c>
      <c r="Q16" s="102">
        <f t="shared" ref="Q16:Q25" si="2">IFERROR(IF(TDIST(ABS(P16),N16,2)&lt;0.001,"&lt;0.001",TDIST(ABS(P16),N16,2)),"")</f>
        <v>0.10703969299475195</v>
      </c>
    </row>
    <row r="17" spans="1:17" s="97" customFormat="1" ht="15" customHeight="1" x14ac:dyDescent="0.3">
      <c r="B17" s="4">
        <v>1.1499999999999999</v>
      </c>
      <c r="C17" s="4">
        <f>IF(F7="",NA(),F7)</f>
        <v>70.072243000456893</v>
      </c>
      <c r="D17" s="4"/>
      <c r="E17" s="4">
        <f>IF(H7="",NA(),H7)</f>
        <v>69.374592874774706</v>
      </c>
      <c r="F17" s="12"/>
      <c r="G17" s="3">
        <v>0.5</v>
      </c>
      <c r="H17" s="3">
        <f>L7</f>
        <v>70</v>
      </c>
      <c r="I17" s="94"/>
      <c r="J17" s="94"/>
      <c r="K17" s="88" t="str">
        <f>IF(M17="","","1 vs. 3")</f>
        <v>1 vs. 3</v>
      </c>
      <c r="L17" s="79"/>
      <c r="M17" s="5">
        <f>IFERROR(C7-C9-L17,"")</f>
        <v>-5.5</v>
      </c>
      <c r="N17" s="75">
        <f>IFERROR(Data!W7+Data!W9-2,"")</f>
        <v>18</v>
      </c>
      <c r="O17" s="5">
        <f>IF(M17="","",SQRT(2*$O$31/AVERAGE(Data!$W$7:$W$11)))</f>
        <v>2.3579652245103193</v>
      </c>
      <c r="P17" s="80">
        <f t="shared" si="1"/>
        <v>-2.3325195566199199</v>
      </c>
      <c r="Q17" s="101">
        <f t="shared" si="2"/>
        <v>3.1481211264458582E-2</v>
      </c>
    </row>
    <row r="18" spans="1:17" s="97" customFormat="1" ht="15" customHeight="1" x14ac:dyDescent="0.3">
      <c r="B18" s="4">
        <v>1.1499999999999999</v>
      </c>
      <c r="C18" s="3">
        <f>IF(C7="",NA(),C7)</f>
        <v>67</v>
      </c>
      <c r="D18" s="4"/>
      <c r="E18" s="3">
        <f>IF(C7="",NA(),C7)</f>
        <v>67</v>
      </c>
      <c r="F18" s="12"/>
      <c r="G18" s="3">
        <v>1</v>
      </c>
      <c r="H18" s="3">
        <f>L7</f>
        <v>70</v>
      </c>
      <c r="I18" s="94"/>
      <c r="J18" s="94"/>
      <c r="K18" s="88" t="str">
        <f>IF(M18="","","1 vs. 4")</f>
        <v>1 vs. 4</v>
      </c>
      <c r="L18" s="79"/>
      <c r="M18" s="5">
        <f>IFERROR(C7-C10-L18,"")</f>
        <v>-9</v>
      </c>
      <c r="N18" s="75">
        <f>IFERROR(Data!W7+Data!W10-2,"")</f>
        <v>18</v>
      </c>
      <c r="O18" s="5">
        <f>IF(M18="","",SQRT(2*$O$31/AVERAGE(Data!$W$7:$W$11)))</f>
        <v>2.3579652245103193</v>
      </c>
      <c r="P18" s="80">
        <f t="shared" si="1"/>
        <v>-3.8168501835598692</v>
      </c>
      <c r="Q18" s="101">
        <f t="shared" si="2"/>
        <v>1.2630601761004217E-3</v>
      </c>
    </row>
    <row r="19" spans="1:17" ht="15" customHeight="1" x14ac:dyDescent="0.3">
      <c r="B19" s="4">
        <v>1.1499999999999999</v>
      </c>
      <c r="C19" s="4">
        <f>IF(E7="",NA(),E7)</f>
        <v>63.927756999543114</v>
      </c>
      <c r="D19" s="4"/>
      <c r="E19" s="4">
        <f>IF(G7="",NA(),G7)</f>
        <v>64.625407125225294</v>
      </c>
      <c r="F19" s="12"/>
      <c r="G19" s="3">
        <v>1.5</v>
      </c>
      <c r="H19" s="3">
        <f>L7</f>
        <v>70</v>
      </c>
      <c r="K19" s="88" t="str">
        <f>IF(M19="","","1 vs. 5")</f>
        <v>1 vs. 5</v>
      </c>
      <c r="L19" s="79"/>
      <c r="M19" s="5">
        <f>IFERROR(C7-C11-L19,"")</f>
        <v>1.5</v>
      </c>
      <c r="N19" s="75">
        <f>IFERROR(Data!W7+Data!W11-2,"")</f>
        <v>18</v>
      </c>
      <c r="O19" s="5">
        <f>IF(M19="","",SQRT(2*$O$31/AVERAGE(Data!$W$7:$W$11)))</f>
        <v>2.3579652245103193</v>
      </c>
      <c r="P19" s="80">
        <f t="shared" si="1"/>
        <v>0.63614169725997816</v>
      </c>
      <c r="Q19" s="101">
        <f t="shared" si="2"/>
        <v>0.53269025785809743</v>
      </c>
    </row>
    <row r="20" spans="1:17" ht="15" customHeight="1" x14ac:dyDescent="0.3">
      <c r="B20" s="4">
        <v>2.15</v>
      </c>
      <c r="C20" s="4">
        <f>IF(F8="",NA(),F8)</f>
        <v>74.844927838640572</v>
      </c>
      <c r="D20" s="4"/>
      <c r="E20" s="4">
        <f>IF(H8="",NA(),H8)</f>
        <v>73.374592874774706</v>
      </c>
      <c r="F20" s="12"/>
      <c r="G20" s="3">
        <v>1.5</v>
      </c>
      <c r="H20" s="3">
        <f>L8</f>
        <v>70</v>
      </c>
      <c r="K20" s="88" t="str">
        <f>IF(M20="","","2 vs. 3")</f>
        <v>2 vs. 3</v>
      </c>
      <c r="L20" s="79"/>
      <c r="M20" s="5">
        <f>IFERROR(C8-C9-L20,"")</f>
        <v>-1.5</v>
      </c>
      <c r="N20" s="75">
        <f>IFERROR(Data!W8+Data!W9-2,"")</f>
        <v>18</v>
      </c>
      <c r="O20" s="5">
        <f>IF(M20="","",SQRT(2*$O$31/AVERAGE(Data!$W$7:$W$11)))</f>
        <v>2.3579652245103193</v>
      </c>
      <c r="P20" s="80">
        <f t="shared" si="1"/>
        <v>-0.63614169725997816</v>
      </c>
      <c r="Q20" s="101">
        <f t="shared" si="2"/>
        <v>0.53269025785809743</v>
      </c>
    </row>
    <row r="21" spans="1:17" ht="15" customHeight="1" x14ac:dyDescent="0.3">
      <c r="B21" s="4">
        <v>2.15</v>
      </c>
      <c r="C21" s="3">
        <f>IF(C8="",NA(),C8)</f>
        <v>71</v>
      </c>
      <c r="D21" s="4"/>
      <c r="E21" s="3">
        <f>IF(C8="",NA(),C8)</f>
        <v>71</v>
      </c>
      <c r="F21" s="12"/>
      <c r="G21" s="3">
        <v>2</v>
      </c>
      <c r="H21" s="3">
        <f>L8</f>
        <v>70</v>
      </c>
      <c r="K21" s="88" t="str">
        <f>IF(M21="","","2 vs. 4")</f>
        <v>2 vs. 4</v>
      </c>
      <c r="L21" s="79"/>
      <c r="M21" s="5">
        <f>IFERROR(C8-C10-L21,"")</f>
        <v>-5</v>
      </c>
      <c r="N21" s="75">
        <f>IFERROR(Data!W8+Data!W10-2,"")</f>
        <v>18</v>
      </c>
      <c r="O21" s="5">
        <f>IF(M21="","",SQRT(2*$O$31/AVERAGE(Data!$W$7:$W$11)))</f>
        <v>2.3579652245103193</v>
      </c>
      <c r="P21" s="80">
        <f t="shared" si="1"/>
        <v>-2.1204723241999273</v>
      </c>
      <c r="Q21" s="101">
        <f t="shared" si="2"/>
        <v>4.8117695881367877E-2</v>
      </c>
    </row>
    <row r="22" spans="1:17" ht="15" customHeight="1" x14ac:dyDescent="0.3">
      <c r="B22" s="4">
        <v>2.15</v>
      </c>
      <c r="C22" s="4">
        <f>IF(E8="",NA(),E8)</f>
        <v>67.155072161359428</v>
      </c>
      <c r="D22" s="4"/>
      <c r="E22" s="4">
        <f>IF(G8="",NA(),G8)</f>
        <v>68.625407125225294</v>
      </c>
      <c r="F22" s="12"/>
      <c r="G22" s="3">
        <v>2.5</v>
      </c>
      <c r="H22" s="3">
        <f>L8</f>
        <v>70</v>
      </c>
      <c r="K22" s="88" t="str">
        <f>IF(M22="","","2 vs. 5")</f>
        <v>2 vs. 5</v>
      </c>
      <c r="L22" s="79"/>
      <c r="M22" s="5">
        <f>IFERROR(C8-C11-L22,"")</f>
        <v>5.5</v>
      </c>
      <c r="N22" s="75">
        <f>IFERROR(Data!W8+Data!W11-2,"")</f>
        <v>18</v>
      </c>
      <c r="O22" s="5">
        <f>IF(M22="","",SQRT(2*$O$31/AVERAGE(Data!$W$7:$W$11)))</f>
        <v>2.3579652245103193</v>
      </c>
      <c r="P22" s="80">
        <f t="shared" si="1"/>
        <v>2.3325195566199199</v>
      </c>
      <c r="Q22" s="101">
        <f t="shared" si="2"/>
        <v>3.1481211264458582E-2</v>
      </c>
    </row>
    <row r="23" spans="1:17" ht="15" customHeight="1" x14ac:dyDescent="0.3">
      <c r="B23" s="4">
        <v>3.15</v>
      </c>
      <c r="C23" s="4">
        <f>IF(F9="",NA(),F9)</f>
        <v>75.976009755300268</v>
      </c>
      <c r="D23" s="4"/>
      <c r="E23" s="4">
        <f>IF(H9="",NA(),H9)</f>
        <v>74.874592874774706</v>
      </c>
      <c r="F23" s="12"/>
      <c r="G23" s="3">
        <v>2.5</v>
      </c>
      <c r="H23" s="3">
        <f>L9</f>
        <v>70</v>
      </c>
      <c r="K23" s="88" t="str">
        <f>IF(M23="","","3 vs. 4")</f>
        <v>3 vs. 4</v>
      </c>
      <c r="L23" s="79"/>
      <c r="M23" s="5">
        <f>IFERROR(C9-C10-L23,"")</f>
        <v>-3.5</v>
      </c>
      <c r="N23" s="75">
        <f>IFERROR(Data!W9+Data!W10-2,"")</f>
        <v>18</v>
      </c>
      <c r="O23" s="5">
        <f>IF(M23="","",SQRT(2*$O$31/AVERAGE(Data!$W$7:$W$11)))</f>
        <v>2.3579652245103193</v>
      </c>
      <c r="P23" s="80">
        <f t="shared" si="1"/>
        <v>-1.484330626939949</v>
      </c>
      <c r="Q23" s="101">
        <f t="shared" si="2"/>
        <v>0.15502236496536209</v>
      </c>
    </row>
    <row r="24" spans="1:17" ht="15" customHeight="1" x14ac:dyDescent="0.3">
      <c r="B24" s="4">
        <v>3.15</v>
      </c>
      <c r="C24" s="3">
        <f>IF(C9="",NA(),C9)</f>
        <v>72.5</v>
      </c>
      <c r="D24" s="4"/>
      <c r="E24" s="3">
        <f>IF(C9="",NA(),C9)</f>
        <v>72.5</v>
      </c>
      <c r="F24" s="12"/>
      <c r="G24" s="3">
        <v>3</v>
      </c>
      <c r="H24" s="3">
        <f>L9</f>
        <v>70</v>
      </c>
      <c r="K24" s="88" t="str">
        <f>IF(M24="","","3 vs. 5")</f>
        <v>3 vs. 5</v>
      </c>
      <c r="L24" s="79"/>
      <c r="M24" s="5">
        <f>IFERROR(C9-C11-L24,"")</f>
        <v>7</v>
      </c>
      <c r="N24" s="75">
        <f>IFERROR(Data!W9+Data!W11-2,"")</f>
        <v>18</v>
      </c>
      <c r="O24" s="5">
        <f>IF(M24="","",SQRT(2*$O$31/AVERAGE(Data!$W$7:$W$11)))</f>
        <v>2.3579652245103193</v>
      </c>
      <c r="P24" s="80">
        <f t="shared" si="1"/>
        <v>2.968661253879898</v>
      </c>
      <c r="Q24" s="101">
        <f t="shared" si="2"/>
        <v>8.2268572219328304E-3</v>
      </c>
    </row>
    <row r="25" spans="1:17" ht="15" customHeight="1" thickBot="1" x14ac:dyDescent="0.35">
      <c r="B25" s="4">
        <v>3.15</v>
      </c>
      <c r="C25" s="4">
        <f>IF(E9="",NA(),E9)</f>
        <v>69.023990244699732</v>
      </c>
      <c r="D25" s="4"/>
      <c r="E25" s="4">
        <f>IF(G9="",NA(),G9)</f>
        <v>70.125407125225294</v>
      </c>
      <c r="F25" s="12"/>
      <c r="G25" s="3">
        <v>3.5</v>
      </c>
      <c r="H25" s="3">
        <f>L9</f>
        <v>70</v>
      </c>
      <c r="K25" s="88" t="str">
        <f>IF(M25="","","4 vs. 5")</f>
        <v>4 vs. 5</v>
      </c>
      <c r="L25" s="81"/>
      <c r="M25" s="5">
        <f>IFERROR(C10-C11-L25,"")</f>
        <v>10.5</v>
      </c>
      <c r="N25" s="34">
        <f>IFERROR(Data!W10+Data!W11-2,"")</f>
        <v>18</v>
      </c>
      <c r="O25" s="33">
        <f>IF(M25="","",SQRT(2*$O$31/AVERAGE(Data!$W$7:$W$11)))</f>
        <v>2.3579652245103193</v>
      </c>
      <c r="P25" s="82">
        <f t="shared" si="1"/>
        <v>4.4529918808198472</v>
      </c>
      <c r="Q25" s="105" t="str">
        <f t="shared" si="2"/>
        <v>&lt;0.001</v>
      </c>
    </row>
    <row r="26" spans="1:17" ht="15" customHeight="1" x14ac:dyDescent="0.3">
      <c r="B26" s="4">
        <v>4.1500000000000004</v>
      </c>
      <c r="C26" s="4">
        <f>IF(F10="",NA(),F10)</f>
        <v>80.709055651245791</v>
      </c>
      <c r="D26" s="4"/>
      <c r="E26" s="4">
        <f>IF(H10="",NA(),H10)</f>
        <v>78.374592874774706</v>
      </c>
      <c r="F26" s="12"/>
      <c r="G26" s="3">
        <v>3.5</v>
      </c>
      <c r="H26" s="3">
        <f>L10</f>
        <v>70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>
        <f>IF(C10="",NA(),C10)</f>
        <v>76</v>
      </c>
      <c r="D27" s="4"/>
      <c r="E27" s="3">
        <f>IF(C10="",NA(),C10)</f>
        <v>76</v>
      </c>
      <c r="F27" s="12"/>
      <c r="G27" s="3">
        <v>4</v>
      </c>
      <c r="H27" s="3">
        <f>L10</f>
        <v>70</v>
      </c>
      <c r="K27" s="95" t="s">
        <v>61</v>
      </c>
    </row>
    <row r="28" spans="1:17" ht="15" customHeight="1" thickBot="1" x14ac:dyDescent="0.35">
      <c r="B28" s="3">
        <v>4.1500000000000004</v>
      </c>
      <c r="C28" s="4">
        <f>IF(E10="",NA(),E10)</f>
        <v>71.290944348754209</v>
      </c>
      <c r="D28" s="4"/>
      <c r="E28" s="4">
        <f>IF(G10="",NA(),G10)</f>
        <v>73.625407125225294</v>
      </c>
      <c r="F28" s="12"/>
      <c r="G28" s="3">
        <v>4.5</v>
      </c>
      <c r="H28" s="3">
        <f>L10</f>
        <v>70</v>
      </c>
    </row>
    <row r="29" spans="1:17" ht="15" customHeight="1" thickBot="1" x14ac:dyDescent="0.35">
      <c r="B29" s="3">
        <v>5.15</v>
      </c>
      <c r="C29" s="4">
        <f>IF(F11="",NA(),F11)</f>
        <v>69.056857998597494</v>
      </c>
      <c r="D29" s="106"/>
      <c r="E29" s="4">
        <f>IF(H11="",NA(),H11)</f>
        <v>67.874592874774706</v>
      </c>
      <c r="G29" s="106">
        <v>4.5</v>
      </c>
      <c r="H29" s="106">
        <f>L11</f>
        <v>70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>
        <f>IF(C11="",NA(),C11)</f>
        <v>65.5</v>
      </c>
      <c r="D30" s="106"/>
      <c r="E30" s="3">
        <f>IF(C11="",NA(),C11)</f>
        <v>65.5</v>
      </c>
      <c r="G30" s="106">
        <v>5</v>
      </c>
      <c r="H30" s="106">
        <f>L11</f>
        <v>70</v>
      </c>
      <c r="K30" s="109" t="s">
        <v>74</v>
      </c>
      <c r="L30" s="78"/>
      <c r="M30" s="78">
        <f>IF(Data!U26&gt;0,Data!U26,"")</f>
        <v>716.99999999999989</v>
      </c>
      <c r="N30" s="110">
        <f>IF(Data!V26&gt;0,Data!V26,"")</f>
        <v>4</v>
      </c>
      <c r="O30" s="78">
        <f>Data!W26</f>
        <v>179.24999999999997</v>
      </c>
      <c r="P30" s="78">
        <f>Data!X26</f>
        <v>6.4478417266187043</v>
      </c>
      <c r="Q30" s="78" t="str">
        <f>Data!Y26</f>
        <v>&lt; 0.001</v>
      </c>
    </row>
    <row r="31" spans="1:17" ht="15" customHeight="1" x14ac:dyDescent="0.3">
      <c r="A31"/>
      <c r="B31" s="3">
        <v>5.15</v>
      </c>
      <c r="C31" s="4">
        <f>IF(E11="",NA(),E11)</f>
        <v>61.943142001402506</v>
      </c>
      <c r="D31" s="106"/>
      <c r="E31" s="4">
        <f>IF(G11="",NA(),G11)</f>
        <v>63.125407125225294</v>
      </c>
      <c r="G31" s="106">
        <v>5.5</v>
      </c>
      <c r="H31" s="106">
        <f>L11</f>
        <v>70</v>
      </c>
      <c r="K31" s="111" t="s">
        <v>75</v>
      </c>
      <c r="L31" s="80"/>
      <c r="M31" s="80">
        <f>IF(Data!U27&gt;0,Data!U27,"")</f>
        <v>1251</v>
      </c>
      <c r="N31" s="112">
        <f>IF(Data!V27&gt;0,Data!V27,"")</f>
        <v>45</v>
      </c>
      <c r="O31" s="101">
        <f>Data!W27</f>
        <v>27.8</v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>
        <f>Data!U28</f>
        <v>1968.0000000000002</v>
      </c>
      <c r="N32" s="114">
        <f>IF(Data!V28&gt;0,Data!V28,"")</f>
        <v>49</v>
      </c>
      <c r="O32" s="82">
        <f>Data!W28</f>
        <v>40.163265306122454</v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2024-10-27T13:41:36Z</dcterms:modified>
</cp:coreProperties>
</file>