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26" documentId="114_{2B26CC36-6C37-49EA-BFAB-06036BD5F07A}" xr6:coauthVersionLast="47" xr6:coauthVersionMax="47" xr10:uidLastSave="{555FA365-765D-46A9-8FDB-62DE239A194E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<sst xmlns="http://schemas.openxmlformats.org/spreadsheetml/2006/main" count="326" uniqueCount="132">
  <si>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</si>
  <si>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</si>
  <si>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</si>
  <si>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</si>
  <si>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</si>
  <si>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</si>
  <si>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</si>
  <si>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</si>
  <si>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</si>
  <si>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</si>
  <si>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</si>
  <si>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</si>
  <si>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</si>
  <si>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</si>
  <si>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</si>
  <si>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</si>
  <si>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</si>
  <si>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</si>
  <si>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</si>
  <si>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</si>
  <si>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</si>
  <si>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</si>
  <si>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</si>
  <si>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</si>
  <si>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</si>
  <si>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</si>
  <si>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</si>
  <si>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</si>
  <si>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</si>
  <si>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</si>
  <si>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</si>
  <si>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</si>
  <si>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</si>
  <si>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</si>
  <si>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</si>
  <si>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</si>
  <si>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</si>
  <si>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</si>
  <si>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</si>
  <si>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</si>
  <si>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</si>
  <si>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</si>
  <si>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</si>
  <si>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</si>
  <si>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</si>
  <si>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</si>
  <si>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</si>
  <si>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</si>
  <si>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</si>
  <si>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</si>
  <si>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</si>
  <si>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</si>
  <si>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</si>
  <si>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</si>
  <si>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</si>
  <si>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</si>
  <si>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</si>
  <si>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</si>
  <si>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</si>
  <si>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</si>
  <si>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</si>
  <si>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</si>
  <si>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</si>
  <si>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</si>
  <si>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</si>
  <si>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</si>
  <si>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</si>
  <si>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</si>
  <si>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</si>
  <si>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</si>
  <si>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</si>
  <si>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</si>
  <si>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</si>
  <si>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</si>
  <si>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</si>
  <si>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</si>
  <si>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</si>
  <si>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</si>
  <si>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</si>
  <si>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</si>
  <si>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</si>
  <si>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</si>
  <si>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</si>
  <si>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</si>
  <si>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</si>
  <si>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</si>
  <si>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</si>
  <si>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</si>
  <si>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</si>
  <si>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</si>
  <si>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</si>
  <si>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</si>
  <si>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</si>
  <si>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</si>
  <si>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</si>
  <si>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</si>
  <si>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</si>
  <si>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</si>
  <si>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</si>
  <si>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</si>
  <si>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</si>
  <si>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</si>
  <si>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</si>
  <si>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</si>
  <si>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</si>
  <si>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</si>
  <si>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</si>
  <si>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</si>
  <si>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</si>
  <si>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</si>
  <si>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</si>
  <si>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</si>
  <si>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</si>
  <si>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</si>
  <si>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</si>
  <si>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</si>
  <si>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</si>
  <si>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</si>
  <si>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</si>
  <si>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</si>
  <si>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</si>
  <si>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</si>
  <si>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</si>
  <si>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</si>
  <si>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</si>
  <si>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How to Cite</t>
  </si>
  <si>
    <t>cwendorf@uwsp.edu</t>
  </si>
  <si>
    <t>http://cwendorf.github.io</t>
  </si>
  <si>
    <t>Wendorf, C. A. (2020).</t>
  </si>
  <si>
    <t>EASE: Estimation Approach to Statistics with Excel [Excel Spreadsheets].</t>
  </si>
  <si>
    <t>https://github.com/cwendorf/BASE/tree/main/EASE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</si>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</sst>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/BASE/tree/main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131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130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126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127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125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128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129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130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K11" sqref="K11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1" t="s">
        <v>33</v>
      </c>
      <c r="C2" s="121"/>
      <c r="D2" s="121"/>
      <c r="E2" s="121"/>
      <c r="F2" s="121"/>
      <c r="G2" s="121"/>
      <c r="H2" s="121"/>
      <c r="K2" s="121" t="s">
        <v>26</v>
      </c>
      <c r="L2" s="121"/>
      <c r="M2" s="121"/>
      <c r="N2" s="91"/>
      <c r="O2" s="91"/>
      <c r="R2" s="121" t="s">
        <v>64</v>
      </c>
      <c r="S2" s="121"/>
      <c r="T2" s="121"/>
      <c r="U2" s="121"/>
      <c r="V2" s="121"/>
      <c r="W2" s="121"/>
      <c r="X2" s="121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/>
      </c>
      <c r="M4" s="48" t="str">
        <f>IF(B23="","",B23)</f>
        <v/>
      </c>
      <c r="R4" s="46" t="s">
        <v>61</v>
      </c>
    </row>
    <row r="5" spans="2:24" ht="15" thickBot="1" x14ac:dyDescent="0.35">
      <c r="K5" s="17"/>
      <c r="L5" s="17"/>
    </row>
    <row r="6" spans="2:24" ht="15" thickBot="1" x14ac:dyDescent="0.35">
      <c r="B6" s="125" t="s">
        <v>30</v>
      </c>
      <c r="C6" s="125"/>
      <c r="D6" s="125"/>
      <c r="E6" s="125"/>
      <c r="F6" s="125"/>
      <c r="G6" s="125"/>
      <c r="H6" s="125"/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8"/>
      <c r="C7" s="128"/>
      <c r="D7" s="128"/>
      <c r="E7" s="128"/>
      <c r="F7" s="128"/>
      <c r="G7" s="128"/>
      <c r="H7" s="128"/>
      <c r="R7" s="53" t="str">
        <f>IF($B$26="","",$B$26)</f>
        <v/>
      </c>
      <c r="S7" s="53">
        <v>1</v>
      </c>
      <c r="T7" s="19" t="str">
        <f>IF(COUNTIF($L:$L,$S7)=0,"",COUNTIF($L:$L,$S7))</f>
        <v/>
      </c>
      <c r="U7" s="20" t="str">
        <f>IFERROR(AVERAGEIFS($M:$M,$L:$L,$S7),"")</f>
        <v/>
      </c>
      <c r="V7" s="20" t="str">
        <f t="array" ref="V7">IFERROR(STDEV(IF($L:$L=$S7,$M:$M)),"")</f>
        <v/>
      </c>
      <c r="W7" s="19" t="str">
        <f>IFERROR(T7-1,"")</f>
        <v/>
      </c>
      <c r="X7" s="27" t="str">
        <f>IFERROR(V7/SQRT(T7),"")</f>
        <v/>
      </c>
    </row>
    <row r="8" spans="2:24" ht="15" thickBot="1" x14ac:dyDescent="0.35">
      <c r="B8" s="129"/>
      <c r="C8" s="129"/>
      <c r="D8" s="129"/>
      <c r="E8" s="129"/>
      <c r="F8" s="129"/>
      <c r="G8" s="129"/>
      <c r="H8" s="129"/>
      <c r="R8" s="55" t="str">
        <f>IF($B$27="","",$B$27)</f>
        <v/>
      </c>
      <c r="S8" s="55">
        <v>2</v>
      </c>
      <c r="T8" s="21" t="str">
        <f>IF(COUNTIF($L:$L,$S8)=0,"",COUNTIF($L:$L,$S8))</f>
        <v/>
      </c>
      <c r="U8" s="22" t="str">
        <f>IFERROR(AVERAGEIFS($M:$M,$L:$L,$S8),"")</f>
        <v/>
      </c>
      <c r="V8" s="22" t="str">
        <f t="array" ref="V8">IFERROR(STDEV(IF($L:$L=$S8,$M:$M)),"")</f>
        <v/>
      </c>
      <c r="W8" s="21" t="str">
        <f>IFERROR(T8-1,"")</f>
        <v/>
      </c>
      <c r="X8" s="29" t="str">
        <f>IFERROR(V8/SQRT(T8),"")</f>
        <v/>
      </c>
    </row>
    <row r="9" spans="2:24" ht="15" thickBot="1" x14ac:dyDescent="0.35">
      <c r="B9" s="7"/>
      <c r="C9" s="7"/>
      <c r="D9" s="7"/>
      <c r="E9" s="7"/>
      <c r="F9" s="33"/>
      <c r="G9" s="7"/>
      <c r="H9" s="7"/>
      <c r="R9" s="55" t="str">
        <f>IF($B$28="","",$B$28)</f>
        <v/>
      </c>
      <c r="S9" s="55">
        <v>3</v>
      </c>
      <c r="T9" s="21" t="str">
        <f>IF(COUNTIF($L:$L,$S9)=0,"",COUNTIF($L:$L,$S9))</f>
        <v/>
      </c>
      <c r="U9" s="22" t="str">
        <f>IFERROR(AVERAGEIFS($M:$M,$L:$L,$S9),"")</f>
        <v/>
      </c>
      <c r="V9" s="22" t="str">
        <f t="array" ref="V9">IFERROR(STDEV(IF($L:$L=$S9,$M:$M)),"")</f>
        <v/>
      </c>
      <c r="W9" s="21" t="str">
        <f>IFERROR(T9-1,"")</f>
        <v/>
      </c>
      <c r="X9" s="29" t="str">
        <f>IFERROR(V9/SQRT(T9),"")</f>
        <v/>
      </c>
    </row>
    <row r="10" spans="2:24" ht="15" thickBot="1" x14ac:dyDescent="0.35">
      <c r="B10" s="127" t="s">
        <v>31</v>
      </c>
      <c r="C10" s="127"/>
      <c r="D10" s="127"/>
      <c r="E10" s="127"/>
      <c r="F10" s="127"/>
      <c r="G10" s="127"/>
      <c r="H10" s="127"/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2"/>
      <c r="C11" s="122"/>
      <c r="D11" s="122"/>
      <c r="E11" s="122"/>
      <c r="F11" s="122"/>
      <c r="G11" s="122"/>
      <c r="H11" s="122"/>
      <c r="R11" s="57" t="s">
        <v>51</v>
      </c>
      <c r="S11" s="57" t="s">
        <v>51</v>
      </c>
      <c r="T11" s="23">
        <f>IFERROR(COUNT($L:$L),"")</f>
        <v>0</v>
      </c>
      <c r="U11" s="24" t="str">
        <f>IFERROR(AVERAGE($M:$M),"")</f>
        <v/>
      </c>
      <c r="V11" s="24" t="str">
        <f>IFERROR(STDEV($M:$M),"")</f>
        <v/>
      </c>
      <c r="W11" s="23">
        <f>IFERROR(T11-1,"")</f>
        <v>-1</v>
      </c>
      <c r="X11" s="30" t="str">
        <f>IFERROR(V11/SQRT(T11),"")</f>
        <v/>
      </c>
    </row>
    <row r="12" spans="2:24" x14ac:dyDescent="0.3">
      <c r="B12" s="123"/>
      <c r="C12" s="123"/>
      <c r="D12" s="123"/>
      <c r="E12" s="123"/>
      <c r="F12" s="123"/>
      <c r="G12" s="123"/>
      <c r="H12" s="123"/>
      <c r="R12" s="8"/>
      <c r="S12" s="8"/>
      <c r="T12" s="8"/>
      <c r="U12" s="8"/>
      <c r="V12" s="8"/>
      <c r="W12" s="8"/>
      <c r="X12" s="8"/>
    </row>
    <row r="13" spans="2:24" x14ac:dyDescent="0.3">
      <c r="B13" s="123"/>
      <c r="C13" s="123"/>
      <c r="D13" s="123"/>
      <c r="E13" s="123"/>
      <c r="F13" s="123"/>
      <c r="G13" s="123"/>
      <c r="H13" s="123"/>
      <c r="R13" t="s">
        <v>63</v>
      </c>
    </row>
    <row r="14" spans="2:24" ht="15" thickBot="1" x14ac:dyDescent="0.35">
      <c r="B14" s="124"/>
      <c r="C14" s="124"/>
      <c r="D14" s="124"/>
      <c r="E14" s="124"/>
      <c r="F14" s="124"/>
      <c r="G14" s="124"/>
      <c r="H14" s="124"/>
    </row>
    <row r="19" spans="2:24" ht="15.6" x14ac:dyDescent="0.3">
      <c r="B19" s="6" t="s">
        <v>42</v>
      </c>
      <c r="C19" s="11"/>
      <c r="D19" s="12"/>
      <c r="E19" s="12"/>
      <c r="G19" s="12"/>
      <c r="H19" s="13"/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</row>
    <row r="21" spans="2:24" ht="15" thickBot="1" x14ac:dyDescent="0.35">
      <c r="B21" s="125" t="s">
        <v>29</v>
      </c>
      <c r="C21" s="125"/>
      <c r="D21" s="126" t="s">
        <v>27</v>
      </c>
      <c r="E21" s="126"/>
      <c r="F21" s="126"/>
      <c r="G21" s="126"/>
      <c r="H21" s="9" t="s">
        <v>28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19"/>
      <c r="C22" s="119"/>
      <c r="D22" s="119"/>
      <c r="E22" s="119"/>
      <c r="F22" s="119"/>
      <c r="G22" s="119"/>
      <c r="H22" s="75"/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20"/>
      <c r="C23" s="120"/>
      <c r="D23" s="120"/>
      <c r="E23" s="120"/>
      <c r="F23" s="120"/>
      <c r="G23" s="120"/>
      <c r="H23" s="76"/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/>
      </c>
      <c r="C25" s="71"/>
      <c r="D25" s="70" t="s">
        <v>27</v>
      </c>
      <c r="E25" s="70"/>
      <c r="F25" s="70"/>
      <c r="G25" s="70"/>
      <c r="H25" s="9" t="s">
        <v>28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19"/>
      <c r="C26" s="119"/>
      <c r="D26" s="119"/>
      <c r="E26" s="119"/>
      <c r="F26" s="119"/>
      <c r="G26" s="119"/>
      <c r="H26" s="75"/>
      <c r="R26" s="8"/>
      <c r="S26" s="8"/>
      <c r="T26" s="8"/>
      <c r="U26" s="8"/>
      <c r="V26" s="8"/>
      <c r="W26" s="8"/>
      <c r="X26" s="8"/>
    </row>
    <row r="27" spans="2:24" x14ac:dyDescent="0.3">
      <c r="B27" s="130"/>
      <c r="C27" s="130"/>
      <c r="D27" s="130"/>
      <c r="E27" s="130"/>
      <c r="F27" s="130"/>
      <c r="G27" s="130"/>
      <c r="H27" s="41"/>
      <c r="R27" t="s">
        <v>74</v>
      </c>
    </row>
    <row r="28" spans="2:24" x14ac:dyDescent="0.3">
      <c r="B28" s="130"/>
      <c r="C28" s="130"/>
      <c r="D28" s="130"/>
      <c r="E28" s="130"/>
      <c r="F28" s="130"/>
      <c r="G28" s="130"/>
      <c r="H28" s="41"/>
    </row>
    <row r="29" spans="2:24" ht="16.2" thickBot="1" x14ac:dyDescent="0.35">
      <c r="B29" s="120"/>
      <c r="C29" s="120"/>
      <c r="D29" s="120"/>
      <c r="E29" s="120"/>
      <c r="F29" s="120"/>
      <c r="G29" s="120"/>
      <c r="H29" s="76"/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M32" s="17"/>
      <c r="Q32" s="3"/>
      <c r="R32" s="97" t="s">
        <v>59</v>
      </c>
      <c r="S32" s="27" t="e">
        <f>S34-S33</f>
        <v>#VALUE!</v>
      </c>
      <c r="T32" s="62">
        <f>IFERROR(T34-T33,"")</f>
        <v>-1</v>
      </c>
      <c r="U32" s="61" t="str">
        <f>IFERROR(S32/T32,"")</f>
        <v/>
      </c>
      <c r="V32" s="61" t="str">
        <f>IFERROR(U32/U33,"")</f>
        <v/>
      </c>
      <c r="W32" s="61" t="str">
        <f>IFERROR(IF(FDIST(V32,T32,T33)&lt;0.001,"&lt; 0.001",FDIST(V32,T32,T33)),"")</f>
        <v/>
      </c>
      <c r="X32" s="20" t="str">
        <f>IFERROR(S32/S34,"")</f>
        <v/>
      </c>
    </row>
    <row r="33" spans="2:24" x14ac:dyDescent="0.3">
      <c r="B33" s="35"/>
      <c r="C33" s="35"/>
      <c r="E33" s="35"/>
      <c r="F33" s="35"/>
      <c r="Q33" s="3"/>
      <c r="R33" s="98" t="s">
        <v>60</v>
      </c>
      <c r="S33" s="63">
        <f t="array" ref="S33">SUM(IF(T7:T10&lt;&gt;"",V7:V10^2*((T7:T10)-1),0))</f>
        <v>0</v>
      </c>
      <c r="T33" s="64">
        <f t="array" ref="T33">SUM(IF(T7:T10&lt;&gt;"",T7:T10-1))</f>
        <v>0</v>
      </c>
      <c r="U33" s="65" t="str">
        <f>IFERROR(S33/T33,"")</f>
        <v/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Q34" s="3"/>
      <c r="R34" s="99" t="s">
        <v>49</v>
      </c>
      <c r="S34" s="67" t="e">
        <f>(V11^2)*(T11-1)</f>
        <v>#VALUE!</v>
      </c>
      <c r="T34" s="68">
        <f>T11-1</f>
        <v>-1</v>
      </c>
      <c r="U34" s="67" t="str">
        <f>IFERROR(S34/T34,"")</f>
        <v/>
      </c>
      <c r="V34" s="67"/>
      <c r="W34" s="67"/>
      <c r="X34" s="23"/>
    </row>
    <row r="35" spans="2:24" x14ac:dyDescent="0.3">
      <c r="B35" s="35"/>
      <c r="C35" s="35"/>
      <c r="E35" s="35"/>
      <c r="F35" s="35"/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</row>
    <row r="37" spans="2:24" x14ac:dyDescent="0.3">
      <c r="B37" s="35"/>
      <c r="C37" s="35"/>
      <c r="E37" s="35"/>
      <c r="F37" s="35"/>
    </row>
    <row r="38" spans="2:24" x14ac:dyDescent="0.3">
      <c r="B38" s="35"/>
      <c r="C38" s="35"/>
    </row>
    <row r="39" spans="2:24" x14ac:dyDescent="0.3">
      <c r="B39" s="35"/>
      <c r="C39" s="35"/>
    </row>
    <row r="40" spans="2:24" x14ac:dyDescent="0.3">
      <c r="B40" s="35"/>
      <c r="C40" s="35"/>
    </row>
    <row r="41" spans="2:24" x14ac:dyDescent="0.3">
      <c r="B41" s="35"/>
      <c r="C41" s="35"/>
    </row>
    <row r="42" spans="2:24" x14ac:dyDescent="0.3">
      <c r="B42" s="35"/>
      <c r="C42" s="35"/>
    </row>
    <row r="43" spans="2:24" x14ac:dyDescent="0.3">
      <c r="B43" s="35"/>
      <c r="C43" s="35"/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1" t="s">
        <v>43</v>
      </c>
      <c r="C2" s="121"/>
      <c r="D2" s="121"/>
      <c r="E2" s="121"/>
      <c r="F2" s="121"/>
      <c r="G2" s="121"/>
      <c r="H2" s="121"/>
      <c r="K2" s="121" t="s">
        <v>76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/>
      </c>
      <c r="C7" s="58" t="str">
        <f>Data!T7</f>
        <v/>
      </c>
      <c r="D7" s="27" t="str">
        <f>Data!U7</f>
        <v/>
      </c>
      <c r="E7" s="27" t="str">
        <f>Data!V7</f>
        <v/>
      </c>
      <c r="F7" s="27" t="str">
        <f>Data!X7</f>
        <v/>
      </c>
      <c r="G7" s="20" t="str">
        <f>IFERROR(Data!U7-TINV(1-$H$4/100,Data!T7-1)*Data!X7,"")</f>
        <v/>
      </c>
      <c r="H7" s="20" t="str">
        <f>IFERROR(Data!U7+TINV(1-$H$4/100,Data!T7-1)*Data!X7,"")</f>
        <v/>
      </c>
      <c r="J7" s="3"/>
      <c r="K7" s="19" t="str">
        <f>B7</f>
        <v/>
      </c>
      <c r="L7" s="20" t="str">
        <f>IFERROR((D7-C40)/E7,"")</f>
        <v/>
      </c>
      <c r="M7" s="20" t="str">
        <f>IFERROR((1-3/(4*G40-1))*L7,"")</f>
        <v/>
      </c>
      <c r="N7" s="42" t="str">
        <f>Data!W7</f>
        <v/>
      </c>
      <c r="O7" s="20" t="str">
        <f>IFERROR(SQRT((G40+2)/(Data!T7*Data!T7)+((L7^2)/(2*(G40+2)))),"")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1:26" x14ac:dyDescent="0.3">
      <c r="A8" s="3"/>
      <c r="B8" s="21" t="str">
        <f>IF(Data!R8="","",Data!R8)</f>
        <v/>
      </c>
      <c r="C8" s="82" t="str">
        <f>Data!T8</f>
        <v/>
      </c>
      <c r="D8" s="29" t="str">
        <f>Data!U8</f>
        <v/>
      </c>
      <c r="E8" s="29" t="str">
        <f>Data!V8</f>
        <v/>
      </c>
      <c r="F8" s="29" t="str">
        <f>Data!X8</f>
        <v/>
      </c>
      <c r="G8" s="22" t="str">
        <f>IFERROR(Data!U8-TINV(1-$H$4/100,Data!T8-1)*Data!X8,"")</f>
        <v/>
      </c>
      <c r="H8" s="22" t="str">
        <f>IFERROR(Data!U8+TINV(1-$H$4/100,Data!T8-1)*Data!X8,"")</f>
        <v/>
      </c>
      <c r="J8" s="3"/>
      <c r="K8" s="21" t="str">
        <f>B8</f>
        <v/>
      </c>
      <c r="L8" s="22" t="str">
        <f>IFERROR((D8-C41)/E8,"")</f>
        <v/>
      </c>
      <c r="M8" s="22" t="str">
        <f>IFERROR((1-3/(4*G41-1))*L8,"")</f>
        <v/>
      </c>
      <c r="N8" s="43" t="str">
        <f>Data!W8</f>
        <v/>
      </c>
      <c r="O8" s="22" t="str">
        <f>IFERROR(SQRT((G41+2)/(Data!T8*Data!T8)+((L8^2)/(2*(G41+2)))),"")</f>
        <v/>
      </c>
      <c r="P8" s="29" t="str">
        <f>IFERROR(Y18*SQRT(1/C8),"")</f>
        <v/>
      </c>
      <c r="Q8" s="29" t="str">
        <f>IFERROR(Z18*SQRT(1/C8),"")</f>
        <v/>
      </c>
    </row>
    <row r="9" spans="1:26" x14ac:dyDescent="0.3">
      <c r="A9" s="3"/>
      <c r="B9" s="21" t="str">
        <f>IF(Data!R9="","",Data!R9)</f>
        <v/>
      </c>
      <c r="C9" s="82" t="str">
        <f>Data!T9</f>
        <v/>
      </c>
      <c r="D9" s="29" t="str">
        <f>Data!U9</f>
        <v/>
      </c>
      <c r="E9" s="29" t="str">
        <f>Data!V9</f>
        <v/>
      </c>
      <c r="F9" s="29" t="str">
        <f>Data!X9</f>
        <v/>
      </c>
      <c r="G9" s="22" t="str">
        <f>IFERROR(Data!U9-TINV(1-$H$4/100,Data!T9-1)*Data!X9,"")</f>
        <v/>
      </c>
      <c r="H9" s="22" t="str">
        <f>IFERROR(Data!U9+TINV(1-$H$4/100,Data!T9-1)*Data!X9,"")</f>
        <v/>
      </c>
      <c r="J9" s="3"/>
      <c r="K9" s="21" t="str">
        <f>B9</f>
        <v/>
      </c>
      <c r="L9" s="22" t="str">
        <f>IFERROR((D9-C42)/E9,"")</f>
        <v/>
      </c>
      <c r="M9" s="22" t="str">
        <f>IFERROR((1-3/(4*G42-1))*L9,"")</f>
        <v/>
      </c>
      <c r="N9" s="43" t="str">
        <f>Data!W9</f>
        <v/>
      </c>
      <c r="O9" s="22" t="str">
        <f>IFERROR(SQRT((G42+2)/(Data!T9*Data!T9)+((L9^2)/(2*(G42+2)))),"")</f>
        <v/>
      </c>
      <c r="P9" s="29" t="str">
        <f>IFERROR(Y19*SQRT(1/C9),"")</f>
        <v/>
      </c>
      <c r="Q9" s="29" t="str">
        <f>IFERROR(Z19*SQRT(1/C9),"")</f>
        <v/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20" si="0">IF($X17&lt;0.001,Y29,Y23)</f>
        <v>#VALUE!</v>
      </c>
      <c r="Z17" s="28" t="e">
        <f t="shared" si="0"/>
        <v>#VALUE!</v>
      </c>
    </row>
    <row r="18" spans="1:26" x14ac:dyDescent="0.3">
      <c r="A18" s="25"/>
      <c r="B18" s="36">
        <v>1.1000000000000001</v>
      </c>
      <c r="C18" s="39" t="e">
        <f>IF(H7="",NA(),H7)</f>
        <v>#N/A</v>
      </c>
      <c r="D18" s="39" t="e">
        <f t="shared" ref="D18:D20" si="1">C18</f>
        <v>#N/A</v>
      </c>
      <c r="E18" s="40"/>
      <c r="F18" s="40"/>
      <c r="G18" s="38">
        <v>0.5</v>
      </c>
      <c r="H18" s="38">
        <f>C$40</f>
        <v>0</v>
      </c>
      <c r="I18" s="25"/>
      <c r="J18" s="3"/>
      <c r="K18" s="36">
        <v>1.1000000000000001</v>
      </c>
      <c r="L18" s="39" t="e">
        <f>IF(Q7="",NA(),Q7)</f>
        <v>#N/A</v>
      </c>
      <c r="M18" s="39" t="e">
        <f t="shared" ref="M18:M29" si="2">L18</f>
        <v>#N/A</v>
      </c>
      <c r="N18" s="40"/>
      <c r="O18" s="90"/>
      <c r="P18" s="38">
        <v>0.5</v>
      </c>
      <c r="Q18" s="38">
        <f>L$40</f>
        <v>0</v>
      </c>
      <c r="R18" s="69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0"/>
        <v>#VALUE!</v>
      </c>
      <c r="Z18" s="28" t="e">
        <f t="shared" si="0"/>
        <v>#VALUE!</v>
      </c>
    </row>
    <row r="19" spans="1:26" x14ac:dyDescent="0.3">
      <c r="A19" s="25"/>
      <c r="B19" s="36">
        <v>1.1000000000000001</v>
      </c>
      <c r="C19" s="38" t="e">
        <f>IF(D7="",NA(),D7)</f>
        <v>#N/A</v>
      </c>
      <c r="D19" s="39" t="e">
        <f t="shared" si="1"/>
        <v>#N/A</v>
      </c>
      <c r="E19" s="40"/>
      <c r="F19" s="40"/>
      <c r="G19" s="38">
        <v>1</v>
      </c>
      <c r="H19" s="38">
        <f>C$40</f>
        <v>0</v>
      </c>
      <c r="I19" s="25"/>
      <c r="J19" s="3"/>
      <c r="K19" s="36">
        <v>1.1000000000000001</v>
      </c>
      <c r="L19" s="38" t="e">
        <f>IF(M7="",NA(),M7)</f>
        <v>#N/A</v>
      </c>
      <c r="M19" s="39" t="e">
        <f t="shared" si="2"/>
        <v>#N/A</v>
      </c>
      <c r="N19" s="40"/>
      <c r="O19" s="90"/>
      <c r="P19" s="38">
        <v>1</v>
      </c>
      <c r="Q19" s="38">
        <f>L$40</f>
        <v>0</v>
      </c>
      <c r="R19" s="69"/>
      <c r="T19" s="29" t="e">
        <f>EXP(((LN(2)-LN(G42))/2)+GAMMALN((G42+1)/2)-GAMMALN(G42/2))</f>
        <v>#VALUE!</v>
      </c>
      <c r="U19" s="29" t="e">
        <f>T19*F42</f>
        <v>#VALUE!</v>
      </c>
      <c r="V19" s="29" t="e">
        <f>1+(F42^2)*(1-T19^2)</f>
        <v>#VALUE!</v>
      </c>
      <c r="W19" s="29" t="e">
        <f>(2*U19^3)-((2*G42-1)/G42)*(F42^2*U19)</f>
        <v>#VALUE!</v>
      </c>
      <c r="X19" s="12" t="e">
        <f>W19/SQRT(V19)^3</f>
        <v>#VALUE!</v>
      </c>
      <c r="Y19" s="28" t="e">
        <f t="shared" si="0"/>
        <v>#VALUE!</v>
      </c>
      <c r="Z19" s="28" t="e">
        <f t="shared" si="0"/>
        <v>#VALUE!</v>
      </c>
    </row>
    <row r="20" spans="1:26" ht="15" thickBot="1" x14ac:dyDescent="0.35">
      <c r="A20" s="25"/>
      <c r="B20" s="36">
        <v>1.1000000000000001</v>
      </c>
      <c r="C20" s="39" t="e">
        <f>IF(G7="",NA(),G7)</f>
        <v>#N/A</v>
      </c>
      <c r="D20" s="39" t="e">
        <f t="shared" si="1"/>
        <v>#N/A</v>
      </c>
      <c r="E20" s="40"/>
      <c r="F20" s="40"/>
      <c r="G20" s="38">
        <v>1.5</v>
      </c>
      <c r="H20" s="38">
        <f>C$40</f>
        <v>0</v>
      </c>
      <c r="I20" s="25"/>
      <c r="J20" s="3"/>
      <c r="K20" s="36">
        <v>1.1000000000000001</v>
      </c>
      <c r="L20" s="39" t="e">
        <f>IF(P7="",NA(),P7)</f>
        <v>#N/A</v>
      </c>
      <c r="M20" s="39" t="e">
        <f t="shared" si="2"/>
        <v>#N/A</v>
      </c>
      <c r="N20" s="40"/>
      <c r="O20" s="90"/>
      <c r="P20" s="38">
        <v>1.5</v>
      </c>
      <c r="Q20" s="38">
        <f>L$40</f>
        <v>0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 t="e">
        <f>IF(H8="",NA(),H8)</f>
        <v>#N/A</v>
      </c>
      <c r="D21" s="39" t="e">
        <f t="shared" ref="D21:D23" si="3">C21</f>
        <v>#N/A</v>
      </c>
      <c r="E21" s="40"/>
      <c r="F21" s="40"/>
      <c r="G21" s="38">
        <v>1.5</v>
      </c>
      <c r="H21" s="38">
        <f>C$41</f>
        <v>0</v>
      </c>
      <c r="I21" s="25"/>
      <c r="J21" s="3"/>
      <c r="K21" s="36">
        <v>2.1</v>
      </c>
      <c r="L21" s="39" t="e">
        <f>IF(Q8="",NA(),Q8)</f>
        <v>#N/A</v>
      </c>
      <c r="M21" s="39" t="e">
        <f t="shared" si="2"/>
        <v>#N/A</v>
      </c>
      <c r="N21" s="90"/>
      <c r="O21" s="90"/>
      <c r="P21" s="38">
        <v>1.5</v>
      </c>
      <c r="Q21" s="38">
        <f>L$41</f>
        <v>0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 t="e">
        <f>IF(D8="",NA(),D8)</f>
        <v>#N/A</v>
      </c>
      <c r="D22" s="39" t="e">
        <f t="shared" si="3"/>
        <v>#N/A</v>
      </c>
      <c r="E22" s="39"/>
      <c r="F22" s="40"/>
      <c r="G22" s="38">
        <v>2</v>
      </c>
      <c r="H22" s="38">
        <f>C$41</f>
        <v>0</v>
      </c>
      <c r="I22" s="25"/>
      <c r="J22" s="3"/>
      <c r="K22" s="36">
        <v>2.1</v>
      </c>
      <c r="L22" s="38" t="e">
        <f>IF(M8="",NA(),M8)</f>
        <v>#N/A</v>
      </c>
      <c r="M22" s="39" t="e">
        <f t="shared" si="2"/>
        <v>#N/A</v>
      </c>
      <c r="N22" s="90"/>
      <c r="O22" s="90"/>
      <c r="P22" s="38">
        <v>2</v>
      </c>
      <c r="Q22" s="38">
        <f>L$41</f>
        <v>0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 t="e">
        <f>IF(G8="",NA(),G8)</f>
        <v>#N/A</v>
      </c>
      <c r="D23" s="39" t="e">
        <f t="shared" si="3"/>
        <v>#N/A</v>
      </c>
      <c r="E23" s="39"/>
      <c r="F23" s="40"/>
      <c r="G23" s="38">
        <v>2.5</v>
      </c>
      <c r="H23" s="38">
        <f>C$41</f>
        <v>0</v>
      </c>
      <c r="I23" s="25"/>
      <c r="J23" s="3"/>
      <c r="K23" s="36">
        <v>2.1</v>
      </c>
      <c r="L23" s="39" t="e">
        <f>IF(P8="",NA(),P8)</f>
        <v>#N/A</v>
      </c>
      <c r="M23" s="39" t="e">
        <f t="shared" si="2"/>
        <v>#N/A</v>
      </c>
      <c r="N23" s="90"/>
      <c r="O23" s="90"/>
      <c r="P23" s="38">
        <v>2.5</v>
      </c>
      <c r="Q23" s="38">
        <f>L$41</f>
        <v>0</v>
      </c>
      <c r="R23" s="69"/>
      <c r="T23" s="27" t="e">
        <f>W17/(4*V17)</f>
        <v>#VALUE!</v>
      </c>
      <c r="U23" s="27" t="e">
        <f>V17/(2*T23^2)</f>
        <v>#VALUE!</v>
      </c>
      <c r="V23" s="27" t="e">
        <f>U17-(U23*T23)</f>
        <v>#VALUE!</v>
      </c>
      <c r="W23" s="27" t="e">
        <f>2*GAMMAINV((1-$Q$4/100)/2,U23/2,1)</f>
        <v>#VALUE!</v>
      </c>
      <c r="X23" s="27" t="e">
        <f>2*GAMMAINV(1-(1-$Q$4/100)/2,U23/2,1)</f>
        <v>#VALUE!</v>
      </c>
      <c r="Y23" s="27" t="e">
        <f>IF(F40&gt;0,V23+(T23*W23),V23+(T23*X23))</f>
        <v>#VALUE!</v>
      </c>
      <c r="Z23" s="27" t="e">
        <f>IF(F40&gt;0,V23+(T23*X23),V23+(T23*W23))</f>
        <v>#VALUE!</v>
      </c>
    </row>
    <row r="24" spans="1:26" x14ac:dyDescent="0.3">
      <c r="A24" s="25"/>
      <c r="B24" s="36">
        <v>3.1</v>
      </c>
      <c r="C24" s="39" t="e">
        <f>IF(H9="",NA(),H9)</f>
        <v>#N/A</v>
      </c>
      <c r="D24" s="39" t="e">
        <f t="shared" ref="D24:D26" si="4">C24</f>
        <v>#N/A</v>
      </c>
      <c r="E24" s="39"/>
      <c r="F24" s="40"/>
      <c r="G24" s="38">
        <v>2.5</v>
      </c>
      <c r="H24" s="38">
        <f>C$42</f>
        <v>0</v>
      </c>
      <c r="I24" s="25"/>
      <c r="J24" s="3"/>
      <c r="K24" s="36">
        <v>3.1</v>
      </c>
      <c r="L24" s="39" t="e">
        <f>IF(Q9="",NA(),Q9)</f>
        <v>#N/A</v>
      </c>
      <c r="M24" s="39" t="e">
        <f t="shared" si="2"/>
        <v>#N/A</v>
      </c>
      <c r="N24" s="90"/>
      <c r="O24" s="90"/>
      <c r="P24" s="38">
        <v>2.5</v>
      </c>
      <c r="Q24" s="38">
        <f>L$42</f>
        <v>0</v>
      </c>
      <c r="R24" s="69"/>
      <c r="T24" s="29" t="e">
        <f>W18/(4*V18)</f>
        <v>#VALUE!</v>
      </c>
      <c r="U24" s="29" t="e">
        <f>V18/(2*T24^2)</f>
        <v>#VALUE!</v>
      </c>
      <c r="V24" s="29" t="e">
        <f>U18-(U24*T24)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IF(F41&gt;0,V24+(T24*W24),V24+(T24*X24))</f>
        <v>#VALUE!</v>
      </c>
      <c r="Z24" s="29" t="e">
        <f>IF(F41&gt;0,V24+(T24*X24),V24+(T24*W24))</f>
        <v>#VALUE!</v>
      </c>
    </row>
    <row r="25" spans="1:26" x14ac:dyDescent="0.3">
      <c r="A25" s="25"/>
      <c r="B25" s="36">
        <v>3.1</v>
      </c>
      <c r="C25" s="38" t="e">
        <f>IF(D9="",NA(),D9)</f>
        <v>#N/A</v>
      </c>
      <c r="D25" s="39" t="e">
        <f t="shared" si="4"/>
        <v>#N/A</v>
      </c>
      <c r="E25" s="39"/>
      <c r="F25" s="40"/>
      <c r="G25" s="38">
        <v>3</v>
      </c>
      <c r="H25" s="38">
        <f>C$42</f>
        <v>0</v>
      </c>
      <c r="I25" s="25"/>
      <c r="J25" s="3"/>
      <c r="K25" s="36">
        <v>3.1</v>
      </c>
      <c r="L25" s="38" t="e">
        <f>IF(M9="",NA(),M9)</f>
        <v>#N/A</v>
      </c>
      <c r="M25" s="39" t="e">
        <f t="shared" si="2"/>
        <v>#N/A</v>
      </c>
      <c r="N25" s="90"/>
      <c r="O25" s="90"/>
      <c r="P25" s="38">
        <v>3</v>
      </c>
      <c r="Q25" s="38">
        <f>L$42</f>
        <v>0</v>
      </c>
      <c r="R25" s="69"/>
      <c r="T25" s="29" t="e">
        <f>W19/(4*V19)</f>
        <v>#VALUE!</v>
      </c>
      <c r="U25" s="29" t="e">
        <f>V19/(2*T25^2)</f>
        <v>#VALUE!</v>
      </c>
      <c r="V25" s="29" t="e">
        <f>U19-(U25*T25)</f>
        <v>#VALUE!</v>
      </c>
      <c r="W25" s="29" t="e">
        <f>2*GAMMAINV((1-$Q$4/100)/2,U25/2,1)</f>
        <v>#VALUE!</v>
      </c>
      <c r="X25" s="29" t="e">
        <f>2*GAMMAINV(1-(1-$Q$4/100)/2,U25/2,1)</f>
        <v>#VALUE!</v>
      </c>
      <c r="Y25" s="29" t="e">
        <f>IF(F42&gt;0,V25+(T25*W25),V25+(T25*X25))</f>
        <v>#VALUE!</v>
      </c>
      <c r="Z25" s="29" t="e">
        <f>IF(F42&gt;0,V25+(T25*X25),V25+(T25*W25))</f>
        <v>#VALUE!</v>
      </c>
    </row>
    <row r="26" spans="1:26" ht="15" thickBot="1" x14ac:dyDescent="0.35">
      <c r="A26" s="25"/>
      <c r="B26" s="36">
        <v>3.1</v>
      </c>
      <c r="C26" s="39" t="e">
        <f>IF(G9="",NA(),G9)</f>
        <v>#N/A</v>
      </c>
      <c r="D26" s="39" t="e">
        <f t="shared" si="4"/>
        <v>#N/A</v>
      </c>
      <c r="E26" s="39"/>
      <c r="F26" s="40"/>
      <c r="G26" s="38">
        <v>3.5</v>
      </c>
      <c r="H26" s="38">
        <f>C$42</f>
        <v>0</v>
      </c>
      <c r="I26" s="25"/>
      <c r="J26" s="3"/>
      <c r="K26" s="36">
        <v>3.1</v>
      </c>
      <c r="L26" s="39" t="e">
        <f>IF(P9="",NA(),P9)</f>
        <v>#N/A</v>
      </c>
      <c r="M26" s="39" t="e">
        <f t="shared" si="2"/>
        <v>#N/A</v>
      </c>
      <c r="N26" s="90"/>
      <c r="O26" s="90"/>
      <c r="P26" s="38">
        <v>3.5</v>
      </c>
      <c r="Q26" s="38">
        <f>L$42</f>
        <v>0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 t="e">
        <f>SQRT(V17)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U17+W29*V29</f>
        <v>#VALUE!</v>
      </c>
      <c r="Z29" s="28" t="e">
        <f>U17+X29*V29</f>
        <v>#VALUE!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 t="e">
        <f>SQRT(V18)</f>
        <v>#VALUE!</v>
      </c>
      <c r="W30" s="28">
        <f>NORMINV((1-$Q$4/100)/2,0,1)</f>
        <v>-1.9599639845400536</v>
      </c>
      <c r="X30" s="28">
        <f>NORMINV(1-(1-$Q$4/100)/2,0,1)</f>
        <v>1.9599639845400536</v>
      </c>
      <c r="Y30" s="28" t="e">
        <f>U18+W30*V30</f>
        <v>#VALUE!</v>
      </c>
      <c r="Z30" s="28" t="e">
        <f>U18+X30*V30</f>
        <v>#VALUE!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 t="e">
        <f>SQRT(V19)</f>
        <v>#VALUE!</v>
      </c>
      <c r="W31" s="28">
        <f>NORMINV((1-$Q$4/100)/2,0,1)</f>
        <v>-1.9599639845400536</v>
      </c>
      <c r="X31" s="28">
        <f>NORMINV(1-(1-$Q$4/100)/2,0,1)</f>
        <v>1.9599639845400536</v>
      </c>
      <c r="Y31" s="28" t="e">
        <f>U19+W31*V31</f>
        <v>#VALUE!</v>
      </c>
      <c r="Z31" s="28" t="e">
        <f>U19+X31*V31</f>
        <v>#VALUE!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/>
      </c>
      <c r="C40" s="14"/>
      <c r="D40" s="27" t="str">
        <f>IFERROR(D7-C40,"")</f>
        <v/>
      </c>
      <c r="E40" s="27" t="str">
        <f>Data!X7</f>
        <v/>
      </c>
      <c r="F40" s="27" t="str">
        <f>IFERROR(D40/E40,"")</f>
        <v/>
      </c>
      <c r="G40" s="42" t="str">
        <f>Data!W7</f>
        <v/>
      </c>
      <c r="H40" s="27" t="str">
        <f>IFERROR(IF(TDIST(ABS(F40),G40,2)&lt;0.001,"&lt; 0.001",TDIST(ABS(F40),G40,2)),"")</f>
        <v/>
      </c>
      <c r="I40" s="3"/>
      <c r="J40" s="3"/>
      <c r="K40" s="19" t="str">
        <f>K7</f>
        <v/>
      </c>
      <c r="L40" s="14"/>
      <c r="M40" s="3"/>
      <c r="N40" s="3"/>
      <c r="O40" s="3"/>
      <c r="P40" s="3"/>
      <c r="Q40" s="3"/>
    </row>
    <row r="41" spans="1:26" x14ac:dyDescent="0.3">
      <c r="B41" s="21" t="str">
        <f>B8</f>
        <v/>
      </c>
      <c r="C41" s="15"/>
      <c r="D41" s="29" t="str">
        <f>IFERROR(D8-C41,"")</f>
        <v/>
      </c>
      <c r="E41" s="29" t="str">
        <f>Data!X8</f>
        <v/>
      </c>
      <c r="F41" s="29" t="str">
        <f>IFERROR(D41/E41,"")</f>
        <v/>
      </c>
      <c r="G41" s="43" t="str">
        <f>Data!W8</f>
        <v/>
      </c>
      <c r="H41" s="29" t="str">
        <f>IFERROR(IF(TDIST(ABS(F41),G41,2)&lt;0.001,"&lt; 0.001",TDIST(ABS(F41),G41,2)),"")</f>
        <v/>
      </c>
      <c r="I41" s="3"/>
      <c r="J41" s="3"/>
      <c r="K41" s="21" t="str">
        <f>K8</f>
        <v/>
      </c>
      <c r="L41" s="15"/>
      <c r="M41" s="3"/>
      <c r="N41" s="3"/>
      <c r="O41" s="3"/>
      <c r="P41" s="3"/>
      <c r="Q41" s="3"/>
    </row>
    <row r="42" spans="1:26" x14ac:dyDescent="0.3">
      <c r="B42" s="21" t="str">
        <f>B9</f>
        <v/>
      </c>
      <c r="C42" s="15"/>
      <c r="D42" s="29" t="str">
        <f>IFERROR(D9-C42,"")</f>
        <v/>
      </c>
      <c r="E42" s="29" t="str">
        <f>Data!X9</f>
        <v/>
      </c>
      <c r="F42" s="29" t="str">
        <f>IFERROR(D42/E42,"")</f>
        <v/>
      </c>
      <c r="G42" s="43" t="str">
        <f>Data!W9</f>
        <v/>
      </c>
      <c r="H42" s="29" t="str">
        <f>IFERROR(IF(TDIST(ABS(F42),G42,2)&lt;0.001,"&lt; 0.001",TDIST(ABS(F42),G42,2)),"")</f>
        <v/>
      </c>
      <c r="I42" s="3"/>
      <c r="J42" s="3"/>
      <c r="K42" s="21" t="str">
        <f>K9</f>
        <v/>
      </c>
      <c r="L42" s="15"/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1" t="s">
        <v>77</v>
      </c>
      <c r="C2" s="121"/>
      <c r="D2" s="121"/>
      <c r="E2" s="121"/>
      <c r="F2" s="121"/>
      <c r="G2" s="121"/>
      <c r="H2" s="121"/>
      <c r="K2" s="121" t="s">
        <v>112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 t="str">
        <f>IF(B7="","",VLOOKUP($B7,Data!$S$7:$V$10,2,FALSE))</f>
        <v/>
      </c>
      <c r="D7" s="27" t="str">
        <f>IF(B7="","",VLOOKUP($B7,Data!$S$7:$V$10,3,FALSE))</f>
        <v/>
      </c>
      <c r="E7" s="27" t="str">
        <f>IF(B7="","",VLOOKUP($B7,Data!$S$7:$V$10,4,FALSE))</f>
        <v/>
      </c>
      <c r="F7" s="27" t="str">
        <f>IFERROR(E7/SQRT(C7),"")</f>
        <v/>
      </c>
      <c r="G7" s="27" t="str">
        <f>IFERROR(D7-TINV(1-$H$4/100,C7-1)*E40,"")</f>
        <v/>
      </c>
      <c r="H7" s="27" t="str">
        <f>IFERROR(D7+TINV(1-$H$4/100,C7-1)*E40,"")</f>
        <v/>
      </c>
      <c r="K7" s="19">
        <f>IF(B7="","",B7)</f>
        <v>2</v>
      </c>
      <c r="L7" s="20" t="str">
        <f>IFERROR((D7-C40)/E7,"")</f>
        <v/>
      </c>
      <c r="M7" s="20" t="str">
        <f>IFERROR((1-3/(4*G40-1))*L7,"")</f>
        <v/>
      </c>
      <c r="N7" s="42" t="str">
        <f t="shared" si="0"/>
        <v/>
      </c>
      <c r="O7" s="20" t="str">
        <f>IFERROR(SQRT((G40+2)/(C7*C7)+((L7^2)/(2*(G40+2)))),"")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2:26" ht="15" thickBot="1" x14ac:dyDescent="0.35">
      <c r="B8" s="108">
        <v>1</v>
      </c>
      <c r="C8" s="57" t="str">
        <f>IF(B8="","",VLOOKUP($B8,Data!$S$7:$V$10,2,FALSE))</f>
        <v/>
      </c>
      <c r="D8" s="30" t="str">
        <f>IF(B8="","",VLOOKUP($B8,Data!$S$7:$V$10,3,FALSE))</f>
        <v/>
      </c>
      <c r="E8" s="30" t="str">
        <f>IF(B8="","",VLOOKUP($B8,Data!$S$7:$V$10,4,FALSE))</f>
        <v/>
      </c>
      <c r="F8" s="49" t="str">
        <f>IFERROR(E8/SQRT(C8),"")</f>
        <v/>
      </c>
      <c r="G8" s="49" t="str">
        <f>IFERROR(D8-TINV(1-$H$4/100,C8-1)*E41,"")</f>
        <v/>
      </c>
      <c r="H8" s="49" t="str">
        <f>IFERROR(D8+TINV(1-$H$4/100,C8-1)*E41,"")</f>
        <v/>
      </c>
      <c r="K8" s="96">
        <f>IF(B8="","",B8)</f>
        <v>1</v>
      </c>
      <c r="L8" s="83" t="str">
        <f>IFERROR((D8-C41)/E8,"")</f>
        <v/>
      </c>
      <c r="M8" s="83" t="str">
        <f>IFERROR((1-3/(4*G41-1))*L8,"")</f>
        <v/>
      </c>
      <c r="N8" s="85" t="str">
        <f t="shared" si="0"/>
        <v/>
      </c>
      <c r="O8" s="83" t="str">
        <f>IFERROR(SQRT((G41+2)/(C8*C8)+((L8^2)/(2*(G41+2)))),"")</f>
        <v/>
      </c>
      <c r="P8" s="49" t="str">
        <f>IFERROR(Y18*SQRT(1/C8),"")</f>
        <v/>
      </c>
      <c r="Q8" s="49" t="str">
        <f>IFERROR(Z18*SQRT(1/C8),"")</f>
        <v/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 t="str">
        <f>IFERROR(D8-D7,"")</f>
        <v/>
      </c>
      <c r="E11" s="101" t="str">
        <f>IFERROR(SQRT((E7^2*(C7-1)+E8^2*(C8-1))/G44),"")</f>
        <v/>
      </c>
      <c r="F11" s="101" t="str">
        <f>IFERROR(SQRT((E11^2/C7)+(E11^2/C8)),"")</f>
        <v/>
      </c>
      <c r="G11" s="101" t="str">
        <f>IFERROR(D11-TINV(1-$H$4/100,G44-1)*E44,"")</f>
        <v/>
      </c>
      <c r="H11" s="101" t="str">
        <f>IFERROR(D11+TINV(1-$H$4/100,G44)*E44,"")</f>
        <v/>
      </c>
      <c r="K11" s="110" t="str">
        <f>B11</f>
        <v>Difference</v>
      </c>
      <c r="L11" s="111" t="str">
        <f>IFERROR((D11-C44)/E11,"")</f>
        <v/>
      </c>
      <c r="M11" s="111" t="str">
        <f>IFERROR((1-3/(4*G44-1))*L11,"")</f>
        <v/>
      </c>
      <c r="N11" s="113" t="str">
        <f t="shared" si="0"/>
        <v/>
      </c>
      <c r="O11" s="111" t="str">
        <f>IFERROR(SQRT((G44+2)/(C7*C8)+((L11^2)/(2*(G44+2)))),"")</f>
        <v/>
      </c>
      <c r="P11" s="101" t="str">
        <f>IFERROR(Y19*SQRT(1/C7+1/C8),"")</f>
        <v/>
      </c>
      <c r="Q11" s="101" t="str">
        <f>IFERROR(Z19*SQRT(1/C7+1/C8),"")</f>
        <v/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19" si="2">IF($X17&lt;0.001,Y27,Y22)</f>
        <v>#VALUE!</v>
      </c>
      <c r="Z17" s="28" t="e">
        <f t="shared" si="2"/>
        <v>#VALUE!</v>
      </c>
    </row>
    <row r="18" spans="2:26" x14ac:dyDescent="0.3">
      <c r="B18" s="32">
        <v>1.1000000000000001</v>
      </c>
      <c r="C18" s="77" t="e">
        <f>IF(H7="",NA(),H7)</f>
        <v>#N/A</v>
      </c>
      <c r="D18" s="77" t="e">
        <f t="shared" ref="D18:D23" si="3">C18</f>
        <v>#N/A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 t="e">
        <f>IF(Q7="",NA(),Q7)</f>
        <v>#N/A</v>
      </c>
      <c r="M18" s="77" t="e">
        <f t="shared" ref="M18:M23" si="5">L18</f>
        <v>#N/A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2"/>
        <v>#VALUE!</v>
      </c>
      <c r="Z18" s="28" t="e">
        <f t="shared" si="2"/>
        <v>#VALUE!</v>
      </c>
    </row>
    <row r="19" spans="2:26" ht="15" thickBot="1" x14ac:dyDescent="0.35">
      <c r="B19" s="32">
        <v>1.1000000000000001</v>
      </c>
      <c r="C19" s="77" t="e">
        <f>IF(D7="",NA(),D7)</f>
        <v>#N/A</v>
      </c>
      <c r="D19" s="77" t="e">
        <f t="shared" si="3"/>
        <v>#N/A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 t="e">
        <f>IF(M7="",NA(),M7)</f>
        <v>#N/A</v>
      </c>
      <c r="M19" s="77" t="e">
        <f t="shared" si="5"/>
        <v>#N/A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 t="e">
        <f>EXP(((LN(2)-LN(G44))/2)+GAMMALN((G44+1)/2)-GAMMALN(G44/2))</f>
        <v>#VALUE!</v>
      </c>
      <c r="U19" s="29" t="e">
        <f>T19*F44</f>
        <v>#VALUE!</v>
      </c>
      <c r="V19" s="29" t="e">
        <f>1+(F44^2)*(1-T19^2)</f>
        <v>#VALUE!</v>
      </c>
      <c r="W19" s="29" t="e">
        <f>(2*U19^3)-((2*G44-1)/G44)*(F44^2*U19)</f>
        <v>#VALUE!</v>
      </c>
      <c r="X19" s="12" t="e">
        <f>W19/SQRT(V19)^3</f>
        <v>#VALUE!</v>
      </c>
      <c r="Y19" s="28" t="e">
        <f t="shared" si="2"/>
        <v>#VALUE!</v>
      </c>
      <c r="Z19" s="28" t="e">
        <f t="shared" si="2"/>
        <v>#VALUE!</v>
      </c>
    </row>
    <row r="20" spans="2:26" ht="15" thickBot="1" x14ac:dyDescent="0.35">
      <c r="B20" s="32">
        <v>1.1000000000000001</v>
      </c>
      <c r="C20" s="77" t="e">
        <f>IF(G7="",NA(),G7)</f>
        <v>#N/A</v>
      </c>
      <c r="D20" s="77" t="e">
        <f t="shared" si="3"/>
        <v>#N/A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 t="e">
        <f>IF(P7="",NA(),P7)</f>
        <v>#N/A</v>
      </c>
      <c r="M20" s="77" t="e">
        <f t="shared" si="5"/>
        <v>#N/A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 t="e">
        <f>IF(H8="",NA(),H8)</f>
        <v>#N/A</v>
      </c>
      <c r="D21" s="77" t="e">
        <f t="shared" si="3"/>
        <v>#N/A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 t="e">
        <f>IF(Q8="",NA(),Q8)</f>
        <v>#N/A</v>
      </c>
      <c r="M21" s="77" t="e">
        <f t="shared" si="5"/>
        <v>#N/A</v>
      </c>
      <c r="N21" s="69"/>
      <c r="O21" s="77">
        <v>3.15</v>
      </c>
      <c r="P21" s="77" t="e">
        <f>IF(P22&gt;$O$31,NA(),P22+$Q$16)</f>
        <v>#N/A</v>
      </c>
      <c r="Q21" s="77" t="e">
        <f t="shared" si="6"/>
        <v>#N/A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 t="e">
        <f>IF(D8="",NA(),D8)</f>
        <v>#N/A</v>
      </c>
      <c r="D22" s="77" t="e">
        <f t="shared" si="3"/>
        <v>#N/A</v>
      </c>
      <c r="E22" s="69"/>
      <c r="F22" s="77">
        <v>3.15</v>
      </c>
      <c r="G22" s="77" t="e">
        <f t="shared" si="7"/>
        <v>#N/A</v>
      </c>
      <c r="H22" s="77" t="e">
        <f>G22-$G$23</f>
        <v>#N/A</v>
      </c>
      <c r="I22" s="77"/>
      <c r="K22" s="32">
        <v>2.1</v>
      </c>
      <c r="L22" s="77" t="e">
        <f>IF(M8="",NA(),M8)</f>
        <v>#N/A</v>
      </c>
      <c r="M22" s="77" t="e">
        <f t="shared" si="5"/>
        <v>#N/A</v>
      </c>
      <c r="N22" s="69"/>
      <c r="O22" s="77">
        <v>3.15</v>
      </c>
      <c r="P22" s="77" t="e">
        <f>IF(P23&gt;$O$31,NA(),P23+$Q$16)</f>
        <v>#N/A</v>
      </c>
      <c r="Q22" s="77" t="e">
        <f t="shared" si="6"/>
        <v>#N/A</v>
      </c>
      <c r="R22" s="77"/>
      <c r="T22" s="27" t="e">
        <f>W17/(4*V17)</f>
        <v>#VALUE!</v>
      </c>
      <c r="U22" s="27" t="e">
        <f>V17/(2*T22^2)</f>
        <v>#VALUE!</v>
      </c>
      <c r="V22" s="27" t="e">
        <f>U17-(U22*T22)</f>
        <v>#VALUE!</v>
      </c>
      <c r="W22" s="27" t="e">
        <f>2*GAMMAINV((1-$Q$4/100)/2,U22/2,1)</f>
        <v>#VALUE!</v>
      </c>
      <c r="X22" s="27" t="e">
        <f>2*GAMMAINV(1-(1-$Q$4/100)/2,U22/2,1)</f>
        <v>#VALUE!</v>
      </c>
      <c r="Y22" s="27" t="e">
        <f>IF(F40&gt;0,V22+(T22*W22),V22+(T22*X22))</f>
        <v>#VALUE!</v>
      </c>
      <c r="Z22" s="27" t="e">
        <f>IF(F40&gt;0,V22+(T22*X22),V22+(T22*W22))</f>
        <v>#VALUE!</v>
      </c>
    </row>
    <row r="23" spans="2:26" x14ac:dyDescent="0.3">
      <c r="B23" s="32">
        <v>2.1</v>
      </c>
      <c r="C23" s="77" t="e">
        <f>IF(G8="",NA(),G8)</f>
        <v>#N/A</v>
      </c>
      <c r="D23" s="77" t="e">
        <f t="shared" si="3"/>
        <v>#N/A</v>
      </c>
      <c r="E23" s="69"/>
      <c r="F23" s="77">
        <v>3.15</v>
      </c>
      <c r="G23" s="77" t="e">
        <f>C19</f>
        <v>#N/A</v>
      </c>
      <c r="H23" s="77" t="e">
        <f>G23-$G$23</f>
        <v>#N/A</v>
      </c>
      <c r="K23" s="32">
        <v>2.1</v>
      </c>
      <c r="L23" s="77" t="e">
        <f>IF(P8="",NA(),P8)</f>
        <v>#N/A</v>
      </c>
      <c r="M23" s="77" t="e">
        <f t="shared" si="5"/>
        <v>#N/A</v>
      </c>
      <c r="N23" s="69"/>
      <c r="O23" s="77">
        <v>3.15</v>
      </c>
      <c r="P23" s="77" t="e">
        <f>L19</f>
        <v>#N/A</v>
      </c>
      <c r="Q23" s="77" t="e">
        <f t="shared" si="6"/>
        <v>#N/A</v>
      </c>
      <c r="T23" s="29" t="e">
        <f>W18/(4*V18)</f>
        <v>#VALUE!</v>
      </c>
      <c r="U23" s="29" t="e">
        <f>V18/(2*T23^2)</f>
        <v>#VALUE!</v>
      </c>
      <c r="V23" s="29" t="e">
        <f>U18-(U23*T23)</f>
        <v>#VALUE!</v>
      </c>
      <c r="W23" s="29" t="e">
        <f>2*GAMMAINV((1-$Q$4/100)/2,U23/2,1)</f>
        <v>#VALUE!</v>
      </c>
      <c r="X23" s="29" t="e">
        <f>2*GAMMAINV(1-(1-$Q$4/100)/2,U23/2,1)</f>
        <v>#VALUE!</v>
      </c>
      <c r="Y23" s="29" t="e">
        <f>IF(F41&gt;0,V23+(T23*W23),V23+(T23*X23))</f>
        <v>#VALUE!</v>
      </c>
      <c r="Z23" s="29" t="e">
        <f>IF(F41&gt;0,V23+(T23*X23),V23+(T23*W23))</f>
        <v>#VALUE!</v>
      </c>
    </row>
    <row r="24" spans="2:26" ht="15" thickBot="1" x14ac:dyDescent="0.35">
      <c r="B24" s="32">
        <v>2.75</v>
      </c>
      <c r="C24" s="77" t="e">
        <f>IF(H11="",NA(),H11+C25-D11)</f>
        <v>#N/A</v>
      </c>
      <c r="D24" s="77" t="str">
        <f>H11</f>
        <v/>
      </c>
      <c r="E24" s="106"/>
      <c r="F24" s="77">
        <v>3.15</v>
      </c>
      <c r="G24" s="77" t="e">
        <f>IF(G23&lt;$F$32,NA(),G23-$H$16)</f>
        <v>#N/A</v>
      </c>
      <c r="H24" s="77" t="e">
        <f>G24-$G$23</f>
        <v>#N/A</v>
      </c>
      <c r="K24" s="32">
        <v>2.75</v>
      </c>
      <c r="L24" s="77" t="e">
        <f>IF(Q11="",NA(),Q11+L25-M11)</f>
        <v>#N/A</v>
      </c>
      <c r="M24" s="77" t="str">
        <f>Q11</f>
        <v/>
      </c>
      <c r="N24" s="106"/>
      <c r="O24" s="77">
        <v>3.15</v>
      </c>
      <c r="P24" s="77" t="e">
        <f>IF(P23&lt;$O$32,NA(),P23-$Q$16)</f>
        <v>#N/A</v>
      </c>
      <c r="Q24" s="77" t="e">
        <f t="shared" si="6"/>
        <v>#N/A</v>
      </c>
      <c r="T24" s="29" t="e">
        <f>W19/(4*V19)</f>
        <v>#VALUE!</v>
      </c>
      <c r="U24" s="29" t="e">
        <f>V19/(2*T24^2)</f>
        <v>#VALUE!</v>
      </c>
      <c r="V24" s="29" t="e">
        <f>U19-(U24*T24)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IF(F44&gt;0,V24+(T24*W24),V24+(T24*X24))</f>
        <v>#VALUE!</v>
      </c>
      <c r="Z24" s="29" t="e">
        <f>IF(F44&gt;0,V24+(T24*X24),V24+(T24*W24))</f>
        <v>#VALUE!</v>
      </c>
    </row>
    <row r="25" spans="2:26" ht="15" thickBot="1" x14ac:dyDescent="0.35">
      <c r="B25" s="32">
        <v>2.75</v>
      </c>
      <c r="C25" s="77" t="e">
        <f>IF(D11="",NA(),C22)</f>
        <v>#N/A</v>
      </c>
      <c r="D25" s="77" t="str">
        <f>D11</f>
        <v/>
      </c>
      <c r="E25" s="106"/>
      <c r="F25" s="77">
        <v>3.15</v>
      </c>
      <c r="G25" s="77" t="e">
        <f>IF(G24&lt;$F$32,NA(),G24-$H$16)</f>
        <v>#N/A</v>
      </c>
      <c r="H25" s="77" t="e">
        <f t="shared" ref="H25:H28" si="8">G25-$G$23</f>
        <v>#N/A</v>
      </c>
      <c r="K25" s="32">
        <v>2.75</v>
      </c>
      <c r="L25" s="77" t="e">
        <f>IF(M11="",NA(),L22)</f>
        <v>#N/A</v>
      </c>
      <c r="M25" s="77" t="str">
        <f>M11</f>
        <v/>
      </c>
      <c r="N25" s="106"/>
      <c r="O25" s="77">
        <v>3.15</v>
      </c>
      <c r="P25" s="77" t="e">
        <f>IF(P24&lt;$O$32,NA(),P24-$Q$16)</f>
        <v>#N/A</v>
      </c>
      <c r="Q25" s="77" t="e">
        <f t="shared" si="6"/>
        <v>#N/A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 t="e">
        <f>IF(G11="",NA(),G11+C25-D11)</f>
        <v>#N/A</v>
      </c>
      <c r="D26" s="77" t="str">
        <f>G11</f>
        <v/>
      </c>
      <c r="E26" s="69"/>
      <c r="F26" s="77">
        <v>3.15</v>
      </c>
      <c r="G26" s="77" t="e">
        <f t="shared" ref="G26:G28" si="9">IF(G25&lt;$F$32,NA(),G25-$H$16)</f>
        <v>#N/A</v>
      </c>
      <c r="H26" s="77" t="e">
        <f t="shared" si="8"/>
        <v>#N/A</v>
      </c>
      <c r="K26" s="32">
        <v>2.75</v>
      </c>
      <c r="L26" s="77" t="e">
        <f>IF(P11="",NA(),P11+L25-M11)</f>
        <v>#N/A</v>
      </c>
      <c r="M26" s="77" t="str">
        <f>P11</f>
        <v/>
      </c>
      <c r="N26" s="69"/>
      <c r="O26" s="77">
        <v>3.15</v>
      </c>
      <c r="P26" s="77" t="e">
        <f>IF(P25&lt;$O$32,NA(),P25-$Q$16)</f>
        <v>#N/A</v>
      </c>
      <c r="Q26" s="77" t="e">
        <f t="shared" si="6"/>
        <v>#N/A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 t="e">
        <f t="shared" si="9"/>
        <v>#N/A</v>
      </c>
      <c r="H27" s="77" t="e">
        <f t="shared" si="8"/>
        <v>#N/A</v>
      </c>
      <c r="K27" s="69"/>
      <c r="L27" s="77"/>
      <c r="M27" s="77"/>
      <c r="N27" s="69"/>
      <c r="O27" s="77">
        <v>3.15</v>
      </c>
      <c r="P27" s="77" t="e">
        <f>IF(P26&lt;$O$32,NA(),P26-$Q$16)</f>
        <v>#N/A</v>
      </c>
      <c r="Q27" s="77" t="e">
        <f t="shared" si="6"/>
        <v>#N/A</v>
      </c>
      <c r="V27" s="28" t="e">
        <f>SQRT(V17)</f>
        <v>#VALUE!</v>
      </c>
      <c r="W27" s="28">
        <f>NORMINV((1-$Q$4/100)/2,0,1)</f>
        <v>-1.9599639845400536</v>
      </c>
      <c r="X27" s="28">
        <f>NORMINV(1-(1-$Q$4/100)/2,0,1)</f>
        <v>1.9599639845400536</v>
      </c>
      <c r="Y27" s="28" t="e">
        <f>U17+W27*V27</f>
        <v>#VALUE!</v>
      </c>
      <c r="Z27" s="28" t="e">
        <f>U17+X27*V27</f>
        <v>#VALUE!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 t="e">
        <f>SQRT(V18)</f>
        <v>#VALUE!</v>
      </c>
      <c r="W28" s="28">
        <f>NORMINV((1-$Q$4/100)/2,0,1)</f>
        <v>-1.9599639845400536</v>
      </c>
      <c r="X28" s="28">
        <f>NORMINV(1-(1-$Q$4/100)/2,0,1)</f>
        <v>1.9599639845400536</v>
      </c>
      <c r="Y28" s="28" t="e">
        <f>U18+W28*V28</f>
        <v>#VALUE!</v>
      </c>
      <c r="Z28" s="28" t="e">
        <f>U18+X28*V28</f>
        <v>#VALUE!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 t="e">
        <f>SQRT(V19)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U19+W29*V29</f>
        <v>#VALUE!</v>
      </c>
      <c r="Z29" s="28" t="e">
        <f>U19+X29*V29</f>
        <v>#VALUE!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 t="e">
        <f>C19</f>
        <v>#N/A</v>
      </c>
      <c r="D31" s="32">
        <v>2.1</v>
      </c>
      <c r="E31" s="77" t="e">
        <f>C22</f>
        <v>#N/A</v>
      </c>
      <c r="F31" s="77" t="e">
        <f>MAX(C$18:C$26)</f>
        <v>#N/A</v>
      </c>
      <c r="G31" s="77" t="e">
        <f>IF(F31-F32=0,1,F31-F32)</f>
        <v>#N/A</v>
      </c>
      <c r="H31" s="77" t="e">
        <f>ROUNDUP(G31/G32,0)</f>
        <v>#N/A</v>
      </c>
      <c r="K31" s="32">
        <v>1.1000000000000001</v>
      </c>
      <c r="L31" s="77" t="e">
        <f>L19</f>
        <v>#N/A</v>
      </c>
      <c r="M31" s="32">
        <v>2.1</v>
      </c>
      <c r="N31" s="77" t="e">
        <f>L22</f>
        <v>#N/A</v>
      </c>
      <c r="O31" s="77" t="e">
        <f>MAX(L$18:L$26)</f>
        <v>#N/A</v>
      </c>
      <c r="P31" s="77" t="e">
        <f>IF(O31-O32=0,1,O31-O32)</f>
        <v>#N/A</v>
      </c>
      <c r="Q31" s="77" t="e">
        <f>ROUNDUP(P31/P32,0)</f>
        <v>#N/A</v>
      </c>
    </row>
    <row r="32" spans="2:26" x14ac:dyDescent="0.3">
      <c r="B32" s="32">
        <v>3.15</v>
      </c>
      <c r="C32" s="77" t="e">
        <f>C19</f>
        <v>#N/A</v>
      </c>
      <c r="D32" s="32">
        <v>3.15</v>
      </c>
      <c r="E32" s="77" t="e">
        <f>C22</f>
        <v>#N/A</v>
      </c>
      <c r="F32" s="77" t="e">
        <f>MIN(C$18:C$26)</f>
        <v>#N/A</v>
      </c>
      <c r="G32" s="77" t="e">
        <f>POWER(10,INT(LOG10(G31)))</f>
        <v>#N/A</v>
      </c>
      <c r="H32" s="77" t="e">
        <f>CHOOSE(H31,10,5,5,2,2,2,2,1,1,1)</f>
        <v>#N/A</v>
      </c>
      <c r="K32" s="32">
        <v>3.15</v>
      </c>
      <c r="L32" s="77" t="e">
        <f>L19</f>
        <v>#N/A</v>
      </c>
      <c r="M32" s="32">
        <v>3.15</v>
      </c>
      <c r="N32" s="77" t="e">
        <f>L22</f>
        <v>#N/A</v>
      </c>
      <c r="O32" s="77" t="e">
        <f>MIN(L$18:L$26)</f>
        <v>#N/A</v>
      </c>
      <c r="P32" s="77" t="e">
        <f>POWER(10,INT(LOG10(P31)))</f>
        <v>#N/A</v>
      </c>
      <c r="Q32" s="77" t="e">
        <f>CHOOSE(Q31,1,0.5,0.5,0.2,0.2,0.2,0.2,0.1,0.1,0.1)</f>
        <v>#N/A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 t="e">
        <f>MAX($C$18:$C$26)</f>
        <v>#N/A</v>
      </c>
      <c r="P34" s="77" t="e">
        <f>IF(O34-O35=0,1,O34-O35)</f>
        <v>#N/A</v>
      </c>
      <c r="Q34" s="28" t="e">
        <f>P34/9</f>
        <v>#N/A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 t="e">
        <f>MIN($C$18:$C$26)</f>
        <v>#N/A</v>
      </c>
      <c r="P35" s="28" t="e">
        <f>O34+P34/20</f>
        <v>#N/A</v>
      </c>
      <c r="Q35" s="28" t="e">
        <f>ROUNDUP(Q34,0)</f>
        <v>#N/A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/>
      <c r="D40" s="27" t="str">
        <f>IFERROR(D7-C40,"")</f>
        <v/>
      </c>
      <c r="E40" s="27" t="str">
        <f>IFERROR(E7/SQRT(C7),"")</f>
        <v/>
      </c>
      <c r="F40" s="27" t="str">
        <f>IFERROR(D40/E40,"")</f>
        <v/>
      </c>
      <c r="G40" s="58" t="str">
        <f>IF(C7&lt;&gt;"",C7-1,"")</f>
        <v/>
      </c>
      <c r="H40" s="27" t="str">
        <f>IFERROR(IF(TDIST(ABS(F40),G40,2)&lt;0.001,"&lt; 0.001",TDIST(ABS(F40),G40,2)),"")</f>
        <v/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/>
      <c r="D41" s="49" t="str">
        <f>IFERROR(D8-C41,"")</f>
        <v/>
      </c>
      <c r="E41" s="49" t="str">
        <f>IFERROR(E8/SQRT(C8),"")</f>
        <v/>
      </c>
      <c r="F41" s="49" t="str">
        <f t="shared" ref="F41:F44" si="10">IFERROR(D41/E41,"")</f>
        <v/>
      </c>
      <c r="G41" s="81" t="str">
        <f>IF(C8&lt;&gt;"",C8-1,"")</f>
        <v/>
      </c>
      <c r="H41" s="49" t="str">
        <f>IFERROR(IF(TDIST(ABS(F41),G41,2)&lt;0.001,"&lt; 0.001",TDIST(ABS(F41),G41,2)),"")</f>
        <v/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/>
      <c r="D44" s="101" t="str">
        <f>IFERROR(D11-C44,"")</f>
        <v/>
      </c>
      <c r="E44" s="101" t="str">
        <f>IFERROR(SQRT((E11^2/C7)+(E11^2/C8)),"")</f>
        <v/>
      </c>
      <c r="F44" s="101" t="str">
        <f t="shared" si="10"/>
        <v/>
      </c>
      <c r="G44" s="102" t="str">
        <f>IFERROR(C7+C8-2,"")</f>
        <v/>
      </c>
      <c r="H44" s="101" t="str">
        <f>IFERROR(IF(TDIST(ABS(F44),G44,2)&lt;0.001,"&lt; 0.001",TDIST(ABS(F44),G44,2)),"")</f>
        <v/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1" t="s">
        <v>46</v>
      </c>
      <c r="C2" s="121"/>
      <c r="D2" s="121"/>
      <c r="E2" s="121"/>
      <c r="F2" s="121"/>
      <c r="G2" s="121"/>
      <c r="H2" s="121"/>
      <c r="I2"/>
      <c r="K2" s="121" t="s">
        <v>47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/>
      </c>
      <c r="C7" s="42" t="str">
        <f t="shared" si="0"/>
        <v/>
      </c>
      <c r="D7" s="20" t="str">
        <f>IFERROR(Data!U7-Data!U8,"")</f>
        <v/>
      </c>
      <c r="E7" s="20" t="str">
        <f>IF(B7="","",SQRT((Data!V7^2*(Data!T7-1)+Data!V8^2*(Data!T8-1))/G40))</f>
        <v/>
      </c>
      <c r="F7" s="20" t="str">
        <f>IF(B7="","",SQRT((E7^2/Data!T7)+(E7^2/Data!T8)))</f>
        <v/>
      </c>
      <c r="G7" s="20" t="str">
        <f t="shared" ref="G7:G12" si="1">IFERROR(D7-TINV(1-$H$4/100,G40)*E40,"")</f>
        <v/>
      </c>
      <c r="H7" s="20" t="str">
        <f t="shared" ref="H7:H12" si="2">IFERROR(D7+TINV(1-$H$4/100,G40)*E40,"")</f>
        <v/>
      </c>
      <c r="J7" s="3"/>
      <c r="K7" s="19" t="str">
        <f t="shared" ref="K7:K12" si="3">B7</f>
        <v/>
      </c>
      <c r="L7" s="20" t="str">
        <f t="shared" ref="L7:L12" si="4">IFERROR(D7/E7,"")</f>
        <v/>
      </c>
      <c r="M7" s="20" t="str">
        <f t="shared" ref="M7:M12" si="5">IFERROR((1-3/(4*G40-1))*L7,"")</f>
        <v/>
      </c>
      <c r="N7" s="42" t="str">
        <f t="shared" ref="N7:N12" si="6">C7</f>
        <v/>
      </c>
      <c r="O7" s="27" t="str">
        <f>IFERROR(SQRT((G40+2)/(Data!T7*Data!T8)+((L7^2)/(2*(G40+2)))),"")</f>
        <v/>
      </c>
      <c r="P7" s="27" t="str">
        <f>IFERROR(Y17*SQRT(1/Data!T7+1/Data!T8),"")</f>
        <v/>
      </c>
      <c r="Q7" s="27" t="str">
        <f>IFERROR(Z17*SQRT(1/Data!T7+1/Data!T8),"")</f>
        <v/>
      </c>
      <c r="T7" s="19" t="str">
        <f>B7</f>
        <v/>
      </c>
      <c r="U7" s="78">
        <v>0</v>
      </c>
      <c r="V7" s="20" t="str">
        <f>IFERROR(D7-U7,"")</f>
        <v/>
      </c>
      <c r="W7" s="20" t="str">
        <f>IF(B7="","",SQRT((E7^2/Data!T7)+(E7^2/Data!T8)))</f>
        <v/>
      </c>
      <c r="X7" s="27" t="str">
        <f>IFERROR(V7/W7,"")</f>
        <v/>
      </c>
      <c r="Y7" s="42" t="str">
        <f>IFERROR(Data!T7+Data!T8-2,"")</f>
        <v/>
      </c>
      <c r="Z7" s="20" t="str">
        <f t="shared" ref="Z7:Z12" si="7">IFERROR(IF(TDIST(ABS(X7),Y7,2)&lt;0.001,"&lt; 0.001",TDIST(ABS(X7),Y7,2)),"")</f>
        <v/>
      </c>
    </row>
    <row r="8" spans="1:26" x14ac:dyDescent="0.3">
      <c r="B8" s="21" t="str">
        <f>IF(D8="","","1 vs. 3")</f>
        <v/>
      </c>
      <c r="C8" s="43" t="str">
        <f t="shared" si="0"/>
        <v/>
      </c>
      <c r="D8" s="22" t="str">
        <f>IFERROR(Data!U7-Data!U9,"")</f>
        <v/>
      </c>
      <c r="E8" s="22" t="str">
        <f>IF(B8="","",SQRT((Data!V7^2*(Data!T7-1)+Data!V9^2*(Data!T9-1))/G41))</f>
        <v/>
      </c>
      <c r="F8" s="22" t="str">
        <f>IF(B8="","",SQRT((E8^2/Data!T7)+(E8^2/Data!T9)))</f>
        <v/>
      </c>
      <c r="G8" s="22" t="str">
        <f t="shared" si="1"/>
        <v/>
      </c>
      <c r="H8" s="22" t="str">
        <f t="shared" si="2"/>
        <v/>
      </c>
      <c r="J8" s="3"/>
      <c r="K8" s="21" t="str">
        <f t="shared" si="3"/>
        <v/>
      </c>
      <c r="L8" s="22" t="str">
        <f t="shared" si="4"/>
        <v/>
      </c>
      <c r="M8" s="22" t="str">
        <f t="shared" si="5"/>
        <v/>
      </c>
      <c r="N8" s="43" t="str">
        <f t="shared" si="6"/>
        <v/>
      </c>
      <c r="O8" s="29" t="str">
        <f>IFERROR(SQRT((G41+2)/(Data!T7*Data!T9)+((L8^2)/(2*(G41+2)))),"")</f>
        <v/>
      </c>
      <c r="P8" s="29" t="str">
        <f>IFERROR(Y18*SQRT(1/Data!T7+1/Data!T9),"")</f>
        <v/>
      </c>
      <c r="Q8" s="29" t="str">
        <f>IFERROR(Z18*SQRT(1/Data!T7+1/Data!T9),"")</f>
        <v/>
      </c>
      <c r="T8" s="21" t="str">
        <f t="shared" ref="T8:T12" si="8">B8</f>
        <v/>
      </c>
      <c r="U8" s="79" t="str">
        <f t="shared" ref="U8:U12" si="9">IF(T8="","",0)</f>
        <v/>
      </c>
      <c r="V8" s="22" t="str">
        <f t="shared" ref="V8:V12" si="10">IFERROR(D8-U8,"")</f>
        <v/>
      </c>
      <c r="W8" s="22" t="str">
        <f>IF(B8="","",SQRT((E8^2/Data!T7)+(E8^2/Data!T9)))</f>
        <v/>
      </c>
      <c r="X8" s="29" t="str">
        <f t="shared" ref="X8:X12" si="11">IFERROR(V8/W8,"")</f>
        <v/>
      </c>
      <c r="Y8" s="43" t="str">
        <f>IFERROR(Data!T7+Data!T9-2,"")</f>
        <v/>
      </c>
      <c r="Z8" s="22" t="str">
        <f t="shared" si="7"/>
        <v/>
      </c>
    </row>
    <row r="9" spans="1:26" x14ac:dyDescent="0.3">
      <c r="B9" s="21" t="str">
        <f>IF(D9="","","2 vs. 3")</f>
        <v/>
      </c>
      <c r="C9" s="43" t="str">
        <f t="shared" si="0"/>
        <v/>
      </c>
      <c r="D9" s="22" t="str">
        <f>IFERROR(Data!U8-Data!U9,"")</f>
        <v/>
      </c>
      <c r="E9" s="22" t="str">
        <f>IF(B9="","",SQRT((Data!V8^2*(Data!T8-1)+Data!V9^2*(Data!T9-1))/G42))</f>
        <v/>
      </c>
      <c r="F9" s="22" t="str">
        <f>IF(B9="","",SQRT((E9^2/Data!T8)+(E9^2/Data!T9)))</f>
        <v/>
      </c>
      <c r="G9" s="22" t="str">
        <f t="shared" si="1"/>
        <v/>
      </c>
      <c r="H9" s="22" t="str">
        <f t="shared" si="2"/>
        <v/>
      </c>
      <c r="J9" s="3"/>
      <c r="K9" s="21" t="str">
        <f t="shared" si="3"/>
        <v/>
      </c>
      <c r="L9" s="22" t="str">
        <f t="shared" si="4"/>
        <v/>
      </c>
      <c r="M9" s="22" t="str">
        <f t="shared" si="5"/>
        <v/>
      </c>
      <c r="N9" s="43" t="str">
        <f t="shared" si="6"/>
        <v/>
      </c>
      <c r="O9" s="29" t="str">
        <f>IFERROR(SQRT((G42+2)/(Data!T8*Data!T9)+((L9^2)/(2*(G42+2)))),"")</f>
        <v/>
      </c>
      <c r="P9" s="29" t="str">
        <f>IFERROR(Y19*SQRT(1/Data!T8+1/Data!T9),"")</f>
        <v/>
      </c>
      <c r="Q9" s="29" t="str">
        <f>IFERROR(Z19*SQRT(1/Data!T8+1/Data!T9),"")</f>
        <v/>
      </c>
      <c r="T9" s="21" t="str">
        <f t="shared" si="8"/>
        <v/>
      </c>
      <c r="U9" s="79" t="str">
        <f t="shared" si="9"/>
        <v/>
      </c>
      <c r="V9" s="22" t="str">
        <f t="shared" si="10"/>
        <v/>
      </c>
      <c r="W9" s="22" t="str">
        <f>IF(B9="","",SQRT((E9^2/Data!T8)+(E9^2/Data!T9)))</f>
        <v/>
      </c>
      <c r="X9" s="29" t="str">
        <f t="shared" si="11"/>
        <v/>
      </c>
      <c r="Y9" s="43" t="str">
        <f>IFERROR(Data!T8+Data!T9-2,"")</f>
        <v/>
      </c>
      <c r="Z9" s="22" t="str">
        <f t="shared" si="7"/>
        <v/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 t="e">
        <f t="shared" ref="T17:T22" si="12">EXP(((LN(2)-LN(Y7))/2)+GAMMALN((Y7+1)/2)-GAMMALN(Y7/2))</f>
        <v>#VALUE!</v>
      </c>
      <c r="U17" s="27" t="e">
        <f t="shared" ref="U17:U22" si="13">T17*X7</f>
        <v>#VALUE!</v>
      </c>
      <c r="V17" s="27" t="e">
        <f t="shared" ref="V17:V22" si="14">1+(X7^2)*(1-T17^2)</f>
        <v>#VALUE!</v>
      </c>
      <c r="W17" s="27" t="e">
        <f t="shared" ref="W17:W22" si="15">(2*U17^3)-((2*Y7-1)/Y7)*(X7^2*U17)</f>
        <v>#VALUE!</v>
      </c>
      <c r="X17" s="12" t="e">
        <f t="shared" ref="X17" si="16">W17/SQRT(V17)^3</f>
        <v>#VALUE!</v>
      </c>
      <c r="Y17" s="28" t="e">
        <f t="shared" ref="Y17:Z22" si="17">IF($X17&lt;0.001,Y33,Y25)</f>
        <v>#VALUE!</v>
      </c>
      <c r="Z17" s="28" t="e">
        <f t="shared" si="17"/>
        <v>#VALUE!</v>
      </c>
    </row>
    <row r="18" spans="2:26" x14ac:dyDescent="0.3">
      <c r="B18" s="39">
        <v>1.1000000000000001</v>
      </c>
      <c r="C18" s="39" t="e">
        <f>IF(H7="",NA(),H7)</f>
        <v>#N/A</v>
      </c>
      <c r="D18" s="39" t="e">
        <f t="shared" ref="D18:D35" si="18">C18</f>
        <v>#N/A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 t="e">
        <f>IF(Q7="",NA(),Q7)</f>
        <v>#N/A</v>
      </c>
      <c r="M18" s="39" t="e">
        <f t="shared" ref="M18:M35" si="19">L18</f>
        <v>#N/A</v>
      </c>
      <c r="N18" s="39"/>
      <c r="O18" s="39"/>
      <c r="P18" s="38">
        <v>0.5</v>
      </c>
      <c r="Q18" s="38">
        <f>L$40</f>
        <v>0</v>
      </c>
      <c r="T18" s="29" t="e">
        <f t="shared" si="12"/>
        <v>#VALUE!</v>
      </c>
      <c r="U18" s="29" t="e">
        <f t="shared" si="13"/>
        <v>#VALUE!</v>
      </c>
      <c r="V18" s="29" t="e">
        <f t="shared" si="14"/>
        <v>#VALUE!</v>
      </c>
      <c r="W18" s="29" t="e">
        <f t="shared" si="15"/>
        <v>#VALUE!</v>
      </c>
      <c r="X18" s="12" t="e">
        <f t="shared" ref="X18:X22" si="20">W18/SQRT(V18)^3</f>
        <v>#VALUE!</v>
      </c>
      <c r="Y18" s="28" t="e">
        <f t="shared" si="17"/>
        <v>#VALUE!</v>
      </c>
      <c r="Z18" s="28" t="e">
        <f t="shared" si="17"/>
        <v>#VALUE!</v>
      </c>
    </row>
    <row r="19" spans="2:26" x14ac:dyDescent="0.3">
      <c r="B19" s="39">
        <v>1.1000000000000001</v>
      </c>
      <c r="C19" s="38" t="e">
        <f>IF(D7="",NA(),D7)</f>
        <v>#N/A</v>
      </c>
      <c r="D19" s="39" t="e">
        <f t="shared" si="18"/>
        <v>#N/A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 t="e">
        <f>IF(M7="",NA(),M7)</f>
        <v>#N/A</v>
      </c>
      <c r="M19" s="39" t="e">
        <f t="shared" si="19"/>
        <v>#N/A</v>
      </c>
      <c r="N19" s="39"/>
      <c r="O19" s="39"/>
      <c r="P19" s="38">
        <v>1</v>
      </c>
      <c r="Q19" s="38">
        <f>L$40</f>
        <v>0</v>
      </c>
      <c r="T19" s="29" t="e">
        <f t="shared" si="12"/>
        <v>#VALUE!</v>
      </c>
      <c r="U19" s="29" t="e">
        <f t="shared" si="13"/>
        <v>#VALUE!</v>
      </c>
      <c r="V19" s="29" t="e">
        <f t="shared" si="14"/>
        <v>#VALUE!</v>
      </c>
      <c r="W19" s="29" t="e">
        <f t="shared" si="15"/>
        <v>#VALUE!</v>
      </c>
      <c r="X19" s="12" t="e">
        <f t="shared" si="20"/>
        <v>#VALUE!</v>
      </c>
      <c r="Y19" s="28" t="e">
        <f t="shared" si="17"/>
        <v>#VALUE!</v>
      </c>
      <c r="Z19" s="28" t="e">
        <f t="shared" si="17"/>
        <v>#VALUE!</v>
      </c>
    </row>
    <row r="20" spans="2:26" ht="15.6" x14ac:dyDescent="0.3">
      <c r="B20" s="39">
        <v>1.1000000000000001</v>
      </c>
      <c r="C20" s="39" t="e">
        <f>IF(G7="",NA(),G7)</f>
        <v>#N/A</v>
      </c>
      <c r="D20" s="39" t="e">
        <f t="shared" si="18"/>
        <v>#N/A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 t="e">
        <f>IF(P7="",NA(),P7)</f>
        <v>#N/A</v>
      </c>
      <c r="M20" s="39" t="e">
        <f t="shared" si="19"/>
        <v>#N/A</v>
      </c>
      <c r="N20" s="39"/>
      <c r="O20" s="39"/>
      <c r="P20" s="38">
        <v>1.5</v>
      </c>
      <c r="Q20" s="38">
        <f>L$40</f>
        <v>0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 t="e">
        <f>IF(H8="",NA(),H8)</f>
        <v>#N/A</v>
      </c>
      <c r="D21" s="39" t="e">
        <f t="shared" si="18"/>
        <v>#N/A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 t="e">
        <f>IF(Q8="",NA(),Q8)</f>
        <v>#N/A</v>
      </c>
      <c r="M21" s="39" t="e">
        <f t="shared" si="19"/>
        <v>#N/A</v>
      </c>
      <c r="N21" s="39"/>
      <c r="O21" s="39"/>
      <c r="P21" s="38">
        <v>1.5</v>
      </c>
      <c r="Q21" s="38">
        <f>L$41</f>
        <v>0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 t="e">
        <f>IF(D8="",NA(),D8)</f>
        <v>#N/A</v>
      </c>
      <c r="D22" s="39" t="e">
        <f t="shared" si="18"/>
        <v>#N/A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 t="e">
        <f>IF(M8="",NA(),M8)</f>
        <v>#N/A</v>
      </c>
      <c r="M22" s="39" t="e">
        <f t="shared" si="19"/>
        <v>#N/A</v>
      </c>
      <c r="N22" s="39"/>
      <c r="O22" s="39"/>
      <c r="P22" s="38">
        <v>2</v>
      </c>
      <c r="Q22" s="38">
        <f>L$41</f>
        <v>0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 t="e">
        <f>IF(G8="",NA(),G8)</f>
        <v>#N/A</v>
      </c>
      <c r="D23" s="39" t="e">
        <f t="shared" si="18"/>
        <v>#N/A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 t="e">
        <f>IF(P8="",NA(),P8)</f>
        <v>#N/A</v>
      </c>
      <c r="M23" s="39" t="e">
        <f t="shared" si="19"/>
        <v>#N/A</v>
      </c>
      <c r="N23" s="39"/>
      <c r="O23" s="39"/>
      <c r="P23" s="38">
        <v>2.5</v>
      </c>
      <c r="Q23" s="38">
        <f>L$41</f>
        <v>0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 t="e">
        <f>IF(H9="",NA(),H9)</f>
        <v>#N/A</v>
      </c>
      <c r="D24" s="39" t="e">
        <f t="shared" si="18"/>
        <v>#N/A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 t="e">
        <f>IF(Q9="",NA(),Q9)</f>
        <v>#N/A</v>
      </c>
      <c r="M24" s="39" t="e">
        <f t="shared" si="19"/>
        <v>#N/A</v>
      </c>
      <c r="N24" s="39"/>
      <c r="O24" s="39"/>
      <c r="P24" s="38">
        <v>2.5</v>
      </c>
      <c r="Q24" s="38">
        <f>L$42</f>
        <v>0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 t="e">
        <f>IF(D9="",NA(),D9)</f>
        <v>#N/A</v>
      </c>
      <c r="D25" s="39" t="e">
        <f t="shared" si="18"/>
        <v>#N/A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 t="e">
        <f>IF(M9="",NA(),M9)</f>
        <v>#N/A</v>
      </c>
      <c r="M25" s="39" t="e">
        <f t="shared" si="19"/>
        <v>#N/A</v>
      </c>
      <c r="N25" s="39"/>
      <c r="O25" s="39"/>
      <c r="P25" s="38">
        <v>3</v>
      </c>
      <c r="Q25" s="38">
        <f>L$42</f>
        <v>0</v>
      </c>
      <c r="T25" s="27" t="e">
        <f t="shared" ref="T25:T30" si="21">W17/(4*V17)</f>
        <v>#VALUE!</v>
      </c>
      <c r="U25" s="27" t="e">
        <f t="shared" ref="U25:U30" si="22">V17/(2*T25^2)</f>
        <v>#VALUE!</v>
      </c>
      <c r="V25" s="27" t="e">
        <f t="shared" ref="V25:V30" si="23">U17-(U25*T25)</f>
        <v>#VALUE!</v>
      </c>
      <c r="W25" s="27" t="e">
        <f t="shared" ref="W25:W30" si="24">2*GAMMAINV((1-$Q$4/100)/2,U25/2,1)</f>
        <v>#VALUE!</v>
      </c>
      <c r="X25" s="27" t="e">
        <f t="shared" ref="X25:X30" si="25">2*GAMMAINV(1-(1-$Q$4/100)/2,U25/2,1)</f>
        <v>#VALUE!</v>
      </c>
      <c r="Y25" s="27" t="e">
        <f t="shared" ref="Y25:Y30" si="26">IF(F40&gt;0,V25+(T25*W25),V25+(T25*X25))</f>
        <v>#VALUE!</v>
      </c>
      <c r="Z25" s="27" t="e">
        <f t="shared" ref="Z25:Z30" si="27">IF(F40&gt;0,V25+(T25*X25),V25+(T25*W25))</f>
        <v>#VALUE!</v>
      </c>
    </row>
    <row r="26" spans="2:26" x14ac:dyDescent="0.3">
      <c r="B26" s="39">
        <v>3.1</v>
      </c>
      <c r="C26" s="39" t="e">
        <f>IF(G9="",NA(),G9)</f>
        <v>#N/A</v>
      </c>
      <c r="D26" s="39" t="e">
        <f t="shared" si="18"/>
        <v>#N/A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 t="e">
        <f>IF(P9="",NA(),P9)</f>
        <v>#N/A</v>
      </c>
      <c r="M26" s="39" t="e">
        <f t="shared" si="19"/>
        <v>#N/A</v>
      </c>
      <c r="N26" s="39"/>
      <c r="O26" s="39"/>
      <c r="P26" s="38">
        <v>3.5</v>
      </c>
      <c r="Q26" s="38">
        <f>L$42</f>
        <v>0</v>
      </c>
      <c r="T26" s="29" t="e">
        <f t="shared" si="21"/>
        <v>#VALUE!</v>
      </c>
      <c r="U26" s="29" t="e">
        <f t="shared" si="22"/>
        <v>#VALUE!</v>
      </c>
      <c r="V26" s="29" t="e">
        <f t="shared" si="23"/>
        <v>#VALUE!</v>
      </c>
      <c r="W26" s="29" t="e">
        <f t="shared" si="24"/>
        <v>#VALUE!</v>
      </c>
      <c r="X26" s="29" t="e">
        <f t="shared" si="25"/>
        <v>#VALUE!</v>
      </c>
      <c r="Y26" s="29" t="e">
        <f t="shared" si="26"/>
        <v>#VALUE!</v>
      </c>
      <c r="Z26" s="29" t="e">
        <f t="shared" si="27"/>
        <v>#VALUE!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 t="e">
        <f t="shared" si="21"/>
        <v>#VALUE!</v>
      </c>
      <c r="U27" s="29" t="e">
        <f t="shared" si="22"/>
        <v>#VALUE!</v>
      </c>
      <c r="V27" s="29" t="e">
        <f t="shared" si="23"/>
        <v>#VALUE!</v>
      </c>
      <c r="W27" s="29" t="e">
        <f t="shared" si="24"/>
        <v>#VALUE!</v>
      </c>
      <c r="X27" s="29" t="e">
        <f t="shared" si="25"/>
        <v>#VALUE!</v>
      </c>
      <c r="Y27" s="29" t="e">
        <f t="shared" si="26"/>
        <v>#VALUE!</v>
      </c>
      <c r="Z27" s="29" t="e">
        <f t="shared" si="27"/>
        <v>#VALUE!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 t="e">
        <f t="shared" ref="V33:V38" si="28">SQRT(V17)</f>
        <v>#VALUE!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 t="e">
        <f t="shared" ref="Y33:Y38" si="31">U17+W33*V33</f>
        <v>#VALUE!</v>
      </c>
      <c r="Z33" s="28" t="e">
        <f t="shared" ref="Z33:Z38" si="32">U17+X33*V33</f>
        <v>#VALUE!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 t="e">
        <f t="shared" si="28"/>
        <v>#VALUE!</v>
      </c>
      <c r="W34" s="28">
        <f t="shared" si="29"/>
        <v>-1.9599639845400536</v>
      </c>
      <c r="X34" s="28">
        <f t="shared" si="30"/>
        <v>1.9599639845400536</v>
      </c>
      <c r="Y34" s="28" t="e">
        <f t="shared" si="31"/>
        <v>#VALUE!</v>
      </c>
      <c r="Z34" s="28" t="e">
        <f t="shared" si="32"/>
        <v>#VALUE!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 t="e">
        <f t="shared" si="28"/>
        <v>#VALUE!</v>
      </c>
      <c r="W35" s="28">
        <f t="shared" si="29"/>
        <v>-1.9599639845400536</v>
      </c>
      <c r="X35" s="28">
        <f t="shared" si="30"/>
        <v>1.9599639845400536</v>
      </c>
      <c r="Y35" s="28" t="e">
        <f t="shared" si="31"/>
        <v>#VALUE!</v>
      </c>
      <c r="Z35" s="28" t="e">
        <f t="shared" si="32"/>
        <v>#VALUE!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/>
      </c>
      <c r="C40" s="14"/>
      <c r="D40" s="20" t="str">
        <f t="shared" ref="D40:D45" si="34">IFERROR(D7-C40,"")</f>
        <v/>
      </c>
      <c r="E40" s="20" t="str">
        <f>IF(B7="","",SQRT((E7^2/Data!T7)+(E7^2/Data!T8)))</f>
        <v/>
      </c>
      <c r="F40" s="27" t="str">
        <f>IFERROR(D40/E40,"")</f>
        <v/>
      </c>
      <c r="G40" s="42" t="str">
        <f>IFERROR(Data!T7+Data!T8-2,"")</f>
        <v/>
      </c>
      <c r="H40" s="20" t="str">
        <f t="shared" ref="H40:H45" si="35">IFERROR(IF(TDIST(ABS(F40),G40,2)&lt;0.001,"&lt; 0.001",TDIST(ABS(F40),G40,2)),"")</f>
        <v/>
      </c>
      <c r="J40" s="3"/>
      <c r="K40" s="19" t="str">
        <f t="shared" ref="K40:K45" si="36">K7</f>
        <v/>
      </c>
      <c r="L40" s="14"/>
      <c r="M40" s="3"/>
      <c r="N40" s="3"/>
      <c r="O40" s="3"/>
      <c r="P40" s="3"/>
      <c r="Q40" s="3"/>
    </row>
    <row r="41" spans="2:26" x14ac:dyDescent="0.3">
      <c r="B41" s="21" t="str">
        <f t="shared" si="33"/>
        <v/>
      </c>
      <c r="C41" s="15"/>
      <c r="D41" s="22" t="str">
        <f t="shared" si="34"/>
        <v/>
      </c>
      <c r="E41" s="22" t="str">
        <f>IF(B8="","",SQRT((E8^2/Data!T7)+(E8^2/Data!T9)))</f>
        <v/>
      </c>
      <c r="F41" s="29" t="str">
        <f t="shared" ref="F41:F45" si="37">IFERROR(D41/E41,"")</f>
        <v/>
      </c>
      <c r="G41" s="43" t="str">
        <f>IFERROR(Data!T7+Data!T9-2,"")</f>
        <v/>
      </c>
      <c r="H41" s="22" t="str">
        <f t="shared" si="35"/>
        <v/>
      </c>
      <c r="J41" s="3"/>
      <c r="K41" s="21" t="str">
        <f t="shared" si="36"/>
        <v/>
      </c>
      <c r="L41" s="15"/>
      <c r="M41" s="3"/>
      <c r="N41" s="3"/>
      <c r="O41" s="3"/>
      <c r="P41" s="3"/>
      <c r="Q41" s="3"/>
    </row>
    <row r="42" spans="2:26" x14ac:dyDescent="0.3">
      <c r="B42" s="21" t="str">
        <f t="shared" si="33"/>
        <v/>
      </c>
      <c r="C42" s="15"/>
      <c r="D42" s="22" t="str">
        <f t="shared" si="34"/>
        <v/>
      </c>
      <c r="E42" s="22" t="str">
        <f>IF(B9="","",SQRT((E9^2/Data!T8)+(E9^2/Data!T9)))</f>
        <v/>
      </c>
      <c r="F42" s="29" t="str">
        <f t="shared" si="37"/>
        <v/>
      </c>
      <c r="G42" s="43" t="str">
        <f>IFERROR(Data!T8+Data!T9-2,"")</f>
        <v/>
      </c>
      <c r="H42" s="22" t="str">
        <f t="shared" si="35"/>
        <v/>
      </c>
      <c r="J42" s="3"/>
      <c r="K42" s="21" t="str">
        <f t="shared" si="36"/>
        <v/>
      </c>
      <c r="L42" s="15"/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2024-10-27T14:13:39Z</dcterms:modified>
</cp:coreProperties>
</file>