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22" documentId="114_{7668EF33-9012-4FA7-8E13-BFA149DCF87D}" xr6:coauthVersionLast="47" xr6:coauthVersionMax="47" xr10:uidLastSave="{E7C4A320-39CA-423A-996F-83F9BFF0717B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<sst xmlns="http://schemas.openxmlformats.org/spreadsheetml/2006/main" count="313" uniqueCount="129">
  <si>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</si>
  <si>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</si>
  <si>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</si>
  <si>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</si>
  <si>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</si>
  <si>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</si>
  <si>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</si>
  <si>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</si>
  <si>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</si>
  <si>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</si>
  <si>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</si>
  <si>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</si>
  <si>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</si>
  <si>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</si>
  <si>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</si>
  <si>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</si>
  <si>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</si>
  <si>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</si>
  <si>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</si>
  <si>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</si>
  <si>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</si>
  <si>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</si>
  <si>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</si>
  <si>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</si>
  <si>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</si>
  <si>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</si>
  <si>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</si>
  <si>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</si>
  <si>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</si>
  <si>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</si>
  <si>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</si>
  <si>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</si>
  <si>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</si>
  <si>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</si>
  <si>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</si>
  <si>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</si>
  <si>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</si>
  <si>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</si>
  <si>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</si>
  <si>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</si>
  <si>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</si>
  <si>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</si>
  <si>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</si>
  <si>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</si>
  <si>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</si>
  <si>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</si>
  <si>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</si>
  <si>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</si>
  <si>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</si>
  <si>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</si>
  <si>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</si>
  <si>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</si>
  <si>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</si>
  <si>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</si>
  <si>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</si>
  <si>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</si>
  <si>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</si>
  <si>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</si>
  <si>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</si>
  <si>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</si>
  <si>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</si>
  <si>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</si>
  <si>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</si>
  <si>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</si>
  <si>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</si>
  <si>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</si>
  <si>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</si>
  <si>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</si>
  <si>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</si>
  <si>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</si>
  <si>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</si>
  <si>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</si>
  <si>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</si>
  <si>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</si>
  <si>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</si>
  <si>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</si>
  <si>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</si>
  <si>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</si>
  <si>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</si>
  <si>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</si>
  <si>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</si>
  <si>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</si>
  <si>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</si>
  <si>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</si>
  <si>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</si>
  <si>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</si>
  <si>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</si>
  <si>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</si>
  <si>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</si>
  <si>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</si>
  <si>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</si>
  <si>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</si>
  <si>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</si>
  <si>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</si>
  <si>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</si>
  <si>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</si>
  <si>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</si>
  <si>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</si>
  <si>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</si>
  <si>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</si>
  <si>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</si>
  <si>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</si>
  <si>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</si>
  <si>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</si>
  <si>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</si>
  <si>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</si>
  <si>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</si>
  <si>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</si>
  <si>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</si>
  <si>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</si>
  <si>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</si>
  <si>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</si>
  <si>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</si>
  <si>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</si>
  <si>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</si>
  <si>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</si>
  <si>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</si>
  <si>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</si>
  <si>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</si>
  <si>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</si>
  <si>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</si>
  <si>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</si>
  <si>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cwendorf@uwsp.edu</t>
  </si>
  <si>
    <t>How to Cite</t>
  </si>
  <si>
    <t>http://cwendorf.github.io</t>
  </si>
  <si>
    <t>Wendorf, C. A. (2021).</t>
  </si>
  <si>
    <t>EASE: Estimation Approach to Statistics with Excel [Excel Spreadsheets].</t>
  </si>
  <si>
    <t>https://github.com/cwendorf/BASE/tree/main/EASE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</si>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</sst>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wendorf.github.io/BASE/EASE" TargetMode="External"/><Relationship Id="rId2" Type="http://schemas.openxmlformats.org/officeDocument/2006/relationships/hyperlink" Target="mailto:cwendorf@uwsp.edu" TargetMode="External"/><Relationship Id="rId1" Type="http://schemas.openxmlformats.org/officeDocument/2006/relationships/hyperlink" Target="http://cwendorf.github.i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128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127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122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124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123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125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126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127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26" r:id="rId1" xr:uid="{657F03B9-2320-403F-A164-1B07784FB4D6}"/>
    <hyperlink ref="K25" r:id="rId2" xr:uid="{75EBE3AA-E4AE-4C8B-AB99-8E519AA6D7EA}"/>
    <hyperlink ref="K4" r:id="rId3" display="https://cwendorf.github.io/BASE/EASE" xr:uid="{00000000-0004-0000-0000-000000000000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5" sqref="K5:O35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22" t="s">
        <v>30</v>
      </c>
      <c r="C2" s="122"/>
      <c r="D2" s="122"/>
      <c r="E2" s="122"/>
      <c r="F2" s="122"/>
      <c r="G2" s="122"/>
      <c r="H2" s="122"/>
      <c r="K2" s="122" t="s">
        <v>24</v>
      </c>
      <c r="L2" s="122"/>
      <c r="M2" s="122"/>
      <c r="N2" s="122"/>
      <c r="O2" s="122"/>
      <c r="P2" s="87"/>
      <c r="Q2" s="88"/>
      <c r="T2" s="122" t="s">
        <v>61</v>
      </c>
      <c r="U2" s="122"/>
      <c r="V2" s="122"/>
      <c r="W2" s="122"/>
      <c r="X2" s="122"/>
      <c r="Y2" s="122"/>
      <c r="Z2" s="122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/>
      </c>
      <c r="M4" s="48" t="str">
        <f>IF(B23="","",B23)</f>
        <v/>
      </c>
      <c r="N4" s="48" t="str">
        <f>IF(B24="","",B24)</f>
        <v/>
      </c>
      <c r="O4" s="48" t="str">
        <f>IF(B25="","",B25)</f>
        <v/>
      </c>
      <c r="T4" s="46" t="s">
        <v>56</v>
      </c>
    </row>
    <row r="5" spans="2:26" ht="15" thickBot="1" x14ac:dyDescent="0.35">
      <c r="K5" s="17"/>
      <c r="L5" s="17"/>
      <c r="M5" s="17"/>
      <c r="N5" s="17"/>
      <c r="P5" s="40" t="str">
        <f t="shared" ref="P5:P24" si="0">IFERROR(AVERAGE(L5:O5),"")</f>
        <v/>
      </c>
    </row>
    <row r="6" spans="2:26" ht="15" thickBot="1" x14ac:dyDescent="0.35">
      <c r="B6" s="121" t="s">
        <v>27</v>
      </c>
      <c r="C6" s="121"/>
      <c r="D6" s="121"/>
      <c r="E6" s="121"/>
      <c r="F6" s="121"/>
      <c r="G6" s="121"/>
      <c r="H6" s="121"/>
      <c r="P6" s="40" t="str">
        <f t="shared" si="0"/>
        <v/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7"/>
      <c r="C7" s="127"/>
      <c r="D7" s="127"/>
      <c r="E7" s="127"/>
      <c r="F7" s="127"/>
      <c r="G7" s="127"/>
      <c r="H7" s="127"/>
      <c r="P7" s="40" t="str">
        <f t="shared" si="0"/>
        <v/>
      </c>
      <c r="T7" s="56" t="str">
        <f>IF($B$22="","",$B$22)</f>
        <v/>
      </c>
      <c r="U7" s="56">
        <v>1</v>
      </c>
      <c r="V7" s="19" t="str">
        <f>IF(COUNT(L:L)=0,"",COUNT(L:L))</f>
        <v/>
      </c>
      <c r="W7" s="20" t="str">
        <f>IFERROR(AVERAGE(L:L),"")</f>
        <v/>
      </c>
      <c r="X7" s="20" t="str">
        <f>IFERROR(STDEV(L:L),"")</f>
        <v/>
      </c>
      <c r="Y7" s="19" t="str">
        <f>IFERROR(V7-1,"")</f>
        <v/>
      </c>
      <c r="Z7" s="27" t="str">
        <f>IFERROR(X7/SQRT(V7),"")</f>
        <v/>
      </c>
    </row>
    <row r="8" spans="2:26" ht="15" thickBot="1" x14ac:dyDescent="0.35">
      <c r="B8" s="128"/>
      <c r="C8" s="128"/>
      <c r="D8" s="128"/>
      <c r="E8" s="128"/>
      <c r="F8" s="128"/>
      <c r="G8" s="128"/>
      <c r="H8" s="128"/>
      <c r="P8" s="40" t="str">
        <f t="shared" si="0"/>
        <v/>
      </c>
      <c r="T8" s="58" t="str">
        <f>IF($B$23="","",$B$23)</f>
        <v/>
      </c>
      <c r="U8" s="58">
        <v>2</v>
      </c>
      <c r="V8" s="21" t="str">
        <f>IF(COUNT(M:M)=0,"",COUNT(M:M))</f>
        <v/>
      </c>
      <c r="W8" s="22" t="str">
        <f>IFERROR(AVERAGE(M:M),"")</f>
        <v/>
      </c>
      <c r="X8" s="22" t="str">
        <f>IFERROR(STDEV(M:M),"")</f>
        <v/>
      </c>
      <c r="Y8" s="21" t="str">
        <f>IFERROR(V8-1,"")</f>
        <v/>
      </c>
      <c r="Z8" s="29" t="str">
        <f>IFERROR(X8/SQRT(V8),"")</f>
        <v/>
      </c>
    </row>
    <row r="9" spans="2:26" ht="15" thickBot="1" x14ac:dyDescent="0.35">
      <c r="B9" s="8"/>
      <c r="C9" s="8"/>
      <c r="D9" s="8"/>
      <c r="E9" s="8"/>
      <c r="F9" s="33"/>
      <c r="G9" s="8"/>
      <c r="H9" s="8"/>
      <c r="P9" s="40" t="str">
        <f t="shared" si="0"/>
        <v/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6" t="s">
        <v>28</v>
      </c>
      <c r="C10" s="126"/>
      <c r="D10" s="126"/>
      <c r="E10" s="126"/>
      <c r="F10" s="126"/>
      <c r="G10" s="126"/>
      <c r="H10" s="126"/>
      <c r="P10" s="40" t="str">
        <f t="shared" si="0"/>
        <v/>
      </c>
      <c r="T10" s="58" t="str">
        <f>IF($B$25="","",$B$25)</f>
        <v/>
      </c>
      <c r="U10" s="58">
        <v>4</v>
      </c>
      <c r="V10" s="21" t="str">
        <f>IF(COUNT(O:O)=0,"",COUNT(O:O))</f>
        <v/>
      </c>
      <c r="W10" s="22" t="str">
        <f>IFERROR(AVERAGE(O:O),"")</f>
        <v/>
      </c>
      <c r="X10" s="22" t="str">
        <f>IFERROR(STDEV(O:O),"")</f>
        <v/>
      </c>
      <c r="Y10" s="21" t="str">
        <f>IFERROR(V10-1,"")</f>
        <v/>
      </c>
      <c r="Z10" s="29" t="str">
        <f>IFERROR(X10/SQRT(V10),"")</f>
        <v/>
      </c>
    </row>
    <row r="11" spans="2:26" ht="15" thickBot="1" x14ac:dyDescent="0.35">
      <c r="B11" s="123"/>
      <c r="C11" s="123"/>
      <c r="D11" s="123"/>
      <c r="E11" s="123"/>
      <c r="F11" s="123"/>
      <c r="G11" s="123"/>
      <c r="H11" s="123"/>
      <c r="P11" s="40" t="str">
        <f t="shared" si="0"/>
        <v/>
      </c>
      <c r="T11" s="60" t="s">
        <v>48</v>
      </c>
      <c r="U11" s="60" t="s">
        <v>48</v>
      </c>
      <c r="V11" s="23">
        <f>IFERROR(SUM(V7:V10),"")</f>
        <v>0</v>
      </c>
      <c r="W11" s="24" t="str">
        <f>IFERROR(AVERAGE(W7:W10),"")</f>
        <v/>
      </c>
      <c r="X11" s="24" t="str">
        <f>IFERROR(STDEV(L:O),"")</f>
        <v/>
      </c>
      <c r="Y11" s="23">
        <f>IFERROR(V11-1,"")</f>
        <v>-1</v>
      </c>
      <c r="Z11" s="30" t="str">
        <f>IFERROR(X11/SQRT(V11),"")</f>
        <v/>
      </c>
    </row>
    <row r="12" spans="2:26" x14ac:dyDescent="0.3">
      <c r="B12" s="124"/>
      <c r="C12" s="124"/>
      <c r="D12" s="124"/>
      <c r="E12" s="124"/>
      <c r="F12" s="124"/>
      <c r="G12" s="124"/>
      <c r="H12" s="124"/>
      <c r="P12" s="40" t="str">
        <f t="shared" si="0"/>
        <v/>
      </c>
      <c r="T12" s="9"/>
      <c r="U12" s="9"/>
      <c r="V12" s="9"/>
      <c r="W12" s="9"/>
      <c r="X12" s="9"/>
      <c r="Y12" s="9"/>
      <c r="Z12" s="9"/>
    </row>
    <row r="13" spans="2:26" x14ac:dyDescent="0.3">
      <c r="B13" s="124"/>
      <c r="C13" s="124"/>
      <c r="D13" s="124"/>
      <c r="E13" s="124"/>
      <c r="F13" s="124"/>
      <c r="G13" s="124"/>
      <c r="H13" s="124"/>
      <c r="P13" s="40" t="str">
        <f t="shared" si="0"/>
        <v/>
      </c>
      <c r="T13" t="s">
        <v>58</v>
      </c>
    </row>
    <row r="14" spans="2:26" ht="15" thickBot="1" x14ac:dyDescent="0.35">
      <c r="B14" s="125"/>
      <c r="C14" s="125"/>
      <c r="D14" s="125"/>
      <c r="E14" s="125"/>
      <c r="F14" s="125"/>
      <c r="G14" s="125"/>
      <c r="H14" s="125"/>
      <c r="P14" s="40" t="str">
        <f t="shared" si="0"/>
        <v/>
      </c>
    </row>
    <row r="15" spans="2:26" x14ac:dyDescent="0.3">
      <c r="P15" s="40" t="str">
        <f t="shared" si="0"/>
        <v/>
      </c>
    </row>
    <row r="16" spans="2:26" x14ac:dyDescent="0.3">
      <c r="P16" s="40" t="str">
        <f t="shared" si="0"/>
        <v/>
      </c>
    </row>
    <row r="17" spans="2:26" x14ac:dyDescent="0.3">
      <c r="P17" s="40" t="str">
        <f t="shared" si="0"/>
        <v/>
      </c>
    </row>
    <row r="18" spans="2:26" x14ac:dyDescent="0.3">
      <c r="P18" s="40" t="str">
        <f t="shared" si="0"/>
        <v/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P19" s="40" t="str">
        <f t="shared" si="0"/>
        <v/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P20" s="40" t="str">
        <f t="shared" si="0"/>
        <v/>
      </c>
    </row>
    <row r="21" spans="2:26" ht="15" thickBot="1" x14ac:dyDescent="0.35">
      <c r="B21" s="121" t="s">
        <v>63</v>
      </c>
      <c r="C21" s="121"/>
      <c r="D21" s="121" t="s">
        <v>25</v>
      </c>
      <c r="E21" s="121"/>
      <c r="F21" s="121"/>
      <c r="G21" s="121"/>
      <c r="H21" s="10" t="s">
        <v>26</v>
      </c>
      <c r="P21" s="40" t="str">
        <f t="shared" si="0"/>
        <v/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19"/>
      <c r="C22" s="119"/>
      <c r="D22" s="119"/>
      <c r="E22" s="119"/>
      <c r="F22" s="119"/>
      <c r="G22" s="119"/>
      <c r="H22" s="82"/>
      <c r="P22" s="40" t="str">
        <f t="shared" si="0"/>
        <v/>
      </c>
      <c r="T22" s="56" t="str">
        <f>IF($B$22="","",$B$22)</f>
        <v/>
      </c>
      <c r="U22" s="55"/>
      <c r="V22" s="56">
        <v>1</v>
      </c>
      <c r="W22" s="27">
        <v>1</v>
      </c>
      <c r="X22" s="66" t="str">
        <f>IFERROR(CORREL(L:L,M:M),"")</f>
        <v/>
      </c>
      <c r="Y22" s="66" t="str">
        <f>IFERROR(CORREL(L:L,N:N),"")</f>
        <v/>
      </c>
      <c r="Z22" s="66" t="str">
        <f>IFERROR(CORREL(L:L,O:O),"")</f>
        <v/>
      </c>
    </row>
    <row r="23" spans="2:26" x14ac:dyDescent="0.3">
      <c r="B23" s="120"/>
      <c r="C23" s="120"/>
      <c r="D23" s="120"/>
      <c r="E23" s="120"/>
      <c r="F23" s="120"/>
      <c r="G23" s="120"/>
      <c r="H23" s="41"/>
      <c r="P23" s="40" t="str">
        <f t="shared" si="0"/>
        <v/>
      </c>
      <c r="T23" s="58" t="str">
        <f>IF($B$23="","",$B$23)</f>
        <v/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 t="str">
        <f>IFERROR(CORREL(M:M,O:O),"")</f>
        <v/>
      </c>
    </row>
    <row r="24" spans="2:26" x14ac:dyDescent="0.3">
      <c r="B24" s="120"/>
      <c r="C24" s="120"/>
      <c r="D24" s="120"/>
      <c r="E24" s="120"/>
      <c r="F24" s="120"/>
      <c r="G24" s="120"/>
      <c r="H24" s="41"/>
      <c r="P24" s="40" t="str">
        <f t="shared" si="0"/>
        <v/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18"/>
      <c r="C25" s="118"/>
      <c r="D25" s="118"/>
      <c r="E25" s="118"/>
      <c r="F25" s="118"/>
      <c r="G25" s="118"/>
      <c r="H25" s="83"/>
      <c r="P25" s="40" t="str">
        <f t="shared" ref="P25:P69" si="1">IFERROR(AVERAGE(L25:O25),"")</f>
        <v/>
      </c>
      <c r="T25" s="60" t="str">
        <f>IF($B$25="","",$B$25)</f>
        <v/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 t="str">
        <f>IFERROR(DEVSQ(Data!P:P)*(V33+1),"")</f>
        <v/>
      </c>
      <c r="V32" s="69" t="str">
        <f>IFERROR(Data!V7-1,"")</f>
        <v/>
      </c>
      <c r="W32" s="68" t="str">
        <f>IFERROR(U32/V32,"")</f>
        <v/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 t="str">
        <f>IFERROR(DEVSQ(Data!W7:W10)*(V32+1),"")</f>
        <v/>
      </c>
      <c r="V33" s="72">
        <f>IFERROR(COUNT(Data!W7:W10)-1,"")</f>
        <v>-1</v>
      </c>
      <c r="W33" s="71" t="str">
        <f>IFERROR(U33/V33,"")</f>
        <v/>
      </c>
      <c r="X33" s="71" t="str">
        <f>IFERROR(W33/W34,"")</f>
        <v/>
      </c>
      <c r="Y33" s="71" t="str">
        <f>IFERROR(IF(FDIST(X33,V33,V34)&lt;0.001,"&lt; 0.001",FDIST(X33,V33,V34)),"")</f>
        <v/>
      </c>
      <c r="Z33" s="22" t="str">
        <f>IFERROR(U33/(U33+U34),"")</f>
        <v/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 t="str">
        <f>IFERROR(U35-U33-U32,"")</f>
        <v/>
      </c>
      <c r="V34" s="74" t="str">
        <f>IFERROR(V35-V33-V32,"")</f>
        <v/>
      </c>
      <c r="W34" s="73" t="str">
        <f>IFERROR(U34/V34,"")</f>
        <v/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 t="str">
        <f>IFERROR(Data!X11^2*V35,"")</f>
        <v/>
      </c>
      <c r="V35" s="77">
        <f>IFERROR(Data!V11-1,"")</f>
        <v>-1</v>
      </c>
      <c r="W35" s="76" t="str">
        <f>IFERROR(U35/V35,"")</f>
        <v/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L40" sqref="L40:L43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22" t="s">
        <v>39</v>
      </c>
      <c r="C2" s="122"/>
      <c r="D2" s="122"/>
      <c r="E2" s="122"/>
      <c r="F2" s="122"/>
      <c r="G2" s="122"/>
      <c r="H2" s="122"/>
      <c r="K2" s="122" t="s">
        <v>40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/>
      </c>
      <c r="C7" s="61" t="str">
        <f>Data!V7</f>
        <v/>
      </c>
      <c r="D7" s="27" t="str">
        <f>Data!W7</f>
        <v/>
      </c>
      <c r="E7" s="27" t="str">
        <f>Data!X7</f>
        <v/>
      </c>
      <c r="F7" s="27" t="str">
        <f>Data!Z7</f>
        <v/>
      </c>
      <c r="G7" s="20" t="str">
        <f>IFERROR(D7-TINV(1-$H$4/100,Data!Y7)*Data!Z7,"")</f>
        <v/>
      </c>
      <c r="H7" s="20" t="str">
        <f>IFERROR(D7+TINV(1-$H$4/100,Data!Y7)*Data!Z7,"")</f>
        <v/>
      </c>
      <c r="J7" s="3"/>
      <c r="K7" s="19" t="str">
        <f t="shared" ref="K7:K10" si="0">B7</f>
        <v/>
      </c>
      <c r="L7" s="20" t="str">
        <f>IFERROR((D7-C40)/E7,"")</f>
        <v/>
      </c>
      <c r="M7" s="20" t="str">
        <f>IFERROR((1-3/(4*G40-1))*L7,"")</f>
        <v/>
      </c>
      <c r="N7" s="42" t="str">
        <f>Data!Y7</f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1:26" x14ac:dyDescent="0.3">
      <c r="A8" s="3"/>
      <c r="B8" s="21" t="str">
        <f>Data!T8</f>
        <v/>
      </c>
      <c r="C8" s="62" t="str">
        <f>Data!V8</f>
        <v/>
      </c>
      <c r="D8" s="29" t="str">
        <f>Data!W8</f>
        <v/>
      </c>
      <c r="E8" s="29" t="str">
        <f>Data!X8</f>
        <v/>
      </c>
      <c r="F8" s="29" t="str">
        <f>Data!Z8</f>
        <v/>
      </c>
      <c r="G8" s="22" t="str">
        <f>IFERROR(D8-TINV(1-$H$4/100,Data!Y8)*Data!Z8,"")</f>
        <v/>
      </c>
      <c r="H8" s="22" t="str">
        <f>IFERROR(D8+TINV(1-$H$4/100,Data!Y8)*Data!Z8,"")</f>
        <v/>
      </c>
      <c r="J8" s="3"/>
      <c r="K8" s="21" t="str">
        <f t="shared" si="0"/>
        <v/>
      </c>
      <c r="L8" s="22" t="str">
        <f>IFERROR((D8-C41)/E8,"")</f>
        <v/>
      </c>
      <c r="M8" s="22" t="str">
        <f>IFERROR((1-3/(4*G41-1))*L8,"")</f>
        <v/>
      </c>
      <c r="N8" s="43" t="str">
        <f>Data!Y8</f>
        <v/>
      </c>
      <c r="O8" s="22" t="str">
        <f>IFERROR(SQRT((G41+2)/(Data!V8*Data!V8)+((L8^2)/(2*(G41+2)))),"")</f>
        <v/>
      </c>
      <c r="P8" s="29" t="str">
        <f>IFERROR(Y18*SQRT(1/C8),"")</f>
        <v/>
      </c>
      <c r="Q8" s="29" t="str">
        <f>IFERROR(Z18*SQRT(1/C8),"")</f>
        <v/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/>
      </c>
      <c r="C10" s="62" t="str">
        <f>Data!V10</f>
        <v/>
      </c>
      <c r="D10" s="29" t="str">
        <f>Data!W10</f>
        <v/>
      </c>
      <c r="E10" s="29" t="str">
        <f>Data!X10</f>
        <v/>
      </c>
      <c r="F10" s="52" t="str">
        <f>Data!Z10</f>
        <v/>
      </c>
      <c r="G10" s="22" t="str">
        <f>IFERROR(D10-TINV(1-$H$4/100,Data!Y10)*Data!Z10,"")</f>
        <v/>
      </c>
      <c r="H10" s="22" t="str">
        <f>IFERROR(D10+TINV(1-$H$4/100,Data!Y10)*Data!Z10,"")</f>
        <v/>
      </c>
      <c r="J10" s="3"/>
      <c r="K10" s="94" t="str">
        <f t="shared" si="0"/>
        <v/>
      </c>
      <c r="L10" s="49" t="str">
        <f>IFERROR((D10-C43)/E10,"")</f>
        <v/>
      </c>
      <c r="M10" s="49" t="str">
        <f>IFERROR((1-3/(4*G43-1))*L10,"")</f>
        <v/>
      </c>
      <c r="N10" s="43" t="str">
        <f>Data!Y10</f>
        <v/>
      </c>
      <c r="O10" s="22" t="str">
        <f>IFERROR(SQRT((G43+2)/(Data!V10*Data!V10)+((L10^2)/(2*(G43+2)))),"")</f>
        <v/>
      </c>
      <c r="P10" s="29" t="str">
        <f>IFERROR(Y20*SQRT(1/C10),"")</f>
        <v/>
      </c>
      <c r="Q10" s="29" t="str">
        <f>IFERROR(Z20*SQRT(1/C10),"")</f>
        <v/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20" si="1">IF($X17&lt;0.001,Y29,Y23)</f>
        <v>#VALUE!</v>
      </c>
      <c r="Z17" s="28" t="e">
        <f t="shared" si="1"/>
        <v>#VALUE!</v>
      </c>
    </row>
    <row r="18" spans="1:26" x14ac:dyDescent="0.3">
      <c r="A18" s="25"/>
      <c r="B18" s="35">
        <v>1.1000000000000001</v>
      </c>
      <c r="C18" s="38" t="e">
        <f>IF(H7="",NA(),H7)</f>
        <v>#N/A</v>
      </c>
      <c r="D18" s="38" t="e">
        <f t="shared" ref="D18:D29" si="2">C18</f>
        <v>#N/A</v>
      </c>
      <c r="E18" s="38"/>
      <c r="F18" s="38"/>
      <c r="G18" s="37">
        <v>0.5</v>
      </c>
      <c r="H18" s="37">
        <f>$C$40</f>
        <v>0</v>
      </c>
      <c r="I18" s="25"/>
      <c r="J18" s="3"/>
      <c r="K18" s="35">
        <v>1.1000000000000001</v>
      </c>
      <c r="L18" s="38" t="e">
        <f>IF(Q7="",NA(),Q7)</f>
        <v>#N/A</v>
      </c>
      <c r="M18" s="38" t="e">
        <f t="shared" ref="M18:M29" si="3">L18</f>
        <v>#N/A</v>
      </c>
      <c r="N18" s="40"/>
      <c r="O18" s="39"/>
      <c r="P18" s="37">
        <v>0.5</v>
      </c>
      <c r="Q18" s="37">
        <f>L$40</f>
        <v>0</v>
      </c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1"/>
        <v>#VALUE!</v>
      </c>
      <c r="Z18" s="28" t="e">
        <f t="shared" si="1"/>
        <v>#VALUE!</v>
      </c>
    </row>
    <row r="19" spans="1:26" x14ac:dyDescent="0.3">
      <c r="A19" s="25"/>
      <c r="B19" s="35">
        <v>1.1000000000000001</v>
      </c>
      <c r="C19" s="37" t="e">
        <f>IF(D7="",NA(),D7)</f>
        <v>#N/A</v>
      </c>
      <c r="D19" s="38" t="e">
        <f t="shared" si="2"/>
        <v>#N/A</v>
      </c>
      <c r="E19" s="38"/>
      <c r="F19" s="38"/>
      <c r="G19" s="37">
        <v>1</v>
      </c>
      <c r="H19" s="37">
        <f>$C$40</f>
        <v>0</v>
      </c>
      <c r="I19" s="25"/>
      <c r="J19" s="3"/>
      <c r="K19" s="35">
        <v>1.1000000000000001</v>
      </c>
      <c r="L19" s="37" t="e">
        <f>IF(M7="",NA(),M7)</f>
        <v>#N/A</v>
      </c>
      <c r="M19" s="38" t="e">
        <f t="shared" si="3"/>
        <v>#N/A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 t="e">
        <f>IF(G7="",NA(),G7)</f>
        <v>#N/A</v>
      </c>
      <c r="D20" s="38" t="e">
        <f t="shared" si="2"/>
        <v>#N/A</v>
      </c>
      <c r="E20" s="38"/>
      <c r="F20" s="38"/>
      <c r="G20" s="37">
        <v>1.5</v>
      </c>
      <c r="H20" s="37">
        <f>$C$40</f>
        <v>0</v>
      </c>
      <c r="I20" s="25"/>
      <c r="J20" s="3"/>
      <c r="K20" s="35">
        <v>1.1000000000000001</v>
      </c>
      <c r="L20" s="38" t="e">
        <f>IF(P7="",NA(),P7)</f>
        <v>#N/A</v>
      </c>
      <c r="M20" s="38" t="e">
        <f t="shared" si="3"/>
        <v>#N/A</v>
      </c>
      <c r="N20" s="40"/>
      <c r="O20" s="39"/>
      <c r="P20" s="37">
        <v>1.5</v>
      </c>
      <c r="Q20" s="37">
        <f>L$40</f>
        <v>0</v>
      </c>
      <c r="T20" s="29" t="e">
        <f>EXP(((LN(2)-LN(G43))/2)+GAMMALN((G43+1)/2)-GAMMALN(G43/2))</f>
        <v>#VALUE!</v>
      </c>
      <c r="U20" s="29" t="e">
        <f>T20*F43</f>
        <v>#VALUE!</v>
      </c>
      <c r="V20" s="29" t="e">
        <f>1+(F43^2)*(1-T20^2)</f>
        <v>#VALUE!</v>
      </c>
      <c r="W20" s="29" t="e">
        <f>(2*U20^3)-((2*G43-1)/G43)*(F43^2*U20)</f>
        <v>#VALUE!</v>
      </c>
      <c r="X20" s="12" t="e">
        <f>W20/SQRT(V20)^3</f>
        <v>#VALUE!</v>
      </c>
      <c r="Y20" s="28" t="e">
        <f t="shared" si="1"/>
        <v>#VALUE!</v>
      </c>
      <c r="Z20" s="28" t="e">
        <f t="shared" si="1"/>
        <v>#VALUE!</v>
      </c>
    </row>
    <row r="21" spans="1:26" ht="15" thickBot="1" x14ac:dyDescent="0.35">
      <c r="A21" s="25"/>
      <c r="B21" s="35">
        <v>2.1</v>
      </c>
      <c r="C21" s="38" t="e">
        <f>IF(H8="",NA(),H8)</f>
        <v>#N/A</v>
      </c>
      <c r="D21" s="38" t="e">
        <f t="shared" si="2"/>
        <v>#N/A</v>
      </c>
      <c r="E21" s="38"/>
      <c r="F21" s="38"/>
      <c r="G21" s="37">
        <v>1.5</v>
      </c>
      <c r="H21" s="37">
        <f>$C$41</f>
        <v>0</v>
      </c>
      <c r="I21" s="25"/>
      <c r="J21" s="3"/>
      <c r="K21" s="35">
        <v>2.1</v>
      </c>
      <c r="L21" s="38" t="e">
        <f>IF(Q8="",NA(),Q8)</f>
        <v>#N/A</v>
      </c>
      <c r="M21" s="38" t="e">
        <f t="shared" si="3"/>
        <v>#N/A</v>
      </c>
      <c r="N21" s="39"/>
      <c r="O21" s="39"/>
      <c r="P21" s="37">
        <v>1.5</v>
      </c>
      <c r="Q21" s="37">
        <f>L$41</f>
        <v>0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 t="e">
        <f>IF(D8="",NA(),D8)</f>
        <v>#N/A</v>
      </c>
      <c r="D22" s="38" t="e">
        <f t="shared" si="2"/>
        <v>#N/A</v>
      </c>
      <c r="E22" s="38"/>
      <c r="F22" s="38"/>
      <c r="G22" s="37">
        <v>2</v>
      </c>
      <c r="H22" s="37">
        <f>$C$41</f>
        <v>0</v>
      </c>
      <c r="I22" s="25"/>
      <c r="J22" s="3"/>
      <c r="K22" s="35">
        <v>2.1</v>
      </c>
      <c r="L22" s="37" t="e">
        <f>IF(M8="",NA(),M8)</f>
        <v>#N/A</v>
      </c>
      <c r="M22" s="38" t="e">
        <f t="shared" si="3"/>
        <v>#N/A</v>
      </c>
      <c r="N22" s="39"/>
      <c r="O22" s="39"/>
      <c r="P22" s="37">
        <v>2</v>
      </c>
      <c r="Q22" s="37">
        <f>L$41</f>
        <v>0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 t="e">
        <f>IF(G8="",NA(),G8)</f>
        <v>#N/A</v>
      </c>
      <c r="D23" s="38" t="e">
        <f t="shared" si="2"/>
        <v>#N/A</v>
      </c>
      <c r="E23" s="38"/>
      <c r="F23" s="38"/>
      <c r="G23" s="37">
        <v>2.5</v>
      </c>
      <c r="H23" s="37">
        <f>$C$41</f>
        <v>0</v>
      </c>
      <c r="I23" s="25"/>
      <c r="J23" s="3"/>
      <c r="K23" s="35">
        <v>2.1</v>
      </c>
      <c r="L23" s="38" t="e">
        <f>IF(P8="",NA(),P8)</f>
        <v>#N/A</v>
      </c>
      <c r="M23" s="38" t="e">
        <f t="shared" si="3"/>
        <v>#N/A</v>
      </c>
      <c r="N23" s="39"/>
      <c r="O23" s="39"/>
      <c r="P23" s="37">
        <v>2.5</v>
      </c>
      <c r="Q23" s="37">
        <f>L$41</f>
        <v>0</v>
      </c>
      <c r="T23" s="27" t="e">
        <f>W17/(4*V17)</f>
        <v>#VALUE!</v>
      </c>
      <c r="U23" s="27" t="e">
        <f>V17/(2*T23^2)</f>
        <v>#VALUE!</v>
      </c>
      <c r="V23" s="27" t="e">
        <f>U17-(U23*T23)</f>
        <v>#VALUE!</v>
      </c>
      <c r="W23" s="27" t="e">
        <f>2*GAMMAINV((1-$Q$4/100)/2,U23/2,1)</f>
        <v>#VALUE!</v>
      </c>
      <c r="X23" s="27" t="e">
        <f>2*GAMMAINV(1-(1-$Q$4/100)/2,U23/2,1)</f>
        <v>#VALUE!</v>
      </c>
      <c r="Y23" s="27" t="e">
        <f>IF(F40&gt;0,V23+(T23*W23),V23+(T23*X23))</f>
        <v>#VALUE!</v>
      </c>
      <c r="Z23" s="27" t="e">
        <f>IF(F40&gt;0,V23+(T23*X23),V23+(T23*W23))</f>
        <v>#VALUE!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 t="e">
        <f>W18/(4*V18)</f>
        <v>#VALUE!</v>
      </c>
      <c r="U24" s="29" t="e">
        <f>V18/(2*T24^2)</f>
        <v>#VALUE!</v>
      </c>
      <c r="V24" s="29" t="e">
        <f>U18-(U24*T24)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IF(F41&gt;0,V24+(T24*W24),V24+(T24*X24))</f>
        <v>#VALUE!</v>
      </c>
      <c r="Z24" s="29" t="e">
        <f>IF(F41&gt;0,V24+(T24*X24),V24+(T24*W24))</f>
        <v>#VALUE!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 t="e">
        <f>W20/(4*V20)</f>
        <v>#VALUE!</v>
      </c>
      <c r="U26" s="52" t="e">
        <f>V20/(2*T26^2)</f>
        <v>#VALUE!</v>
      </c>
      <c r="V26" s="52" t="e">
        <f>U20-(U26*T26)</f>
        <v>#VALUE!</v>
      </c>
      <c r="W26" s="52" t="e">
        <f>2*GAMMAINV((1-$Q$4/100)/2,U26/2,1)</f>
        <v>#VALUE!</v>
      </c>
      <c r="X26" s="52" t="e">
        <f>2*GAMMAINV(1-(1-$Q$4/100)/2,U26/2,1)</f>
        <v>#VALUE!</v>
      </c>
      <c r="Y26" s="52" t="e">
        <f>IF(F43&gt;0,V26+(T26*W26),V26+(T26*X26))</f>
        <v>#VALUE!</v>
      </c>
      <c r="Z26" s="52" t="e">
        <f>IF(F43&gt;0,V26+(T26*X26),V26+(T26*W26))</f>
        <v>#VALUE!</v>
      </c>
    </row>
    <row r="27" spans="1:26" ht="15" thickBot="1" x14ac:dyDescent="0.35">
      <c r="A27" s="25"/>
      <c r="B27" s="35">
        <v>4.0999999999999996</v>
      </c>
      <c r="C27" s="38" t="e">
        <f>IF(H10="",NA(),H10)</f>
        <v>#N/A</v>
      </c>
      <c r="D27" s="38" t="e">
        <f t="shared" si="2"/>
        <v>#N/A</v>
      </c>
      <c r="E27" s="38"/>
      <c r="F27" s="38"/>
      <c r="G27" s="37">
        <v>3.5</v>
      </c>
      <c r="H27" s="37">
        <f>$C$43</f>
        <v>0</v>
      </c>
      <c r="I27" s="25"/>
      <c r="J27" s="3"/>
      <c r="K27" s="35">
        <v>4.0999999999999996</v>
      </c>
      <c r="L27" s="38" t="e">
        <f>IF(Q10="",NA(),Q10)</f>
        <v>#N/A</v>
      </c>
      <c r="M27" s="38" t="e">
        <f t="shared" si="3"/>
        <v>#N/A</v>
      </c>
      <c r="N27" s="39"/>
      <c r="O27" s="39"/>
      <c r="P27" s="37">
        <v>3.5</v>
      </c>
      <c r="Q27" s="37">
        <f>L$43</f>
        <v>0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 t="e">
        <f>IF(D10="",NA(),D10)</f>
        <v>#N/A</v>
      </c>
      <c r="D28" s="38" t="e">
        <f t="shared" si="2"/>
        <v>#N/A</v>
      </c>
      <c r="E28" s="38"/>
      <c r="F28" s="38"/>
      <c r="G28" s="37">
        <v>4</v>
      </c>
      <c r="H28" s="37">
        <f>$C$43</f>
        <v>0</v>
      </c>
      <c r="I28" s="25"/>
      <c r="J28" s="3"/>
      <c r="K28" s="36">
        <v>4.0999999999999996</v>
      </c>
      <c r="L28" s="37" t="e">
        <f>IF(M10="",NA(),M10)</f>
        <v>#N/A</v>
      </c>
      <c r="M28" s="38" t="e">
        <f t="shared" si="3"/>
        <v>#N/A</v>
      </c>
      <c r="N28" s="39"/>
      <c r="O28" s="39"/>
      <c r="P28" s="37">
        <v>4</v>
      </c>
      <c r="Q28" s="37">
        <f>L$43</f>
        <v>0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 t="e">
        <f>IF(G10="",NA(),G10)</f>
        <v>#N/A</v>
      </c>
      <c r="D29" s="38" t="e">
        <f t="shared" si="2"/>
        <v>#N/A</v>
      </c>
      <c r="E29" s="38"/>
      <c r="F29" s="38"/>
      <c r="G29" s="37">
        <v>4.5</v>
      </c>
      <c r="H29" s="37">
        <f>$C$43</f>
        <v>0</v>
      </c>
      <c r="I29" s="25"/>
      <c r="J29" s="3"/>
      <c r="K29" s="36">
        <v>4.0999999999999996</v>
      </c>
      <c r="L29" s="38" t="e">
        <f>IF(P10="",NA(),P10)</f>
        <v>#N/A</v>
      </c>
      <c r="M29" s="37" t="e">
        <f t="shared" si="3"/>
        <v>#N/A</v>
      </c>
      <c r="N29" s="39"/>
      <c r="O29" s="39"/>
      <c r="P29" s="37">
        <v>4.5</v>
      </c>
      <c r="Q29" s="37">
        <f>L$43</f>
        <v>0</v>
      </c>
      <c r="V29" s="28" t="e">
        <f>SQRT(V17)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U17+W29*V29</f>
        <v>#VALUE!</v>
      </c>
      <c r="Z29" s="28" t="e">
        <f>U17+X29*V29</f>
        <v>#VALUE!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 t="e">
        <f>SQRT(V18)</f>
        <v>#VALUE!</v>
      </c>
      <c r="W30" s="28">
        <f>NORMINV((1-$Q$4/100)/2,0,1)</f>
        <v>-1.9599639845400536</v>
      </c>
      <c r="X30" s="28">
        <f>NORMINV(1-(1-$Q$4/100)/2,0,1)</f>
        <v>1.9599639845400536</v>
      </c>
      <c r="Y30" s="28" t="e">
        <f>U18+W30*V30</f>
        <v>#VALUE!</v>
      </c>
      <c r="Z30" s="28" t="e">
        <f>U18+X30*V30</f>
        <v>#VALUE!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 t="e">
        <f>SQRT(V20)</f>
        <v>#VALUE!</v>
      </c>
      <c r="W32" s="28">
        <f>NORMINV((1-$Q$4/100)/2,0,1)</f>
        <v>-1.9599639845400536</v>
      </c>
      <c r="X32" s="28">
        <f>NORMINV(1-(1-$Q$4/100)/2,0,1)</f>
        <v>1.9599639845400536</v>
      </c>
      <c r="Y32" s="28" t="e">
        <f>U20+W32*V32</f>
        <v>#VALUE!</v>
      </c>
      <c r="Z32" s="28" t="e">
        <f>U20+X32*V32</f>
        <v>#VALUE!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/>
      </c>
      <c r="C40" s="14"/>
      <c r="D40" s="27" t="str">
        <f>IFERROR(D7-C40,"")</f>
        <v/>
      </c>
      <c r="E40" s="27" t="str">
        <f>Data!Z7</f>
        <v/>
      </c>
      <c r="F40" s="27" t="str">
        <f>IFERROR(D40/E40,"")</f>
        <v/>
      </c>
      <c r="G40" s="42" t="str">
        <f>Data!Y7</f>
        <v/>
      </c>
      <c r="H40" s="27" t="str">
        <f>IFERROR(IF(TDIST(ABS(F40),G40,2)&lt;0.001,"&lt; 0.001",TDIST(ABS(F40),G40,2)),"")</f>
        <v/>
      </c>
      <c r="I40" s="3"/>
      <c r="J40" s="3"/>
      <c r="K40" s="19" t="str">
        <f>K7</f>
        <v/>
      </c>
      <c r="L40" s="14"/>
      <c r="M40" s="3"/>
      <c r="N40" s="3"/>
      <c r="O40" s="3"/>
      <c r="P40" s="3"/>
      <c r="Q40" s="3"/>
    </row>
    <row r="41" spans="1:26" x14ac:dyDescent="0.3">
      <c r="B41" s="21" t="str">
        <f>B8</f>
        <v/>
      </c>
      <c r="C41" s="15"/>
      <c r="D41" s="29" t="str">
        <f>IFERROR(D8-C41,"")</f>
        <v/>
      </c>
      <c r="E41" s="29" t="str">
        <f>Data!Z8</f>
        <v/>
      </c>
      <c r="F41" s="29" t="str">
        <f>IFERROR(D41/E41,"")</f>
        <v/>
      </c>
      <c r="G41" s="43" t="str">
        <f>Data!Y8</f>
        <v/>
      </c>
      <c r="H41" s="29" t="str">
        <f>IFERROR(IF(TDIST(ABS(F41),G41,2)&lt;0.001,"&lt; 0.001",TDIST(ABS(F41),G41,2)),"")</f>
        <v/>
      </c>
      <c r="I41" s="3"/>
      <c r="J41" s="3"/>
      <c r="K41" s="21" t="str">
        <f>K8</f>
        <v/>
      </c>
      <c r="L41" s="15"/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/>
      </c>
      <c r="C43" s="15"/>
      <c r="D43" s="52" t="str">
        <f>IFERROR(D10-C43,"")</f>
        <v/>
      </c>
      <c r="E43" s="52" t="str">
        <f>Data!Z10</f>
        <v/>
      </c>
      <c r="F43" s="52" t="str">
        <f>IFERROR(D43/E43,"")</f>
        <v/>
      </c>
      <c r="G43" s="51" t="str">
        <f>Data!Y10</f>
        <v/>
      </c>
      <c r="H43" s="52" t="str">
        <f>IFERROR(IF(TDIST(ABS(F43),G43,2)&lt;0.001,"&lt; 0.001",TDIST(ABS(F43),G43,2)),"")</f>
        <v/>
      </c>
      <c r="I43" s="3"/>
      <c r="J43" s="3"/>
      <c r="K43" s="94" t="str">
        <f>K10</f>
        <v/>
      </c>
      <c r="L43" s="50"/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4" zoomScaleNormal="100" workbookViewId="0">
      <selection activeCell="C44" sqref="C4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22" t="s">
        <v>103</v>
      </c>
      <c r="C2" s="122"/>
      <c r="D2" s="122"/>
      <c r="E2" s="122"/>
      <c r="F2" s="122"/>
      <c r="G2" s="122"/>
      <c r="H2" s="122"/>
      <c r="K2" s="122" t="s">
        <v>117</v>
      </c>
      <c r="L2" s="122"/>
      <c r="M2" s="122"/>
      <c r="N2" s="122"/>
      <c r="O2" s="122"/>
      <c r="P2" s="122"/>
      <c r="Q2" s="122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 t="str">
        <f>IF(B7="","",VLOOKUP($B7,Data!$U$7:$X$10,2,FALSE))</f>
        <v/>
      </c>
      <c r="D7" s="27" t="str">
        <f>IF(B7="","",VLOOKUP($B7,Data!$U$7:$X$10,3,FALSE))</f>
        <v/>
      </c>
      <c r="E7" s="27" t="str">
        <f>IF(B7="","",VLOOKUP($B7,Data!$U$7:$X$10,4,FALSE))</f>
        <v/>
      </c>
      <c r="F7" s="27" t="str">
        <f>IFERROR(E7/SQRT(C7),"")</f>
        <v/>
      </c>
      <c r="G7" s="27" t="str">
        <f>IFERROR(D7-TINV(1-$H$4/100,C7-1)*F7,"")</f>
        <v/>
      </c>
      <c r="H7" s="27" t="str">
        <f>IFERROR(D7+TINV(1-$H$4/100,C7-1)*F7,"")</f>
        <v/>
      </c>
      <c r="K7" s="19">
        <f>B7</f>
        <v>2</v>
      </c>
      <c r="L7" s="20" t="str">
        <f>IFERROR((D7-C40)/E7,"")</f>
        <v/>
      </c>
      <c r="M7" s="20" t="str">
        <f>IFERROR((1-3/(4*G40-1))*L7,"")</f>
        <v/>
      </c>
      <c r="N7" s="42" t="str">
        <f t="shared" si="0"/>
        <v/>
      </c>
      <c r="O7" s="20" t="str">
        <f>IFERROR(SQRT((N7+2)/(Data!V7*Data!V7)+((L7^2)/(2*(N7+2)))),"")</f>
        <v/>
      </c>
      <c r="P7" s="27" t="str">
        <f>IFERROR(Y17*SQRT(1/C7),"")</f>
        <v/>
      </c>
      <c r="Q7" s="27" t="str">
        <f>IFERROR(Z17*SQRT(1/C7),"")</f>
        <v/>
      </c>
    </row>
    <row r="8" spans="2:26" ht="15" thickBot="1" x14ac:dyDescent="0.35">
      <c r="B8" s="112">
        <v>1</v>
      </c>
      <c r="C8" s="60" t="str">
        <f>IF(B8="","",VLOOKUP($B8,Data!$U$7:$X$10,2,FALSE))</f>
        <v/>
      </c>
      <c r="D8" s="30" t="str">
        <f>IF(B8="","",VLOOKUP($B8,Data!$U$7:$X$10,3,FALSE))</f>
        <v/>
      </c>
      <c r="E8" s="30" t="str">
        <f>IF(B8="","",VLOOKUP($B8,Data!$U$7:$X$10,4,FALSE))</f>
        <v/>
      </c>
      <c r="F8" s="52" t="str">
        <f>IFERROR(E8/SQRT(C8),"")</f>
        <v/>
      </c>
      <c r="G8" s="52" t="str">
        <f>IFERROR(D8-TINV(1-$H$4/100,C8-1)*F8,"")</f>
        <v/>
      </c>
      <c r="H8" s="52" t="str">
        <f>IFERROR(D8+TINV(1-$H$4/100,C8-1)*F8,"")</f>
        <v/>
      </c>
      <c r="K8" s="94">
        <f>B8</f>
        <v>1</v>
      </c>
      <c r="L8" s="49" t="str">
        <f>IFERROR((D8-C41)/E8,"")</f>
        <v/>
      </c>
      <c r="M8" s="49" t="str">
        <f>IFERROR((1-3/(4*G41-1))*L8,"")</f>
        <v/>
      </c>
      <c r="N8" s="51" t="str">
        <f t="shared" si="0"/>
        <v/>
      </c>
      <c r="O8" s="49" t="str">
        <f>IFERROR(SQRT((N8+2)/(Data!V8*Data!V8)+((L8^2)/(2*(N8+2)))),"")</f>
        <v/>
      </c>
      <c r="P8" s="52" t="str">
        <f>IFERROR(Y18*SQRT(1/C8),"")</f>
        <v/>
      </c>
      <c r="Q8" s="52" t="str">
        <f>IFERROR(Z18*SQRT(1/C8),"")</f>
        <v/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 t="str">
        <f>VLOOKUP(SMALL(B7:B8,1),Data!V22:Z25,MATCH(LARGE(B7:B8,1),Data!V21:Z21,0),FALSE)</f>
        <v/>
      </c>
      <c r="D11" s="100" t="str">
        <f>IFERROR(D8-D7,"")</f>
        <v/>
      </c>
      <c r="E11" s="100" t="str">
        <f>IFERROR(F11*SQRT(C7),"")</f>
        <v/>
      </c>
      <c r="F11" s="100" t="str">
        <f>IFERROR(SQRT(F7^2+F8^2-2*C11*F7*F8),"")</f>
        <v/>
      </c>
      <c r="G11" s="100" t="str">
        <f>IFERROR(D11-TINV(1-$H$4/100,G44)*F11,"")</f>
        <v/>
      </c>
      <c r="H11" s="100" t="str">
        <f>IFERROR(D11+TINV(1-$H$4/100,G44)*F11,"")</f>
        <v/>
      </c>
      <c r="K11" s="107" t="str">
        <f>B11</f>
        <v>Difference</v>
      </c>
      <c r="L11" s="22" t="str">
        <f>IFERROR(D11/SQRT((E7^2+E8^2)/2),"")</f>
        <v/>
      </c>
      <c r="M11" s="22" t="str">
        <f>IFERROR((1-3/(4*N11-1))*L11,"")</f>
        <v/>
      </c>
      <c r="N11" s="43" t="str">
        <f>G44</f>
        <v/>
      </c>
      <c r="O11" s="29" t="str">
        <f>IFERROR(SQRT((1/C7)+((L11^2)/(2*C7))*2*(1-C11)),"")</f>
        <v/>
      </c>
      <c r="P11" s="29" t="str">
        <f>IFERROR(Y19*SQRT(1/C7),"")</f>
        <v/>
      </c>
      <c r="Q11" s="29" t="str">
        <f>IFERROR(Z19*SQRT(1/C7),"")</f>
        <v/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 t="e">
        <f>EXP(((LN(2)-LN(G40))/2)+GAMMALN((G40+1)/2)-GAMMALN(G40/2))</f>
        <v>#VALUE!</v>
      </c>
      <c r="U17" s="27" t="e">
        <f>T17*F40</f>
        <v>#VALUE!</v>
      </c>
      <c r="V17" s="27" t="e">
        <f>1+(F40^2)*(1-T17^2)</f>
        <v>#VALUE!</v>
      </c>
      <c r="W17" s="27" t="e">
        <f>(2*U17^3)-((2*G40-1)/G40)*(F40^2*U17)</f>
        <v>#VALUE!</v>
      </c>
      <c r="X17" s="12" t="e">
        <f>W17/SQRT(V17)^3</f>
        <v>#VALUE!</v>
      </c>
      <c r="Y17" s="28" t="e">
        <f t="shared" ref="Y17:Z19" si="2">IF($X17&lt;0.001,Y27,Y22)</f>
        <v>#VALUE!</v>
      </c>
      <c r="Z17" s="28" t="e">
        <f t="shared" si="2"/>
        <v>#VALUE!</v>
      </c>
    </row>
    <row r="18" spans="2:26" x14ac:dyDescent="0.3">
      <c r="B18" s="32">
        <v>1.1000000000000001</v>
      </c>
      <c r="C18" s="96" t="e">
        <f>IF(H7="",NA(),H7)</f>
        <v>#N/A</v>
      </c>
      <c r="D18" s="96" t="e">
        <f t="shared" ref="D18:D23" si="3">C18</f>
        <v>#N/A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 t="e">
        <f>IF(Q7="",NA(),Q7)</f>
        <v>#N/A</v>
      </c>
      <c r="M18" s="96" t="e">
        <f t="shared" ref="M18:M23" si="5">L18</f>
        <v>#N/A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 t="e">
        <f>EXP(((LN(2)-LN(G41))/2)+GAMMALN((G41+1)/2)-GAMMALN(G41/2))</f>
        <v>#VALUE!</v>
      </c>
      <c r="U18" s="29" t="e">
        <f>T18*F41</f>
        <v>#VALUE!</v>
      </c>
      <c r="V18" s="29" t="e">
        <f>1+(F41^2)*(1-T18^2)</f>
        <v>#VALUE!</v>
      </c>
      <c r="W18" s="29" t="e">
        <f>(2*U18^3)-((2*G41-1)/G41)*(F41^2*U18)</f>
        <v>#VALUE!</v>
      </c>
      <c r="X18" s="12" t="e">
        <f>W18/SQRT(V18)^3</f>
        <v>#VALUE!</v>
      </c>
      <c r="Y18" s="28" t="e">
        <f t="shared" si="2"/>
        <v>#VALUE!</v>
      </c>
      <c r="Z18" s="28" t="e">
        <f t="shared" si="2"/>
        <v>#VALUE!</v>
      </c>
    </row>
    <row r="19" spans="2:26" ht="15" thickBot="1" x14ac:dyDescent="0.35">
      <c r="B19" s="32">
        <v>1.1000000000000001</v>
      </c>
      <c r="C19" s="96" t="e">
        <f>IF(D7="",NA(),D7)</f>
        <v>#N/A</v>
      </c>
      <c r="D19" s="96" t="e">
        <f t="shared" si="3"/>
        <v>#N/A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 t="e">
        <f>IF(M7="",NA(),M7)</f>
        <v>#N/A</v>
      </c>
      <c r="M19" s="96" t="e">
        <f t="shared" si="5"/>
        <v>#N/A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 t="e">
        <f>EXP(((LN(2)-LN(G44))/2)+GAMMALN((G44+1)/2)-GAMMALN(G44/2))</f>
        <v>#VALUE!</v>
      </c>
      <c r="U19" s="29" t="e">
        <f>T19*F44</f>
        <v>#VALUE!</v>
      </c>
      <c r="V19" s="29" t="e">
        <f>1+(F44^2)*(1-T19^2)</f>
        <v>#VALUE!</v>
      </c>
      <c r="W19" s="29" t="e">
        <f>(2*U19^3)-((2*G44-1)/G44)*(F44^2*U19)</f>
        <v>#VALUE!</v>
      </c>
      <c r="X19" s="12" t="e">
        <f>W19/SQRT(V19)^3</f>
        <v>#VALUE!</v>
      </c>
      <c r="Y19" s="28" t="e">
        <f t="shared" si="2"/>
        <v>#VALUE!</v>
      </c>
      <c r="Z19" s="28" t="e">
        <f t="shared" si="2"/>
        <v>#VALUE!</v>
      </c>
    </row>
    <row r="20" spans="2:26" ht="15" thickBot="1" x14ac:dyDescent="0.35">
      <c r="B20" s="32">
        <v>1.1000000000000001</v>
      </c>
      <c r="C20" s="96" t="e">
        <f>IF(G7="",NA(),G7)</f>
        <v>#N/A</v>
      </c>
      <c r="D20" s="96" t="e">
        <f t="shared" si="3"/>
        <v>#N/A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 t="e">
        <f>IF(P7="",NA(),P7)</f>
        <v>#N/A</v>
      </c>
      <c r="M20" s="96" t="e">
        <f t="shared" si="5"/>
        <v>#N/A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 t="e">
        <f>IF(H8="",NA(),H8)</f>
        <v>#N/A</v>
      </c>
      <c r="D21" s="96" t="e">
        <f t="shared" si="3"/>
        <v>#N/A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 t="e">
        <f>IF(Q8="",NA(),Q8)</f>
        <v>#N/A</v>
      </c>
      <c r="M21" s="96" t="e">
        <f t="shared" si="5"/>
        <v>#N/A</v>
      </c>
      <c r="N21" s="84"/>
      <c r="O21" s="96">
        <v>3.15</v>
      </c>
      <c r="P21" s="96" t="e">
        <f>IF(P22&gt;$O$31,NA(),P22+$Q$16)</f>
        <v>#N/A</v>
      </c>
      <c r="Q21" s="96" t="e">
        <f t="shared" si="6"/>
        <v>#N/A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 t="e">
        <f>IF(D8="",NA(),D8)</f>
        <v>#N/A</v>
      </c>
      <c r="D22" s="96" t="e">
        <f t="shared" si="3"/>
        <v>#N/A</v>
      </c>
      <c r="E22" s="84"/>
      <c r="F22" s="96">
        <v>3.15</v>
      </c>
      <c r="G22" s="96" t="e">
        <f t="shared" si="7"/>
        <v>#N/A</v>
      </c>
      <c r="H22" s="96" t="e">
        <f>G22-$G$23</f>
        <v>#N/A</v>
      </c>
      <c r="I22" s="96"/>
      <c r="J22" s="96"/>
      <c r="K22" s="32">
        <v>2.1</v>
      </c>
      <c r="L22" s="96" t="e">
        <f>IF(M8="",NA(),M8)</f>
        <v>#N/A</v>
      </c>
      <c r="M22" s="96" t="e">
        <f t="shared" si="5"/>
        <v>#N/A</v>
      </c>
      <c r="N22" s="84"/>
      <c r="O22" s="96">
        <v>3.15</v>
      </c>
      <c r="P22" s="96" t="e">
        <f>IF(P23&gt;$O$31,NA(),P23+$Q$16)</f>
        <v>#N/A</v>
      </c>
      <c r="Q22" s="96" t="e">
        <f t="shared" si="6"/>
        <v>#N/A</v>
      </c>
      <c r="R22" s="96"/>
      <c r="T22" s="27" t="e">
        <f>W17/(4*V17)</f>
        <v>#VALUE!</v>
      </c>
      <c r="U22" s="27" t="e">
        <f>V17/(2*T22^2)</f>
        <v>#VALUE!</v>
      </c>
      <c r="V22" s="27" t="e">
        <f>U17-(U22*T22)</f>
        <v>#VALUE!</v>
      </c>
      <c r="W22" s="27" t="e">
        <f>2*GAMMAINV((1-$Q$4/100)/2,U22/2,1)</f>
        <v>#VALUE!</v>
      </c>
      <c r="X22" s="27" t="e">
        <f>2*GAMMAINV(1-(1-$Q$4/100)/2,U22/2,1)</f>
        <v>#VALUE!</v>
      </c>
      <c r="Y22" s="27" t="e">
        <f>IF(F40&gt;0,V22+(T22*W22),V22+(T22*X22))</f>
        <v>#VALUE!</v>
      </c>
      <c r="Z22" s="27" t="e">
        <f>IF(F40&gt;0,V22+(T22*X22),V22+(T22*W22))</f>
        <v>#VALUE!</v>
      </c>
    </row>
    <row r="23" spans="2:26" x14ac:dyDescent="0.3">
      <c r="B23" s="32">
        <v>2.1</v>
      </c>
      <c r="C23" s="96" t="e">
        <f>IF(G8="",NA(),G8)</f>
        <v>#N/A</v>
      </c>
      <c r="D23" s="96" t="e">
        <f t="shared" si="3"/>
        <v>#N/A</v>
      </c>
      <c r="E23" s="84"/>
      <c r="F23" s="96">
        <v>3.15</v>
      </c>
      <c r="G23" s="96" t="e">
        <f>C19</f>
        <v>#N/A</v>
      </c>
      <c r="H23" s="96" t="e">
        <f>G23-$G$23</f>
        <v>#N/A</v>
      </c>
      <c r="K23" s="32">
        <v>2.1</v>
      </c>
      <c r="L23" s="96" t="e">
        <f>IF(P8="",NA(),P8)</f>
        <v>#N/A</v>
      </c>
      <c r="M23" s="96" t="e">
        <f t="shared" si="5"/>
        <v>#N/A</v>
      </c>
      <c r="N23" s="84"/>
      <c r="O23" s="96">
        <v>3.15</v>
      </c>
      <c r="P23" s="96" t="e">
        <f>L19</f>
        <v>#N/A</v>
      </c>
      <c r="Q23" s="96" t="e">
        <f t="shared" si="6"/>
        <v>#N/A</v>
      </c>
      <c r="T23" s="29" t="e">
        <f>W18/(4*V18)</f>
        <v>#VALUE!</v>
      </c>
      <c r="U23" s="29" t="e">
        <f>V18/(2*T23^2)</f>
        <v>#VALUE!</v>
      </c>
      <c r="V23" s="29" t="e">
        <f>U18-(U23*T23)</f>
        <v>#VALUE!</v>
      </c>
      <c r="W23" s="29" t="e">
        <f>2*GAMMAINV((1-$Q$4/100)/2,U23/2,1)</f>
        <v>#VALUE!</v>
      </c>
      <c r="X23" s="29" t="e">
        <f>2*GAMMAINV(1-(1-$Q$4/100)/2,U23/2,1)</f>
        <v>#VALUE!</v>
      </c>
      <c r="Y23" s="29" t="e">
        <f>IF(F41&gt;0,V23+(T23*W23),V23+(T23*X23))</f>
        <v>#VALUE!</v>
      </c>
      <c r="Z23" s="29" t="e">
        <f>IF(F41&gt;0,V23+(T23*X23),V23+(T23*W23))</f>
        <v>#VALUE!</v>
      </c>
    </row>
    <row r="24" spans="2:26" ht="15" thickBot="1" x14ac:dyDescent="0.35">
      <c r="B24" s="32">
        <v>2.75</v>
      </c>
      <c r="C24" s="96" t="e">
        <f>IF(H11="",NA(),H11+C25-$D$11)</f>
        <v>#N/A</v>
      </c>
      <c r="D24" s="96" t="str">
        <f>H11</f>
        <v/>
      </c>
      <c r="E24" s="84"/>
      <c r="F24" s="96">
        <v>3.15</v>
      </c>
      <c r="G24" s="96" t="e">
        <f>IF(G23&lt;$F$32,NA(),G23-$H$16)</f>
        <v>#N/A</v>
      </c>
      <c r="H24" s="96" t="e">
        <f>G24-$G$23</f>
        <v>#N/A</v>
      </c>
      <c r="K24" s="32">
        <v>2.75</v>
      </c>
      <c r="L24" s="96" t="e">
        <f>IF(Q11="",NA(),Q11+L25-M11)</f>
        <v>#N/A</v>
      </c>
      <c r="M24" s="96" t="str">
        <f>Q11</f>
        <v/>
      </c>
      <c r="N24" s="109"/>
      <c r="O24" s="96">
        <v>3.15</v>
      </c>
      <c r="P24" s="96" t="e">
        <f>IF(P23&lt;$O$32,NA(),P23-$Q$16)</f>
        <v>#N/A</v>
      </c>
      <c r="Q24" s="96" t="e">
        <f t="shared" si="6"/>
        <v>#N/A</v>
      </c>
      <c r="T24" s="29" t="e">
        <f>W19/(4*V19)</f>
        <v>#VALUE!</v>
      </c>
      <c r="U24" s="29" t="e">
        <f>V19/(2*T24^2)</f>
        <v>#VALUE!</v>
      </c>
      <c r="V24" s="29" t="e">
        <f>U19-(U24*T24)</f>
        <v>#VALUE!</v>
      </c>
      <c r="W24" s="29" t="e">
        <f>2*GAMMAINV((1-$Q$4/100)/2,U24/2,1)</f>
        <v>#VALUE!</v>
      </c>
      <c r="X24" s="29" t="e">
        <f>2*GAMMAINV(1-(1-$Q$4/100)/2,U24/2,1)</f>
        <v>#VALUE!</v>
      </c>
      <c r="Y24" s="29" t="e">
        <f>IF(F44&gt;0,V24+(T24*W24),V24+(T24*X24))</f>
        <v>#VALUE!</v>
      </c>
      <c r="Z24" s="29" t="e">
        <f>IF(F44&gt;0,V24+(T24*X24),V24+(T24*W24))</f>
        <v>#VALUE!</v>
      </c>
    </row>
    <row r="25" spans="2:26" ht="15" thickBot="1" x14ac:dyDescent="0.35">
      <c r="B25" s="32">
        <v>2.75</v>
      </c>
      <c r="C25" s="96" t="e">
        <f>IF(D11="",NA(),C22)</f>
        <v>#N/A</v>
      </c>
      <c r="D25" s="96" t="str">
        <f>D11</f>
        <v/>
      </c>
      <c r="E25" s="84"/>
      <c r="F25" s="96">
        <v>3.15</v>
      </c>
      <c r="G25" s="96" t="e">
        <f t="shared" ref="G25:G28" si="8">IF(G24&lt;$F$32,NA(),G24-$H$16)</f>
        <v>#N/A</v>
      </c>
      <c r="H25" s="96" t="e">
        <f t="shared" ref="H25:H28" si="9">G25-$G$23</f>
        <v>#N/A</v>
      </c>
      <c r="K25" s="32">
        <v>2.75</v>
      </c>
      <c r="L25" s="96" t="e">
        <f>IF(M11="",NA(),L22)</f>
        <v>#N/A</v>
      </c>
      <c r="M25" s="96" t="str">
        <f>M11</f>
        <v/>
      </c>
      <c r="N25" s="109"/>
      <c r="O25" s="96">
        <v>3.15</v>
      </c>
      <c r="P25" s="96" t="e">
        <f>IF(P24&lt;$O$32,NA(),P24-$Q$16)</f>
        <v>#N/A</v>
      </c>
      <c r="Q25" s="96" t="e">
        <f t="shared" si="6"/>
        <v>#N/A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 t="e">
        <f>IF(G11="",NA(),G11+C25-$D$11)</f>
        <v>#N/A</v>
      </c>
      <c r="D26" s="96" t="str">
        <f>G11</f>
        <v/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 t="e">
        <f>IF(P11="",NA(),P11+L25-M11)</f>
        <v>#N/A</v>
      </c>
      <c r="M26" s="96" t="str">
        <f>P11</f>
        <v/>
      </c>
      <c r="N26" s="84"/>
      <c r="O26" s="96">
        <v>3.15</v>
      </c>
      <c r="P26" s="96" t="e">
        <f>IF(P25&lt;$O$32,NA(),P25-$Q$16)</f>
        <v>#N/A</v>
      </c>
      <c r="Q26" s="96" t="e">
        <f t="shared" si="6"/>
        <v>#N/A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 t="e">
        <f>SQRT(V17)</f>
        <v>#VALUE!</v>
      </c>
      <c r="W27" s="28">
        <f>NORMINV((1-$Q$4/100)/2,0,1)</f>
        <v>-1.9599639845400536</v>
      </c>
      <c r="X27" s="28">
        <f>NORMINV(1-(1-$Q$4/100)/2,0,1)</f>
        <v>1.9599639845400536</v>
      </c>
      <c r="Y27" s="28" t="e">
        <f>U17+W27*V27</f>
        <v>#VALUE!</v>
      </c>
      <c r="Z27" s="28" t="e">
        <f>U17+X27*V27</f>
        <v>#VALUE!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 t="e">
        <f>SQRT(V18)</f>
        <v>#VALUE!</v>
      </c>
      <c r="W28" s="28">
        <f>NORMINV((1-$Q$4/100)/2,0,1)</f>
        <v>-1.9599639845400536</v>
      </c>
      <c r="X28" s="28">
        <f>NORMINV(1-(1-$Q$4/100)/2,0,1)</f>
        <v>1.9599639845400536</v>
      </c>
      <c r="Y28" s="28" t="e">
        <f>U18+W28*V28</f>
        <v>#VALUE!</v>
      </c>
      <c r="Z28" s="28" t="e">
        <f>U18+X28*V28</f>
        <v>#VALUE!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 t="e">
        <f>SQRT(V19)</f>
        <v>#VALUE!</v>
      </c>
      <c r="W29" s="28">
        <f>NORMINV((1-$Q$4/100)/2,0,1)</f>
        <v>-1.9599639845400536</v>
      </c>
      <c r="X29" s="28">
        <f>NORMINV(1-(1-$Q$4/100)/2,0,1)</f>
        <v>1.9599639845400536</v>
      </c>
      <c r="Y29" s="28" t="e">
        <f>U19+W29*V29</f>
        <v>#VALUE!</v>
      </c>
      <c r="Z29" s="28" t="e">
        <f>U19+X29*V29</f>
        <v>#VALUE!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 t="e">
        <f>C19</f>
        <v>#N/A</v>
      </c>
      <c r="D31" s="32">
        <v>2.1</v>
      </c>
      <c r="E31" s="96" t="e">
        <f>C22</f>
        <v>#N/A</v>
      </c>
      <c r="F31" s="96" t="e">
        <f>MAX(C18:C26)</f>
        <v>#N/A</v>
      </c>
      <c r="G31" s="96" t="e">
        <f>IF(F31-F32=0,1,F31-F32)</f>
        <v>#N/A</v>
      </c>
      <c r="H31" s="96" t="e">
        <f>ROUNDUP(G31/G32,0)</f>
        <v>#N/A</v>
      </c>
      <c r="K31" s="32">
        <v>1.1000000000000001</v>
      </c>
      <c r="L31" s="96" t="e">
        <f>L19</f>
        <v>#N/A</v>
      </c>
      <c r="M31" s="32">
        <v>2.1</v>
      </c>
      <c r="N31" s="96" t="e">
        <f>L22</f>
        <v>#N/A</v>
      </c>
      <c r="O31" s="96" t="e">
        <f>MAX(L$18:L$26)</f>
        <v>#N/A</v>
      </c>
      <c r="P31" s="96" t="e">
        <f>IF(O31-O32=0,1,O31-O32)</f>
        <v>#N/A</v>
      </c>
      <c r="Q31" s="96" t="e">
        <f>ROUNDUP(P31/P32,0)</f>
        <v>#N/A</v>
      </c>
    </row>
    <row r="32" spans="2:26" x14ac:dyDescent="0.3">
      <c r="B32" s="32">
        <v>3.15</v>
      </c>
      <c r="C32" s="96" t="e">
        <f>C19</f>
        <v>#N/A</v>
      </c>
      <c r="D32" s="32">
        <v>3.15</v>
      </c>
      <c r="E32" s="96" t="e">
        <f>C22</f>
        <v>#N/A</v>
      </c>
      <c r="F32" s="96" t="e">
        <f>MIN(C18:C26)</f>
        <v>#N/A</v>
      </c>
      <c r="G32" s="96" t="e">
        <f>POWER(10,INT(LOG10(G31)))</f>
        <v>#N/A</v>
      </c>
      <c r="H32" s="96" t="e">
        <f>CHOOSE(H31,10,5,5,2,2,2,2,1,1,1)</f>
        <v>#N/A</v>
      </c>
      <c r="K32" s="32">
        <v>3.15</v>
      </c>
      <c r="L32" s="96" t="e">
        <f>L19</f>
        <v>#N/A</v>
      </c>
      <c r="M32" s="32">
        <v>3.15</v>
      </c>
      <c r="N32" s="96" t="e">
        <f>L22</f>
        <v>#N/A</v>
      </c>
      <c r="O32" s="96" t="e">
        <f>MIN(L$18:L$26)</f>
        <v>#N/A</v>
      </c>
      <c r="P32" s="96" t="e">
        <f>POWER(10,INT(LOG10(P31)))</f>
        <v>#N/A</v>
      </c>
      <c r="Q32" s="96" t="e">
        <f>CHOOSE(Q31,1,0.5,0.5,0.2,0.2,0.2,0.2,0.1,0.1,0.1)</f>
        <v>#N/A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 t="e">
        <f>MAX($C$18:$C$26)</f>
        <v>#N/A</v>
      </c>
      <c r="P34" s="96" t="e">
        <f>IF(O34-O35=0,1,O34-O35)</f>
        <v>#N/A</v>
      </c>
      <c r="Q34" s="28" t="e">
        <f>P34/9</f>
        <v>#N/A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 t="e">
        <f>MIN($C$18:$C$26)</f>
        <v>#N/A</v>
      </c>
      <c r="P35" s="28" t="e">
        <f>O34+P34/20</f>
        <v>#N/A</v>
      </c>
      <c r="Q35" s="28" t="e">
        <f>ROUNDUP(Q34,0)</f>
        <v>#N/A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/>
      <c r="D40" s="27" t="str">
        <f>IFERROR(D7-C40,"")</f>
        <v/>
      </c>
      <c r="E40" s="27" t="str">
        <f>F7</f>
        <v/>
      </c>
      <c r="F40" s="27" t="str">
        <f>IFERROR(D40/F7,"")</f>
        <v/>
      </c>
      <c r="G40" s="61" t="str">
        <f>IF(C7&lt;&gt;"",C7-1,"")</f>
        <v/>
      </c>
      <c r="H40" s="27" t="str">
        <f>IFERROR(IF(TDIST(ABS(F40),G40,2)&lt;0.001,"&lt; 0.001",TDIST(ABS(F40),G40,2)),"")</f>
        <v/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/>
      <c r="D41" s="52" t="str">
        <f>IFERROR(D8-C41,"")</f>
        <v/>
      </c>
      <c r="E41" s="52" t="str">
        <f>F8</f>
        <v/>
      </c>
      <c r="F41" s="52" t="str">
        <f>IFERROR(D41/F8,"")</f>
        <v/>
      </c>
      <c r="G41" s="103" t="str">
        <f>IF(C8&lt;&gt;"",C8-1,"")</f>
        <v/>
      </c>
      <c r="H41" s="52" t="str">
        <f>IFERROR(IF(TDIST(ABS(F41),G41,2)&lt;0.001,"&lt; 0.001",TDIST(ABS(F41),G41,2)),"")</f>
        <v/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/>
      <c r="D44" s="100" t="str">
        <f>IFERROR(D11-C44,"")</f>
        <v/>
      </c>
      <c r="E44" s="100" t="str">
        <f>F11</f>
        <v/>
      </c>
      <c r="F44" s="100" t="str">
        <f>IFERROR(D44/F11,"")</f>
        <v/>
      </c>
      <c r="G44" s="104" t="str">
        <f>IF(C7&lt;&gt;"",C7-1,"")</f>
        <v/>
      </c>
      <c r="H44" s="100" t="str">
        <f>IFERROR(IF(TDIST(ABS(F44),G44,2)&lt;0.001,"&lt; 0.001",TDIST(ABS(F44),G44,2)),"")</f>
        <v/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25" zoomScaleNormal="100" workbookViewId="0">
      <selection activeCell="L40" sqref="L40: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22" t="s">
        <v>43</v>
      </c>
      <c r="C2" s="122"/>
      <c r="D2" s="122"/>
      <c r="E2" s="122"/>
      <c r="F2" s="122"/>
      <c r="G2" s="122"/>
      <c r="H2" s="122"/>
      <c r="I2"/>
      <c r="K2" s="122" t="s">
        <v>44</v>
      </c>
      <c r="L2" s="122"/>
      <c r="M2" s="122"/>
      <c r="N2" s="122"/>
      <c r="O2" s="122"/>
      <c r="P2" s="122"/>
      <c r="Q2" s="122"/>
      <c r="T2" s="122" t="s">
        <v>61</v>
      </c>
      <c r="U2" s="122"/>
      <c r="V2" s="122"/>
      <c r="W2" s="122"/>
      <c r="X2" s="122"/>
      <c r="Y2" s="122"/>
      <c r="Z2" s="122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/>
      </c>
      <c r="C7" s="42" t="str">
        <f t="shared" si="0"/>
        <v/>
      </c>
      <c r="D7" s="20" t="str">
        <f>IFERROR(Data!W7-Data!W8,"")</f>
        <v/>
      </c>
      <c r="E7" s="20" t="str">
        <f>IFERROR(F7*SQRT(Data!$V$7),"")</f>
        <v/>
      </c>
      <c r="F7" s="27" t="str">
        <f>IFERROR(SQRT(Data!Z7^2+Data!Z8^2-2*Data!X22*Data!Z7*Data!Z8),"")</f>
        <v/>
      </c>
      <c r="G7" s="20" t="str">
        <f>IFERROR(D7-TINV(1-$H$4/100,G40)*F7,"")</f>
        <v/>
      </c>
      <c r="H7" s="20" t="str">
        <f t="shared" ref="H7:H12" si="2">IFERROR(D7+TINV(1-$H$4/100,G40)*F7,"")</f>
        <v/>
      </c>
      <c r="J7" s="3"/>
      <c r="K7" s="19" t="str">
        <f t="shared" ref="K7:K12" si="3">B7</f>
        <v/>
      </c>
      <c r="L7" s="20" t="str">
        <f>IFERROR(D7/SQRT((Data!X7^2+Data!X8^2)/2),"")</f>
        <v/>
      </c>
      <c r="M7" s="20" t="str">
        <f t="shared" ref="M7:M12" si="4">IFERROR((1-3/(4*G40-1))*L7,"")</f>
        <v/>
      </c>
      <c r="N7" s="42" t="str">
        <f t="shared" si="1"/>
        <v/>
      </c>
      <c r="O7" s="27" t="str">
        <f>IFERROR(SQRT((1/Data!V7)+((L7^2)/(2*Data!V7))*2*(1-Data!X22)),"")</f>
        <v/>
      </c>
      <c r="P7" s="27" t="str">
        <f>IFERROR(Y17*SQRT(1/Data!V7),"")</f>
        <v/>
      </c>
      <c r="Q7" s="27" t="str">
        <f>IFERROR(Z17*SQRT(1/Data!V7),"")</f>
        <v/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/>
      </c>
      <c r="C10" s="43" t="str">
        <f t="shared" si="0"/>
        <v/>
      </c>
      <c r="D10" s="22" t="str">
        <f>IFERROR(Data!W7-Data!W10,"")</f>
        <v/>
      </c>
      <c r="E10" s="22" t="str">
        <f>IFERROR(F10*SQRT(Data!$V$7),"")</f>
        <v/>
      </c>
      <c r="F10" s="22" t="str">
        <f>IFERROR(SQRT(Data!Z7^2+Data!Z10^2-2*Data!Z22*Data!Z7*Data!Z10),"")</f>
        <v/>
      </c>
      <c r="G10" s="22" t="str">
        <f t="shared" si="5"/>
        <v/>
      </c>
      <c r="H10" s="22" t="str">
        <f t="shared" si="2"/>
        <v/>
      </c>
      <c r="J10" s="3"/>
      <c r="K10" s="21" t="str">
        <f t="shared" si="3"/>
        <v/>
      </c>
      <c r="L10" s="22" t="str">
        <f>IFERROR(D10/SQRT((Data!X7^2+Data!X10^2)/2),"")</f>
        <v/>
      </c>
      <c r="M10" s="22" t="str">
        <f>IFERROR((1-3/(4*N10-1))*L10,"")</f>
        <v/>
      </c>
      <c r="N10" s="43" t="str">
        <f t="shared" si="1"/>
        <v/>
      </c>
      <c r="O10" s="29" t="str">
        <f>IFERROR(SQRT((1/Data!V8)+((L10^2)/(2*Data!V8))*2*(1-Data!Z22)),"")</f>
        <v/>
      </c>
      <c r="P10" s="29" t="str">
        <f>IFERROR(Y20*SQRT(1/Data!V7),"")</f>
        <v/>
      </c>
      <c r="Q10" s="29" t="str">
        <f>IFERROR(Z20*SQRT(1/Data!V7),"")</f>
        <v/>
      </c>
    </row>
    <row r="11" spans="1:26" x14ac:dyDescent="0.3">
      <c r="B11" s="21" t="str">
        <f>IF(D11="","","2 vs. 4")</f>
        <v/>
      </c>
      <c r="C11" s="43" t="str">
        <f t="shared" si="0"/>
        <v/>
      </c>
      <c r="D11" s="22" t="str">
        <f>IFERROR(Data!W8-Data!W10,"")</f>
        <v/>
      </c>
      <c r="E11" s="22" t="str">
        <f>IFERROR(F11*SQRT(Data!$V$7),"")</f>
        <v/>
      </c>
      <c r="F11" s="22" t="str">
        <f>IFERROR(SQRT(Data!Z8^2+Data!Z10^2-2*Data!Z23*Data!Z8*Data!Z10),"")</f>
        <v/>
      </c>
      <c r="G11" s="22" t="str">
        <f t="shared" si="5"/>
        <v/>
      </c>
      <c r="H11" s="22" t="str">
        <f t="shared" si="2"/>
        <v/>
      </c>
      <c r="J11" s="3"/>
      <c r="K11" s="21" t="str">
        <f t="shared" si="3"/>
        <v/>
      </c>
      <c r="L11" s="22" t="str">
        <f>IFERROR(D11/SQRT((Data!X8^2+Data!X10^2)/2),"")</f>
        <v/>
      </c>
      <c r="M11" s="22" t="str">
        <f t="shared" si="4"/>
        <v/>
      </c>
      <c r="N11" s="43" t="str">
        <f t="shared" si="1"/>
        <v/>
      </c>
      <c r="O11" s="29" t="str">
        <f>IFERROR(SQRT((1/Data!V8)+((L11^2)/(2*Data!V8))*2*(1-Data!Z23)),"")</f>
        <v/>
      </c>
      <c r="P11" s="29" t="str">
        <f>IFERROR(Y21*SQRT(1/Data!V8),"")</f>
        <v/>
      </c>
      <c r="Q11" s="29" t="str">
        <f>IFERROR(Z21*SQRT(1/Data!V8),"")</f>
        <v/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 t="e">
        <f t="shared" ref="T17:T22" si="6">EXP(((LN(2)-LN(G40))/2)+GAMMALN((G40+1)/2)-GAMMALN(G40/2))</f>
        <v>#VALUE!</v>
      </c>
      <c r="U17" s="27" t="e">
        <f t="shared" ref="U17:U22" si="7">T17*F40</f>
        <v>#VALUE!</v>
      </c>
      <c r="V17" s="27" t="e">
        <f t="shared" ref="V17:V22" si="8">1+(F40^2)*(1-T17^2)</f>
        <v>#VALUE!</v>
      </c>
      <c r="W17" s="27" t="e">
        <f t="shared" ref="W17:W22" si="9">(2*U17^3)-((2*G40-1)/G40)*(F40^2*U17)</f>
        <v>#VALUE!</v>
      </c>
      <c r="X17" s="12" t="e">
        <f t="shared" ref="X17:X22" si="10">W17/SQRT(V17)^3</f>
        <v>#VALUE!</v>
      </c>
      <c r="Y17" s="28" t="e">
        <f t="shared" ref="Y17:Z22" si="11">IF($X17&lt;0.001,Y33,Y25)</f>
        <v>#VALUE!</v>
      </c>
      <c r="Z17" s="28" t="e">
        <f t="shared" si="11"/>
        <v>#VALUE!</v>
      </c>
    </row>
    <row r="18" spans="2:26" x14ac:dyDescent="0.3">
      <c r="B18" s="38">
        <v>1.1000000000000001</v>
      </c>
      <c r="C18" s="37" t="e">
        <f>IF(H7="",NA(),H7)</f>
        <v>#N/A</v>
      </c>
      <c r="D18" s="38" t="e">
        <f t="shared" ref="D18:D35" si="12">C18</f>
        <v>#N/A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 t="e">
        <f>IF(Q7="",NA(),Q7)</f>
        <v>#N/A</v>
      </c>
      <c r="M18" s="38" t="e">
        <f t="shared" ref="M18:M35" si="13">L18</f>
        <v>#N/A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 t="e">
        <f>IF(D7="",NA(),D7)</f>
        <v>#N/A</v>
      </c>
      <c r="D19" s="38" t="e">
        <f t="shared" si="12"/>
        <v>#N/A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 t="e">
        <f>IF(M7="",NA(),M7)</f>
        <v>#N/A</v>
      </c>
      <c r="M19" s="38" t="e">
        <f t="shared" si="13"/>
        <v>#N/A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 t="e">
        <f>IF(G7="",NA(),G7)</f>
        <v>#N/A</v>
      </c>
      <c r="D20" s="38" t="e">
        <f t="shared" si="12"/>
        <v>#N/A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 t="e">
        <f>IF(P7="",NA(),P7)</f>
        <v>#N/A</v>
      </c>
      <c r="M20" s="38" t="e">
        <f t="shared" si="13"/>
        <v>#N/A</v>
      </c>
      <c r="N20" s="38"/>
      <c r="O20" s="38"/>
      <c r="P20" s="37">
        <v>1.5</v>
      </c>
      <c r="Q20" s="37">
        <f>L$40</f>
        <v>0</v>
      </c>
      <c r="S20" s="4"/>
      <c r="T20" s="29" t="e">
        <f t="shared" si="6"/>
        <v>#VALUE!</v>
      </c>
      <c r="U20" s="29" t="e">
        <f t="shared" si="7"/>
        <v>#VALUE!</v>
      </c>
      <c r="V20" s="29" t="e">
        <f t="shared" si="8"/>
        <v>#VALUE!</v>
      </c>
      <c r="W20" s="29" t="e">
        <f t="shared" si="9"/>
        <v>#VALUE!</v>
      </c>
      <c r="X20" s="12" t="e">
        <f t="shared" si="10"/>
        <v>#VALUE!</v>
      </c>
      <c r="Y20" s="28" t="e">
        <f t="shared" si="11"/>
        <v>#VALUE!</v>
      </c>
      <c r="Z20" s="28" t="e">
        <f t="shared" si="11"/>
        <v>#VALUE!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 t="e">
        <f t="shared" si="6"/>
        <v>#VALUE!</v>
      </c>
      <c r="U21" s="78" t="e">
        <f t="shared" si="7"/>
        <v>#VALUE!</v>
      </c>
      <c r="V21" s="78" t="e">
        <f t="shared" si="8"/>
        <v>#VALUE!</v>
      </c>
      <c r="W21" s="78" t="e">
        <f t="shared" si="9"/>
        <v>#VALUE!</v>
      </c>
      <c r="X21" s="12" t="e">
        <f t="shared" si="10"/>
        <v>#VALUE!</v>
      </c>
      <c r="Y21" s="28" t="e">
        <f t="shared" si="11"/>
        <v>#VALUE!</v>
      </c>
      <c r="Z21" s="28" t="e">
        <f t="shared" si="11"/>
        <v>#VALUE!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 t="e">
        <f t="shared" ref="T25:T30" si="14">W17/(4*V17)</f>
        <v>#VALUE!</v>
      </c>
      <c r="U25" s="27" t="e">
        <f t="shared" ref="U25:U30" si="15">V17/(2*T25^2)</f>
        <v>#VALUE!</v>
      </c>
      <c r="V25" s="27" t="e">
        <f t="shared" ref="V25:V30" si="16">U17-(U25*T25)</f>
        <v>#VALUE!</v>
      </c>
      <c r="W25" s="27" t="e">
        <f t="shared" ref="W25:W30" si="17">2*GAMMAINV((1-$Q$4/100)/2,U25/2,1)</f>
        <v>#VALUE!</v>
      </c>
      <c r="X25" s="27" t="e">
        <f t="shared" ref="X25:X30" si="18">2*GAMMAINV(1-(1-$Q$4/100)/2,U25/2,1)</f>
        <v>#VALUE!</v>
      </c>
      <c r="Y25" s="27" t="e">
        <f t="shared" ref="Y25:Y30" si="19">IF(F40&gt;0,V25+(T25*W25),V25+(T25*X25))</f>
        <v>#VALUE!</v>
      </c>
      <c r="Z25" s="27" t="e">
        <f t="shared" ref="Z25:Z30" si="20">IF(F40&gt;0,V25+(T25*X25),V25+(T25*W25))</f>
        <v>#VALUE!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 t="e">
        <f>IF(H10="",NA(),H10)</f>
        <v>#N/A</v>
      </c>
      <c r="D27" s="38" t="e">
        <f t="shared" si="12"/>
        <v>#N/A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 t="e">
        <f>IF(Q10="",NA(),Q10)</f>
        <v>#N/A</v>
      </c>
      <c r="M27" s="38" t="e">
        <f t="shared" si="13"/>
        <v>#N/A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 t="e">
        <f>IF(D10="",NA(),D10)</f>
        <v>#N/A</v>
      </c>
      <c r="D28" s="38" t="e">
        <f t="shared" si="12"/>
        <v>#N/A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 t="e">
        <f>IF(M10="",NA(),M10)</f>
        <v>#N/A</v>
      </c>
      <c r="M28" s="38" t="e">
        <f t="shared" si="13"/>
        <v>#N/A</v>
      </c>
      <c r="N28" s="38"/>
      <c r="O28" s="38"/>
      <c r="P28" s="37">
        <v>4</v>
      </c>
      <c r="Q28" s="37">
        <f>L$43</f>
        <v>0</v>
      </c>
      <c r="T28" s="29" t="e">
        <f t="shared" si="14"/>
        <v>#VALUE!</v>
      </c>
      <c r="U28" s="29" t="e">
        <f t="shared" si="15"/>
        <v>#VALUE!</v>
      </c>
      <c r="V28" s="29" t="e">
        <f t="shared" si="16"/>
        <v>#VALUE!</v>
      </c>
      <c r="W28" s="29" t="e">
        <f t="shared" si="17"/>
        <v>#VALUE!</v>
      </c>
      <c r="X28" s="29" t="e">
        <f t="shared" si="18"/>
        <v>#VALUE!</v>
      </c>
      <c r="Y28" s="29" t="e">
        <f t="shared" si="19"/>
        <v>#VALUE!</v>
      </c>
      <c r="Z28" s="29" t="e">
        <f t="shared" si="20"/>
        <v>#VALUE!</v>
      </c>
    </row>
    <row r="29" spans="2:26" x14ac:dyDescent="0.3">
      <c r="B29" s="38">
        <v>4.0999999999999996</v>
      </c>
      <c r="C29" s="38" t="e">
        <f>IF(G10="",NA(),G10)</f>
        <v>#N/A</v>
      </c>
      <c r="D29" s="38" t="e">
        <f t="shared" si="12"/>
        <v>#N/A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 t="e">
        <f>IF(P10="",NA(),P10)</f>
        <v>#N/A</v>
      </c>
      <c r="M29" s="38" t="e">
        <f t="shared" si="13"/>
        <v>#N/A</v>
      </c>
      <c r="N29" s="38"/>
      <c r="O29" s="38"/>
      <c r="P29" s="37">
        <v>4.5</v>
      </c>
      <c r="Q29" s="37">
        <f>L$43</f>
        <v>0</v>
      </c>
      <c r="T29" s="78" t="e">
        <f t="shared" si="14"/>
        <v>#VALUE!</v>
      </c>
      <c r="U29" s="78" t="e">
        <f t="shared" si="15"/>
        <v>#VALUE!</v>
      </c>
      <c r="V29" s="78" t="e">
        <f t="shared" si="16"/>
        <v>#VALUE!</v>
      </c>
      <c r="W29" s="78" t="e">
        <f t="shared" si="17"/>
        <v>#VALUE!</v>
      </c>
      <c r="X29" s="52" t="e">
        <f t="shared" si="18"/>
        <v>#VALUE!</v>
      </c>
      <c r="Y29" s="52" t="e">
        <f t="shared" si="19"/>
        <v>#VALUE!</v>
      </c>
      <c r="Z29" s="52" t="e">
        <f t="shared" si="20"/>
        <v>#VALUE!</v>
      </c>
    </row>
    <row r="30" spans="2:26" ht="15" thickBot="1" x14ac:dyDescent="0.35">
      <c r="B30" s="38">
        <v>5.0999999999999996</v>
      </c>
      <c r="C30" s="38" t="e">
        <f>IF(H11="",NA(),H11)</f>
        <v>#N/A</v>
      </c>
      <c r="D30" s="38" t="e">
        <f t="shared" si="12"/>
        <v>#N/A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 t="e">
        <f>IF(Q11="",NA(),Q11)</f>
        <v>#N/A</v>
      </c>
      <c r="M30" s="38" t="e">
        <f t="shared" si="13"/>
        <v>#N/A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 t="e">
        <f>IF(D11="",NA(),D11)</f>
        <v>#N/A</v>
      </c>
      <c r="D31" s="38" t="e">
        <f t="shared" si="12"/>
        <v>#N/A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 t="e">
        <f>IF(M11="",NA(),M11)</f>
        <v>#N/A</v>
      </c>
      <c r="M31" s="38" t="e">
        <f t="shared" si="13"/>
        <v>#N/A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 t="e">
        <f>IF(G11="",NA(),G11)</f>
        <v>#N/A</v>
      </c>
      <c r="D32" s="38" t="e">
        <f t="shared" si="12"/>
        <v>#N/A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 t="e">
        <f>IF(P11="",NA(),P11)</f>
        <v>#N/A</v>
      </c>
      <c r="M32" s="38" t="e">
        <f t="shared" si="13"/>
        <v>#N/A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 t="e">
        <f t="shared" ref="V33:V38" si="21">SQRT(V17)</f>
        <v>#VALUE!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 t="e">
        <f t="shared" ref="Y33:Y38" si="24">U17+W33*V33</f>
        <v>#VALUE!</v>
      </c>
      <c r="Z33" s="28" t="e">
        <f t="shared" ref="Z33:Z38" si="25">U17+X33*V33</f>
        <v>#VALUE!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 t="e">
        <f t="shared" si="21"/>
        <v>#VALUE!</v>
      </c>
      <c r="W36" s="28">
        <f t="shared" si="22"/>
        <v>-1.9599639845400536</v>
      </c>
      <c r="X36" s="28">
        <f t="shared" si="23"/>
        <v>1.9599639845400536</v>
      </c>
      <c r="Y36" s="28" t="e">
        <f t="shared" si="24"/>
        <v>#VALUE!</v>
      </c>
      <c r="Z36" s="28" t="e">
        <f t="shared" si="25"/>
        <v>#VALUE!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 t="e">
        <f t="shared" si="21"/>
        <v>#VALUE!</v>
      </c>
      <c r="W37" s="28">
        <f t="shared" si="22"/>
        <v>-1.9599639845400536</v>
      </c>
      <c r="X37" s="28">
        <f t="shared" si="23"/>
        <v>1.9599639845400536</v>
      </c>
      <c r="Y37" s="28" t="e">
        <f t="shared" si="24"/>
        <v>#VALUE!</v>
      </c>
      <c r="Z37" s="28" t="e">
        <f t="shared" si="25"/>
        <v>#VALUE!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/>
      </c>
      <c r="C40" s="14"/>
      <c r="D40" s="20" t="str">
        <f t="shared" ref="D40:D45" si="27">IFERROR(D7-C40,"")</f>
        <v/>
      </c>
      <c r="E40" s="20" t="str">
        <f t="shared" ref="E40:E45" si="28">F7</f>
        <v/>
      </c>
      <c r="F40" s="27" t="str">
        <f t="shared" ref="F40:F45" si="29">IFERROR(D40/E40,"")</f>
        <v/>
      </c>
      <c r="G40" s="42" t="str">
        <f>IF(B40="","",Data!V7-1)</f>
        <v/>
      </c>
      <c r="H40" s="20" t="str">
        <f t="shared" ref="H40:H45" si="30">IFERROR(IF(TDIST(ABS(F40),G40,2)&lt;0.001,"&lt; 0.001",TDIST(ABS(F40),G40,2)),"")</f>
        <v/>
      </c>
      <c r="J40" s="3"/>
      <c r="K40" s="19" t="str">
        <f t="shared" ref="K40:K45" si="31">K7</f>
        <v/>
      </c>
      <c r="L40" s="14"/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/>
      </c>
      <c r="C43" s="15"/>
      <c r="D43" s="22" t="str">
        <f t="shared" si="27"/>
        <v/>
      </c>
      <c r="E43" s="22" t="str">
        <f t="shared" si="28"/>
        <v/>
      </c>
      <c r="F43" s="29" t="str">
        <f t="shared" si="29"/>
        <v/>
      </c>
      <c r="G43" s="43" t="str">
        <f>IF(B43="","",Data!V7-1)</f>
        <v/>
      </c>
      <c r="H43" s="22" t="str">
        <f t="shared" si="30"/>
        <v/>
      </c>
      <c r="J43" s="3"/>
      <c r="K43" s="21" t="str">
        <f t="shared" si="31"/>
        <v/>
      </c>
      <c r="L43" s="15"/>
      <c r="M43" s="3"/>
      <c r="N43" s="3"/>
      <c r="O43" s="3"/>
      <c r="P43" s="3"/>
      <c r="Q43" s="3"/>
    </row>
    <row r="44" spans="2:26" x14ac:dyDescent="0.3">
      <c r="B44" s="21" t="str">
        <f t="shared" si="26"/>
        <v/>
      </c>
      <c r="C44" s="15"/>
      <c r="D44" s="22" t="str">
        <f t="shared" si="27"/>
        <v/>
      </c>
      <c r="E44" s="22" t="str">
        <f t="shared" si="28"/>
        <v/>
      </c>
      <c r="F44" s="29" t="str">
        <f t="shared" si="29"/>
        <v/>
      </c>
      <c r="G44" s="43" t="str">
        <f>IF(B44="","",Data!V7-1)</f>
        <v/>
      </c>
      <c r="H44" s="22" t="str">
        <f t="shared" si="30"/>
        <v/>
      </c>
      <c r="J44" s="3"/>
      <c r="K44" s="21" t="str">
        <f t="shared" si="31"/>
        <v/>
      </c>
      <c r="L44" s="15"/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2024-10-27T14:14:39Z</dcterms:modified>
</cp:coreProperties>
</file>