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22" documentId="114_{9A500B6A-B4FE-4D0C-BBAA-10B62DF49F81}" xr6:coauthVersionLast="47" xr6:coauthVersionMax="47" xr10:uidLastSave="{50C3F0D2-44FD-4518-AC99-DF14B048C212}"/>
  <bookViews>
    <workbookView xWindow="-108" yWindow="-108" windowWidth="23256" windowHeight="1245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<sst xmlns="http://schemas.openxmlformats.org/spreadsheetml/2006/main" count="334" uniqueCount="131">
  <si>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</si>
  <si>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</si>
  <si>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</si>
  <si>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</si>
  <si>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</si>
  <si>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</si>
  <si>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</si>
  <si>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</si>
  <si>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</si>
  <si>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</si>
  <si>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</si>
  <si>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</si>
  <si>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</si>
  <si>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</si>
  <si>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</si>
  <si>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</si>
  <si>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</si>
  <si>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</si>
  <si>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</si>
  <si>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</si>
  <si>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</si>
  <si>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</si>
  <si>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</si>
  <si>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</si>
  <si>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</si>
  <si>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</si>
  <si>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</si>
  <si>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</si>
  <si>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</si>
  <si>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</si>
  <si>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</si>
  <si>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</si>
  <si>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</si>
  <si>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</si>
  <si>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</si>
  <si>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</si>
  <si>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</si>
  <si>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</si>
  <si>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</si>
  <si>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</si>
  <si>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</si>
  <si>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</si>
  <si>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</si>
  <si>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</si>
  <si>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</si>
  <si>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</si>
  <si>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</si>
  <si>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</si>
  <si>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</si>
  <si>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</si>
  <si>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</si>
  <si>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</si>
  <si>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</si>
  <si>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</si>
  <si>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</si>
  <si>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</si>
  <si>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</si>
  <si>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</si>
  <si>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</si>
  <si>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</si>
  <si>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</si>
  <si>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</si>
  <si>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</si>
  <si>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</si>
  <si>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</si>
  <si>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</si>
  <si>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</si>
  <si>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</si>
  <si>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</si>
  <si>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</si>
  <si>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</si>
  <si>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</si>
  <si>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</si>
  <si>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</si>
  <si>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</si>
  <si>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</si>
  <si>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</si>
  <si>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</si>
  <si>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</si>
  <si>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</si>
  <si>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</si>
  <si>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</si>
  <si>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</si>
  <si>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</si>
  <si>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</si>
  <si>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</si>
  <si>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</si>
  <si>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</si>
  <si>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</si>
  <si>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</si>
  <si>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</si>
  <si>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</si>
  <si>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</si>
  <si>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</si>
  <si>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</si>
  <si>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</si>
  <si>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</si>
  <si>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</si>
  <si>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</si>
  <si>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</si>
  <si>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</si>
  <si>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</si>
  <si>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</si>
  <si>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</si>
  <si>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</si>
  <si>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</si>
  <si>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</si>
  <si>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</si>
  <si>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</si>
  <si>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</si>
  <si>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</si>
  <si>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</si>
  <si>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</si>
  <si>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</si>
  <si>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</si>
  <si>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</si>
  <si>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</si>
  <si>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</si>
  <si>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</si>
  <si>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</si>
  <si>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</si>
  <si>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</si>
  <si>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</si>
  <si>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</si>
  <si>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How to Cite</t>
  </si>
  <si>
    <t>cwendorf@uwsp.edu</t>
  </si>
  <si>
    <t>http://cwendorf.github.io</t>
  </si>
  <si>
    <t>Wendorf, C. A. (2021).</t>
  </si>
  <si>
    <t>EASE: Estimation Approach to Statistics with Excel [Excel Spreadsheets].</t>
  </si>
  <si>
    <t>https://github.com/cwendorf/BASE/tree/main/EASE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</si>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</sst>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0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Border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wendorf.github.io/BASE/EASE" TargetMode="External"/><Relationship Id="rId2" Type="http://schemas.openxmlformats.org/officeDocument/2006/relationships/hyperlink" Target="mailto:cwendorf@uwsp.edu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23" t="s">
        <v>121</v>
      </c>
      <c r="C2" s="123"/>
      <c r="D2" s="123"/>
      <c r="E2" s="123"/>
      <c r="F2" s="123"/>
      <c r="G2" s="123"/>
      <c r="H2" s="123"/>
      <c r="I2" s="90"/>
      <c r="J2" s="90"/>
      <c r="K2" s="124" t="s">
        <v>85</v>
      </c>
      <c r="L2" s="124"/>
      <c r="M2" s="124"/>
      <c r="N2" s="124"/>
      <c r="O2" s="124"/>
      <c r="P2" s="124"/>
      <c r="Q2" s="124"/>
    </row>
    <row r="3" spans="2:17" ht="18" customHeight="1" x14ac:dyDescent="0.35">
      <c r="B3" s="125" t="s">
        <v>36</v>
      </c>
      <c r="C3" s="125"/>
      <c r="D3" s="125"/>
      <c r="E3" s="125"/>
      <c r="F3" s="125"/>
      <c r="G3" s="125"/>
      <c r="H3" s="125"/>
      <c r="I3" s="92"/>
      <c r="J3" s="92"/>
      <c r="K3" s="125" t="s">
        <v>130</v>
      </c>
      <c r="L3" s="125"/>
      <c r="M3" s="125"/>
      <c r="N3" s="125"/>
      <c r="O3" s="125"/>
      <c r="P3" s="125"/>
      <c r="Q3" s="125"/>
    </row>
    <row r="4" spans="2:17" s="92" customFormat="1" ht="18" customHeight="1" x14ac:dyDescent="0.35">
      <c r="B4" s="125" t="s">
        <v>123</v>
      </c>
      <c r="C4" s="125"/>
      <c r="D4" s="125"/>
      <c r="E4" s="125"/>
      <c r="F4" s="125"/>
      <c r="G4" s="125"/>
      <c r="H4" s="125"/>
      <c r="K4" s="126" t="s">
        <v>129</v>
      </c>
      <c r="L4" s="125"/>
      <c r="M4" s="125"/>
      <c r="N4" s="125"/>
      <c r="O4" s="125"/>
      <c r="P4" s="125"/>
      <c r="Q4" s="125"/>
    </row>
    <row r="6" spans="2:17" ht="15" customHeight="1" x14ac:dyDescent="0.3">
      <c r="B6" s="5" t="s">
        <v>86</v>
      </c>
      <c r="K6" s="5" t="s">
        <v>87</v>
      </c>
    </row>
    <row r="8" spans="2:17" ht="15" customHeight="1" x14ac:dyDescent="0.3">
      <c r="B8" s="3" t="s">
        <v>99</v>
      </c>
      <c r="K8" s="3" t="s">
        <v>24</v>
      </c>
    </row>
    <row r="9" spans="2:17" ht="15" customHeight="1" x14ac:dyDescent="0.3">
      <c r="B9" s="3" t="s">
        <v>102</v>
      </c>
      <c r="K9" s="3" t="s">
        <v>33</v>
      </c>
    </row>
    <row r="10" spans="2:17" ht="15" customHeight="1" x14ac:dyDescent="0.3">
      <c r="B10" s="3" t="s">
        <v>107</v>
      </c>
      <c r="K10" s="3" t="s">
        <v>32</v>
      </c>
    </row>
    <row r="11" spans="2:17" ht="15" customHeight="1" x14ac:dyDescent="0.3">
      <c r="B11" s="3" t="s">
        <v>117</v>
      </c>
    </row>
    <row r="13" spans="2:17" ht="15" customHeight="1" x14ac:dyDescent="0.3">
      <c r="B13" s="5" t="s">
        <v>88</v>
      </c>
      <c r="K13" s="5" t="s">
        <v>89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104</v>
      </c>
    </row>
    <row r="16" spans="2:17" ht="15" customHeight="1" x14ac:dyDescent="0.3">
      <c r="B16" s="3" t="s">
        <v>122</v>
      </c>
      <c r="K16" t="s">
        <v>45</v>
      </c>
    </row>
    <row r="17" spans="2:17" ht="15" customHeight="1" x14ac:dyDescent="0.3">
      <c r="B17" s="3" t="s">
        <v>100</v>
      </c>
      <c r="K17" t="s">
        <v>90</v>
      </c>
    </row>
    <row r="18" spans="2:17" ht="15" customHeight="1" x14ac:dyDescent="0.3">
      <c r="B18" s="3" t="s">
        <v>101</v>
      </c>
      <c r="K18" s="91" t="s">
        <v>103</v>
      </c>
    </row>
    <row r="20" spans="2:17" ht="15" customHeight="1" x14ac:dyDescent="0.3">
      <c r="B20" s="5" t="s">
        <v>91</v>
      </c>
      <c r="K20" s="5" t="s">
        <v>5</v>
      </c>
    </row>
    <row r="22" spans="2:17" ht="15" customHeight="1" x14ac:dyDescent="0.3">
      <c r="B22" s="3" t="s">
        <v>92</v>
      </c>
      <c r="C22" s="3" t="s">
        <v>8</v>
      </c>
      <c r="K22" s="3" t="s">
        <v>63</v>
      </c>
      <c r="L22"/>
      <c r="M22"/>
      <c r="N22"/>
      <c r="O22"/>
      <c r="Q22"/>
    </row>
    <row r="23" spans="2:17" ht="15" customHeight="1" x14ac:dyDescent="0.3">
      <c r="B23" s="3" t="s">
        <v>93</v>
      </c>
      <c r="C23" s="3" t="s">
        <v>41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97</v>
      </c>
      <c r="C24" s="3" t="s">
        <v>42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120</v>
      </c>
      <c r="C25" s="3" t="s">
        <v>106</v>
      </c>
      <c r="K25" s="122" t="s">
        <v>125</v>
      </c>
      <c r="L25"/>
      <c r="M25"/>
      <c r="N25"/>
      <c r="O25"/>
      <c r="Q25"/>
    </row>
    <row r="26" spans="2:17" ht="15" customHeight="1" x14ac:dyDescent="0.3">
      <c r="B26" s="3" t="s">
        <v>98</v>
      </c>
      <c r="C26" s="3" t="s">
        <v>10</v>
      </c>
      <c r="K26" s="122" t="s">
        <v>126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5" t="s">
        <v>118</v>
      </c>
      <c r="K28" s="5" t="s">
        <v>124</v>
      </c>
      <c r="L28"/>
      <c r="M28"/>
      <c r="N28"/>
      <c r="O28"/>
      <c r="P28"/>
      <c r="Q28"/>
    </row>
    <row r="29" spans="2:17" ht="15" customHeight="1" x14ac:dyDescent="0.3">
      <c r="B29" s="23"/>
      <c r="L29"/>
      <c r="M29"/>
      <c r="N29"/>
      <c r="O29"/>
      <c r="P29"/>
      <c r="Q29"/>
    </row>
    <row r="30" spans="2:17" ht="15" customHeight="1" x14ac:dyDescent="0.3">
      <c r="B30" s="23" t="s">
        <v>94</v>
      </c>
      <c r="K30" s="3" t="s">
        <v>127</v>
      </c>
      <c r="L30"/>
      <c r="M30"/>
      <c r="N30"/>
      <c r="O30"/>
      <c r="P30"/>
      <c r="Q30"/>
    </row>
    <row r="31" spans="2:17" ht="15" customHeight="1" x14ac:dyDescent="0.3">
      <c r="B31" s="23" t="s">
        <v>95</v>
      </c>
      <c r="K31" s="3" t="s">
        <v>128</v>
      </c>
      <c r="L31"/>
      <c r="M31"/>
      <c r="N31"/>
      <c r="O31"/>
      <c r="P31"/>
      <c r="Q31"/>
    </row>
    <row r="32" spans="2:17" ht="15" customHeight="1" x14ac:dyDescent="0.3">
      <c r="B32" s="23" t="s">
        <v>96</v>
      </c>
      <c r="K32" s="3" t="s">
        <v>129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25" r:id="rId2" xr:uid="{A280B9B9-7897-4495-83E3-4A6DC1C0DFE2}"/>
    <hyperlink ref="K4" r:id="rId3" display="https://cwendorf.github.io/BASE/EASE" xr:uid="{00000000-0004-0000-0000-000001000000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C1" zoomScaleNormal="100" workbookViewId="0">
      <selection activeCell="N7" sqref="N7:Q10"/>
    </sheetView>
  </sheetViews>
  <sheetFormatPr defaultColWidth="11.109375" defaultRowHeight="14.4" x14ac:dyDescent="0.3"/>
  <cols>
    <col min="1" max="1" width="4.5546875" customWidth="1"/>
    <col min="6" max="6" width="11.109375" style="11"/>
    <col min="9" max="10" width="4.5546875" customWidth="1"/>
    <col min="11" max="13" width="11.109375" style="113" customWidth="1"/>
    <col min="18" max="18" width="4.5546875" customWidth="1"/>
    <col min="19" max="19" width="4.5546875" hidden="1" customWidth="1"/>
    <col min="20" max="26" width="11.109375" hidden="1" customWidth="1"/>
    <col min="27" max="27" width="4.5546875" hidden="1" customWidth="1"/>
  </cols>
  <sheetData>
    <row r="1" spans="2:26" x14ac:dyDescent="0.3">
      <c r="F1"/>
      <c r="K1" s="11"/>
      <c r="L1"/>
      <c r="M1"/>
    </row>
    <row r="2" spans="2:26" ht="15" customHeight="1" x14ac:dyDescent="0.3">
      <c r="B2" s="130" t="s">
        <v>31</v>
      </c>
      <c r="C2" s="130"/>
      <c r="D2" s="130"/>
      <c r="E2" s="130"/>
      <c r="F2" s="130"/>
      <c r="G2" s="130"/>
      <c r="H2" s="130"/>
      <c r="K2" s="130" t="s">
        <v>119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2:26" ht="18" x14ac:dyDescent="0.35">
      <c r="E3" s="1"/>
      <c r="K3"/>
      <c r="L3"/>
      <c r="M3"/>
    </row>
    <row r="4" spans="2:26" ht="15.6" x14ac:dyDescent="0.3">
      <c r="B4" s="5" t="s">
        <v>31</v>
      </c>
      <c r="F4"/>
      <c r="K4" s="45" t="s">
        <v>58</v>
      </c>
      <c r="L4"/>
      <c r="M4"/>
      <c r="T4" s="45" t="s">
        <v>58</v>
      </c>
    </row>
    <row r="5" spans="2:26" ht="15" thickBot="1" x14ac:dyDescent="0.35">
      <c r="K5"/>
      <c r="L5"/>
      <c r="M5"/>
    </row>
    <row r="6" spans="2:26" ht="15" thickBot="1" x14ac:dyDescent="0.35">
      <c r="B6" s="134" t="s">
        <v>29</v>
      </c>
      <c r="C6" s="134"/>
      <c r="D6" s="134"/>
      <c r="E6" s="134"/>
      <c r="F6" s="134"/>
      <c r="G6" s="134"/>
      <c r="H6" s="134"/>
      <c r="K6" s="50" t="s">
        <v>59</v>
      </c>
      <c r="L6" s="49"/>
      <c r="M6" s="50" t="s">
        <v>0</v>
      </c>
      <c r="N6" s="50" t="s">
        <v>111</v>
      </c>
      <c r="O6" s="50" t="s">
        <v>1</v>
      </c>
      <c r="P6" s="50" t="s">
        <v>13</v>
      </c>
      <c r="Q6" s="50" t="s">
        <v>65</v>
      </c>
      <c r="T6" s="50" t="s">
        <v>59</v>
      </c>
      <c r="U6" s="50" t="s">
        <v>0</v>
      </c>
      <c r="V6" s="50" t="s">
        <v>1</v>
      </c>
      <c r="W6" s="50" t="s">
        <v>13</v>
      </c>
      <c r="X6" s="50" t="s">
        <v>65</v>
      </c>
      <c r="Y6" s="50" t="s">
        <v>2</v>
      </c>
      <c r="Z6" s="50" t="s">
        <v>81</v>
      </c>
    </row>
    <row r="7" spans="2:26" x14ac:dyDescent="0.3">
      <c r="B7" s="137"/>
      <c r="C7" s="137"/>
      <c r="D7" s="137"/>
      <c r="E7" s="137"/>
      <c r="F7" s="137"/>
      <c r="G7" s="137"/>
      <c r="H7" s="137"/>
      <c r="K7" s="52" t="str">
        <f>IF($B$26="","",$B$26)</f>
        <v/>
      </c>
      <c r="L7" s="51"/>
      <c r="M7" s="52">
        <v>1</v>
      </c>
      <c r="N7" s="114"/>
      <c r="O7" s="114"/>
      <c r="P7" s="101"/>
      <c r="Q7" s="101"/>
      <c r="T7" s="52" t="str">
        <f>IF($B$26="","",$B$26)</f>
        <v/>
      </c>
      <c r="U7" s="52">
        <v>1</v>
      </c>
      <c r="V7" s="119" t="str">
        <f t="shared" ref="V7:X11" si="0">IF(O7="","",O7)</f>
        <v/>
      </c>
      <c r="W7" s="77" t="str">
        <f t="shared" si="0"/>
        <v/>
      </c>
      <c r="X7" s="77" t="str">
        <f t="shared" si="0"/>
        <v/>
      </c>
      <c r="Y7" s="17" t="str">
        <f>IFERROR(V7-1,"")</f>
        <v/>
      </c>
      <c r="Z7" s="26" t="str">
        <f>IFERROR(X7/SQRT(V7),"")</f>
        <v/>
      </c>
    </row>
    <row r="8" spans="2:26" ht="15" thickBot="1" x14ac:dyDescent="0.35">
      <c r="B8" s="138"/>
      <c r="C8" s="138"/>
      <c r="D8" s="138"/>
      <c r="E8" s="138"/>
      <c r="F8" s="138"/>
      <c r="G8" s="138"/>
      <c r="H8" s="138"/>
      <c r="K8" s="54" t="str">
        <f>IF($B$27="","",$B$27)</f>
        <v/>
      </c>
      <c r="L8" s="53"/>
      <c r="M8" s="54">
        <v>2</v>
      </c>
      <c r="N8" s="115"/>
      <c r="O8" s="115"/>
      <c r="P8" s="103"/>
      <c r="Q8" s="103"/>
      <c r="T8" s="54" t="str">
        <f>IF($B$27="","",$B$27)</f>
        <v/>
      </c>
      <c r="U8" s="54">
        <v>2</v>
      </c>
      <c r="V8" s="120" t="str">
        <f t="shared" si="0"/>
        <v/>
      </c>
      <c r="W8" s="78" t="str">
        <f t="shared" si="0"/>
        <v/>
      </c>
      <c r="X8" s="78" t="str">
        <f t="shared" si="0"/>
        <v/>
      </c>
      <c r="Y8" s="19" t="str">
        <f>IFERROR(V8-1,"")</f>
        <v/>
      </c>
      <c r="Z8" s="28" t="str">
        <f>IFERROR(X8/SQRT(V8),"")</f>
        <v/>
      </c>
    </row>
    <row r="9" spans="2:26" ht="15" thickBot="1" x14ac:dyDescent="0.35">
      <c r="B9" s="6"/>
      <c r="C9" s="6"/>
      <c r="D9" s="6"/>
      <c r="E9" s="6"/>
      <c r="F9" s="32"/>
      <c r="G9" s="6"/>
      <c r="H9" s="6"/>
      <c r="K9" s="54" t="str">
        <f>IF($B$28="","",$B$28)</f>
        <v/>
      </c>
      <c r="L9" s="53"/>
      <c r="M9" s="54">
        <v>3</v>
      </c>
      <c r="N9" s="115"/>
      <c r="O9" s="115"/>
      <c r="P9" s="103"/>
      <c r="Q9" s="103"/>
      <c r="T9" s="54" t="str">
        <f>IF($B$28="","",$B$28)</f>
        <v/>
      </c>
      <c r="U9" s="54">
        <v>3</v>
      </c>
      <c r="V9" s="120" t="str">
        <f t="shared" si="0"/>
        <v/>
      </c>
      <c r="W9" s="78" t="str">
        <f t="shared" si="0"/>
        <v/>
      </c>
      <c r="X9" s="78" t="str">
        <f t="shared" si="0"/>
        <v/>
      </c>
      <c r="Y9" s="19" t="str">
        <f>IFERROR(V9-1,"")</f>
        <v/>
      </c>
      <c r="Z9" s="28" t="str">
        <f>IFERROR(X9/SQRT(V9),"")</f>
        <v/>
      </c>
    </row>
    <row r="10" spans="2:26" ht="15" thickBot="1" x14ac:dyDescent="0.35">
      <c r="B10" s="136" t="s">
        <v>30</v>
      </c>
      <c r="C10" s="136"/>
      <c r="D10" s="136"/>
      <c r="E10" s="136"/>
      <c r="F10" s="136"/>
      <c r="G10" s="136"/>
      <c r="H10" s="136"/>
      <c r="K10" s="54" t="str">
        <f>IF($B$29="","",$B$29)</f>
        <v/>
      </c>
      <c r="L10" s="53"/>
      <c r="M10" s="54">
        <v>4</v>
      </c>
      <c r="N10" s="115"/>
      <c r="O10" s="115"/>
      <c r="P10" s="103"/>
      <c r="Q10" s="103"/>
      <c r="T10" s="54" t="str">
        <f>IF($B$29="","",$B$29)</f>
        <v/>
      </c>
      <c r="U10" s="54">
        <v>4</v>
      </c>
      <c r="V10" s="120" t="str">
        <f t="shared" si="0"/>
        <v/>
      </c>
      <c r="W10" s="78" t="str">
        <f t="shared" si="0"/>
        <v/>
      </c>
      <c r="X10" s="78" t="str">
        <f t="shared" si="0"/>
        <v/>
      </c>
      <c r="Y10" s="19" t="str">
        <f>IFERROR(V10-1,"")</f>
        <v/>
      </c>
      <c r="Z10" s="28" t="str">
        <f>IFERROR(X10/SQRT(V10),"")</f>
        <v/>
      </c>
    </row>
    <row r="11" spans="2:26" ht="15" thickBot="1" x14ac:dyDescent="0.35">
      <c r="B11" s="131"/>
      <c r="C11" s="131"/>
      <c r="D11" s="131"/>
      <c r="E11" s="131"/>
      <c r="F11" s="131"/>
      <c r="G11" s="131"/>
      <c r="H11" s="131"/>
      <c r="K11" s="56" t="s">
        <v>48</v>
      </c>
      <c r="L11" s="116"/>
      <c r="M11" s="56" t="s">
        <v>48</v>
      </c>
      <c r="N11" s="72"/>
      <c r="O11" s="117">
        <f>IFERROR(SUM(O7:O10),"")</f>
        <v>0</v>
      </c>
      <c r="P11" s="118" t="str">
        <f>IFERROR(SUMPRODUCT(O7:O10,P7:P10)/O11,"")</f>
        <v/>
      </c>
      <c r="Q11" s="118" t="str">
        <f>IFERROR(STDEV(#REF!),"")</f>
        <v/>
      </c>
      <c r="T11" s="56" t="s">
        <v>48</v>
      </c>
      <c r="U11" s="56" t="s">
        <v>48</v>
      </c>
      <c r="V11" s="121">
        <f t="shared" si="0"/>
        <v>0</v>
      </c>
      <c r="W11" s="111" t="str">
        <f t="shared" si="0"/>
        <v/>
      </c>
      <c r="X11" s="111" t="str">
        <f t="shared" si="0"/>
        <v/>
      </c>
      <c r="Y11" s="21">
        <f>IFERROR(V11-1,"")</f>
        <v>-1</v>
      </c>
      <c r="Z11" s="29" t="str">
        <f>IFERROR(X11/SQRT(V11),"")</f>
        <v/>
      </c>
    </row>
    <row r="12" spans="2:26" x14ac:dyDescent="0.3">
      <c r="B12" s="132"/>
      <c r="C12" s="132"/>
      <c r="D12" s="132"/>
      <c r="E12" s="132"/>
      <c r="F12" s="132"/>
      <c r="G12" s="132"/>
      <c r="H12" s="132"/>
      <c r="K12" s="7"/>
      <c r="L12" s="7"/>
      <c r="M12" s="7"/>
      <c r="N12" s="7"/>
      <c r="O12" s="7"/>
      <c r="P12" s="7"/>
      <c r="Q12" s="7"/>
      <c r="T12" s="7"/>
      <c r="U12" s="7"/>
      <c r="V12" s="7"/>
      <c r="W12" s="7"/>
      <c r="X12" s="7"/>
      <c r="Y12" s="7"/>
      <c r="Z12" s="7"/>
    </row>
    <row r="13" spans="2:26" x14ac:dyDescent="0.3">
      <c r="B13" s="132"/>
      <c r="C13" s="132"/>
      <c r="D13" s="132"/>
      <c r="E13" s="132"/>
      <c r="F13" s="132"/>
      <c r="G13" s="132"/>
      <c r="H13" s="132"/>
      <c r="T13" t="s">
        <v>60</v>
      </c>
    </row>
    <row r="14" spans="2:26" ht="15" thickBot="1" x14ac:dyDescent="0.35">
      <c r="B14" s="133"/>
      <c r="C14" s="133"/>
      <c r="D14" s="133"/>
      <c r="E14" s="133"/>
      <c r="F14" s="133"/>
      <c r="G14" s="133"/>
      <c r="H14" s="133"/>
    </row>
    <row r="19" spans="2:26" ht="15.6" x14ac:dyDescent="0.3">
      <c r="B19" s="5" t="s">
        <v>39</v>
      </c>
      <c r="C19" s="10"/>
      <c r="D19" s="11"/>
      <c r="E19" s="11"/>
      <c r="G19" s="11"/>
      <c r="H19" s="12"/>
      <c r="T19" s="45" t="s">
        <v>69</v>
      </c>
      <c r="Y19" s="11"/>
      <c r="Z19" s="27"/>
    </row>
    <row r="20" spans="2:26" ht="15" thickBot="1" x14ac:dyDescent="0.35">
      <c r="B20" s="10"/>
      <c r="C20" s="10"/>
      <c r="D20" s="11"/>
      <c r="E20" s="11"/>
      <c r="G20" s="11"/>
      <c r="H20" s="11"/>
    </row>
    <row r="21" spans="2:26" ht="15" thickBot="1" x14ac:dyDescent="0.35">
      <c r="B21" s="134" t="s">
        <v>28</v>
      </c>
      <c r="C21" s="134"/>
      <c r="D21" s="135" t="s">
        <v>26</v>
      </c>
      <c r="E21" s="135"/>
      <c r="F21" s="135"/>
      <c r="G21" s="135"/>
      <c r="H21" s="8" t="s">
        <v>27</v>
      </c>
      <c r="T21" s="50" t="s">
        <v>59</v>
      </c>
      <c r="U21" s="49"/>
      <c r="V21" s="50" t="s">
        <v>70</v>
      </c>
      <c r="W21" s="50">
        <v>1</v>
      </c>
      <c r="X21" s="50">
        <v>2</v>
      </c>
      <c r="Y21" s="50">
        <v>3</v>
      </c>
      <c r="Z21" s="50">
        <v>4</v>
      </c>
    </row>
    <row r="22" spans="2:26" x14ac:dyDescent="0.3">
      <c r="B22" s="128"/>
      <c r="C22" s="128"/>
      <c r="D22" s="128"/>
      <c r="E22" s="128"/>
      <c r="F22" s="128"/>
      <c r="G22" s="128"/>
      <c r="H22" s="74"/>
      <c r="T22" s="52"/>
      <c r="U22" s="51"/>
      <c r="V22" s="52"/>
      <c r="W22" s="26">
        <v>1</v>
      </c>
      <c r="X22" s="77"/>
      <c r="Y22" s="77"/>
      <c r="Z22" s="77"/>
    </row>
    <row r="23" spans="2:26" ht="15" thickBot="1" x14ac:dyDescent="0.35">
      <c r="B23" s="127"/>
      <c r="C23" s="127"/>
      <c r="D23" s="127"/>
      <c r="E23" s="127"/>
      <c r="F23" s="127"/>
      <c r="G23" s="127"/>
      <c r="H23" s="75"/>
      <c r="T23" s="54"/>
      <c r="U23" s="53"/>
      <c r="V23" s="54"/>
      <c r="W23" s="28"/>
      <c r="X23" s="28">
        <v>1</v>
      </c>
      <c r="Y23" s="78"/>
      <c r="Z23" s="78"/>
    </row>
    <row r="24" spans="2:26" ht="15" thickBot="1" x14ac:dyDescent="0.35">
      <c r="B24" s="9"/>
      <c r="C24" s="9"/>
      <c r="D24" s="9"/>
      <c r="E24" s="9"/>
      <c r="F24" s="9"/>
      <c r="G24" s="9"/>
      <c r="H24" s="9"/>
      <c r="T24" s="54"/>
      <c r="U24" s="53"/>
      <c r="V24" s="54"/>
      <c r="W24" s="28"/>
      <c r="X24" s="28"/>
      <c r="Y24" s="28">
        <v>1</v>
      </c>
      <c r="Z24" s="78"/>
    </row>
    <row r="25" spans="2:26" ht="15" thickBot="1" x14ac:dyDescent="0.35">
      <c r="B25" s="70" t="str">
        <f>IF(B22="","",B22)</f>
        <v/>
      </c>
      <c r="C25" s="70"/>
      <c r="D25" s="69" t="s">
        <v>26</v>
      </c>
      <c r="E25" s="69"/>
      <c r="F25" s="69"/>
      <c r="G25" s="69"/>
      <c r="H25" s="8" t="s">
        <v>27</v>
      </c>
      <c r="T25" s="56"/>
      <c r="U25" s="55"/>
      <c r="V25" s="56"/>
      <c r="W25" s="29"/>
      <c r="X25" s="29"/>
      <c r="Y25" s="29"/>
      <c r="Z25" s="29">
        <v>1</v>
      </c>
    </row>
    <row r="26" spans="2:26" x14ac:dyDescent="0.3">
      <c r="B26" s="128"/>
      <c r="C26" s="128"/>
      <c r="D26" s="128"/>
      <c r="E26" s="128"/>
      <c r="F26" s="128"/>
      <c r="G26" s="128"/>
      <c r="H26" s="74"/>
      <c r="T26" s="7"/>
      <c r="U26" s="7"/>
      <c r="V26" s="7"/>
      <c r="W26" s="7"/>
      <c r="X26" s="7"/>
      <c r="Y26" s="7"/>
      <c r="Z26" s="7"/>
    </row>
    <row r="27" spans="2:26" x14ac:dyDescent="0.3">
      <c r="B27" s="129"/>
      <c r="C27" s="129"/>
      <c r="D27" s="129"/>
      <c r="E27" s="129"/>
      <c r="F27" s="129"/>
      <c r="G27" s="129"/>
      <c r="H27" s="40"/>
      <c r="T27" t="s">
        <v>71</v>
      </c>
    </row>
    <row r="28" spans="2:26" x14ac:dyDescent="0.3">
      <c r="B28" s="129"/>
      <c r="C28" s="129"/>
      <c r="D28" s="129"/>
      <c r="E28" s="129"/>
      <c r="F28" s="129"/>
      <c r="G28" s="129"/>
      <c r="H28" s="40"/>
    </row>
    <row r="29" spans="2:26" ht="16.2" thickBot="1" x14ac:dyDescent="0.35">
      <c r="B29" s="127"/>
      <c r="C29" s="127"/>
      <c r="D29" s="127"/>
      <c r="E29" s="127"/>
      <c r="F29" s="127"/>
      <c r="G29" s="127"/>
      <c r="H29" s="75"/>
      <c r="T29" s="46" t="s">
        <v>51</v>
      </c>
      <c r="U29" s="44"/>
      <c r="V29" s="44"/>
      <c r="W29" s="44"/>
      <c r="X29" s="44"/>
      <c r="Y29" s="44"/>
      <c r="Z29" s="3"/>
    </row>
    <row r="30" spans="2:26" ht="15" thickBot="1" x14ac:dyDescent="0.35">
      <c r="B30" s="7"/>
      <c r="C30" s="7"/>
      <c r="D30" s="7"/>
      <c r="E30" s="7"/>
      <c r="F30" s="33"/>
      <c r="G30" s="7"/>
      <c r="H30" s="7"/>
      <c r="S30" s="3"/>
      <c r="T30" s="44"/>
      <c r="U30" s="44"/>
      <c r="V30" s="44"/>
      <c r="W30" s="44"/>
      <c r="X30" s="44"/>
      <c r="Y30" s="44"/>
      <c r="Z30" s="3"/>
    </row>
    <row r="31" spans="2:26" ht="15" thickBot="1" x14ac:dyDescent="0.35">
      <c r="B31" s="34"/>
      <c r="C31" s="34"/>
      <c r="E31" s="34"/>
      <c r="F31" s="34"/>
      <c r="S31" s="3"/>
      <c r="T31" s="59" t="s">
        <v>52</v>
      </c>
      <c r="U31" s="59" t="s">
        <v>53</v>
      </c>
      <c r="V31" s="59" t="s">
        <v>2</v>
      </c>
      <c r="W31" s="59" t="s">
        <v>54</v>
      </c>
      <c r="X31" s="59" t="s">
        <v>47</v>
      </c>
      <c r="Y31" s="59" t="s">
        <v>49</v>
      </c>
      <c r="Z31" s="59" t="s">
        <v>55</v>
      </c>
    </row>
    <row r="32" spans="2:26" x14ac:dyDescent="0.3">
      <c r="B32" s="34"/>
      <c r="C32" s="34"/>
      <c r="E32" s="34"/>
      <c r="F32" s="34"/>
      <c r="S32" s="3"/>
      <c r="T32" s="95" t="s">
        <v>56</v>
      </c>
      <c r="U32" s="26" t="e">
        <f>U34-U33</f>
        <v>#VALUE!</v>
      </c>
      <c r="V32" s="61">
        <f>IFERROR(V34-V33,"")</f>
        <v>-1</v>
      </c>
      <c r="W32" s="60" t="str">
        <f>IFERROR(U32/V32,"")</f>
        <v/>
      </c>
      <c r="X32" s="60" t="str">
        <f>IFERROR(W32/W33,"")</f>
        <v/>
      </c>
      <c r="Y32" s="60" t="str">
        <f>IFERROR(IF(FDIST(X32,V32,V33)&lt;0.001,"&lt; 0.001",FDIST(X32,V32,V33)),"")</f>
        <v/>
      </c>
      <c r="Z32" s="18" t="str">
        <f>IFERROR(U32/U34,"")</f>
        <v/>
      </c>
    </row>
    <row r="33" spans="2:26" x14ac:dyDescent="0.3">
      <c r="B33" s="34"/>
      <c r="C33" s="34"/>
      <c r="E33" s="34"/>
      <c r="F33" s="34"/>
      <c r="S33" s="3"/>
      <c r="T33" s="96" t="s">
        <v>57</v>
      </c>
      <c r="U33" s="62">
        <f t="array" ref="U33">SUM(IF(V7:V10&lt;&gt;"",X7:X10^2*((V7:V10)-1),0))</f>
        <v>0</v>
      </c>
      <c r="V33" s="63">
        <f t="array" ref="V33">SUM(IF(V7:V10&lt;&gt;"",V7:V10-1))</f>
        <v>0</v>
      </c>
      <c r="W33" s="64" t="str">
        <f>IFERROR(U33/V33,"")</f>
        <v/>
      </c>
      <c r="X33" s="62"/>
      <c r="Y33" s="65"/>
      <c r="Z33" s="19"/>
    </row>
    <row r="34" spans="2:26" ht="15" thickBot="1" x14ac:dyDescent="0.35">
      <c r="B34" s="34"/>
      <c r="C34" s="34"/>
      <c r="E34" s="34"/>
      <c r="F34" s="34"/>
      <c r="S34" s="3"/>
      <c r="T34" s="97" t="s">
        <v>46</v>
      </c>
      <c r="U34" s="66" t="e">
        <f>(X11^2)*(V11-1)</f>
        <v>#VALUE!</v>
      </c>
      <c r="V34" s="67">
        <f>V11-1</f>
        <v>-1</v>
      </c>
      <c r="W34" s="66" t="str">
        <f>IFERROR(U34/V34,"")</f>
        <v/>
      </c>
      <c r="X34" s="66"/>
      <c r="Y34" s="66"/>
      <c r="Z34" s="21"/>
    </row>
    <row r="35" spans="2:26" x14ac:dyDescent="0.3">
      <c r="B35" s="34"/>
      <c r="C35" s="34"/>
      <c r="E35" s="34"/>
      <c r="F35" s="34"/>
      <c r="S35" s="3"/>
      <c r="T35" s="2"/>
      <c r="U35" s="2"/>
      <c r="V35" s="2"/>
      <c r="W35" s="2"/>
      <c r="X35" s="2"/>
      <c r="Y35" s="2"/>
      <c r="Z35" s="2"/>
    </row>
    <row r="36" spans="2:26" x14ac:dyDescent="0.3">
      <c r="B36" s="34"/>
      <c r="C36" s="34"/>
      <c r="E36" s="34"/>
      <c r="F36" s="34"/>
    </row>
    <row r="37" spans="2:26" x14ac:dyDescent="0.3">
      <c r="B37" s="34"/>
      <c r="C37" s="34"/>
      <c r="E37" s="34"/>
      <c r="F37" s="34"/>
    </row>
    <row r="38" spans="2:26" x14ac:dyDescent="0.3">
      <c r="B38" s="34"/>
      <c r="C38" s="34"/>
    </row>
    <row r="39" spans="2:26" x14ac:dyDescent="0.3">
      <c r="B39" s="34"/>
      <c r="C39" s="34"/>
    </row>
    <row r="40" spans="2:26" x14ac:dyDescent="0.3">
      <c r="B40" s="34"/>
      <c r="C40" s="34"/>
    </row>
    <row r="41" spans="2:26" x14ac:dyDescent="0.3">
      <c r="B41" s="34"/>
      <c r="C41" s="34"/>
    </row>
    <row r="42" spans="2:26" x14ac:dyDescent="0.3">
      <c r="B42" s="34"/>
      <c r="C42" s="34"/>
    </row>
    <row r="43" spans="2:26" x14ac:dyDescent="0.3">
      <c r="B43" s="34"/>
      <c r="C43" s="34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26" zoomScaleNormal="100" workbookViewId="0">
      <selection activeCell="L40" sqref="L40: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30" t="s">
        <v>40</v>
      </c>
      <c r="C2" s="130"/>
      <c r="D2" s="130"/>
      <c r="E2" s="130"/>
      <c r="F2" s="130"/>
      <c r="G2" s="130"/>
      <c r="H2" s="130"/>
      <c r="K2" s="130" t="s">
        <v>73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5" t="s">
        <v>112</v>
      </c>
      <c r="C4" s="3"/>
      <c r="D4" s="3"/>
      <c r="E4" s="3"/>
      <c r="F4" s="3"/>
      <c r="G4" s="24" t="s">
        <v>37</v>
      </c>
      <c r="H4" s="30">
        <v>95</v>
      </c>
      <c r="I4" s="3"/>
      <c r="K4" s="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7" t="s">
        <v>0</v>
      </c>
      <c r="C6" s="47" t="s">
        <v>1</v>
      </c>
      <c r="D6" s="47" t="s">
        <v>13</v>
      </c>
      <c r="E6" s="47" t="s">
        <v>65</v>
      </c>
      <c r="F6" s="47" t="s">
        <v>81</v>
      </c>
      <c r="G6" s="139" t="s">
        <v>84</v>
      </c>
      <c r="H6" s="139"/>
      <c r="J6" s="3"/>
      <c r="K6" s="47" t="s">
        <v>0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</row>
    <row r="7" spans="1:26" x14ac:dyDescent="0.3">
      <c r="A7" s="3"/>
      <c r="B7" s="17" t="str">
        <f>IF(Data!T7="","",Data!T7)</f>
        <v/>
      </c>
      <c r="C7" s="57" t="str">
        <f>Data!V7</f>
        <v/>
      </c>
      <c r="D7" s="26" t="str">
        <f>Data!W7</f>
        <v/>
      </c>
      <c r="E7" s="26" t="str">
        <f>Data!X7</f>
        <v/>
      </c>
      <c r="F7" s="26" t="str">
        <f>Data!Z7</f>
        <v/>
      </c>
      <c r="G7" s="18" t="str">
        <f>IFERROR(Data!W7-TINV(1-$H$4/100,Data!V7-1)*Data!Z7,"")</f>
        <v/>
      </c>
      <c r="H7" s="18" t="str">
        <f>IFERROR(Data!W7+TINV(1-$H$4/100,Data!V7-1)*Data!Z7,"")</f>
        <v/>
      </c>
      <c r="J7" s="3"/>
      <c r="K7" s="17" t="str">
        <f>B7</f>
        <v/>
      </c>
      <c r="L7" s="18" t="str">
        <f>IFERROR((D7-C40)/E7,"")</f>
        <v/>
      </c>
      <c r="M7" s="18" t="str">
        <f>IFERROR((1-3/(4*G40-1))*L7,"")</f>
        <v/>
      </c>
      <c r="N7" s="41" t="str">
        <f>Data!Y7</f>
        <v/>
      </c>
      <c r="O7" s="18" t="str">
        <f>IFERROR(SQRT((G40+2)/(Data!V7*Data!V7)+((L7^2)/(2*(G40+2)))),"")</f>
        <v/>
      </c>
      <c r="P7" s="26" t="str">
        <f>IFERROR(Y17*SQRT(1/C7),"")</f>
        <v/>
      </c>
      <c r="Q7" s="26" t="str">
        <f>IFERROR(Z17*SQRT(1/C7),"")</f>
        <v/>
      </c>
    </row>
    <row r="8" spans="1:26" x14ac:dyDescent="0.3">
      <c r="A8" s="3"/>
      <c r="B8" s="19" t="str">
        <f>IF(Data!T8="","",Data!T8)</f>
        <v/>
      </c>
      <c r="C8" s="81" t="str">
        <f>Data!V8</f>
        <v/>
      </c>
      <c r="D8" s="28" t="str">
        <f>Data!W8</f>
        <v/>
      </c>
      <c r="E8" s="28" t="str">
        <f>Data!X8</f>
        <v/>
      </c>
      <c r="F8" s="28" t="str">
        <f>Data!Z8</f>
        <v/>
      </c>
      <c r="G8" s="20" t="str">
        <f>IFERROR(Data!W8-TINV(1-$H$4/100,Data!V8-1)*Data!Z8,"")</f>
        <v/>
      </c>
      <c r="H8" s="20" t="str">
        <f>IFERROR(Data!W8+TINV(1-$H$4/100,Data!V8-1)*Data!Z8,"")</f>
        <v/>
      </c>
      <c r="J8" s="3"/>
      <c r="K8" s="19" t="str">
        <f>B8</f>
        <v/>
      </c>
      <c r="L8" s="20" t="str">
        <f>IFERROR((D8-C41)/E8,"")</f>
        <v/>
      </c>
      <c r="M8" s="20" t="str">
        <f>IFERROR((1-3/(4*G41-1))*L8,"")</f>
        <v/>
      </c>
      <c r="N8" s="42" t="str">
        <f>Data!Y8</f>
        <v/>
      </c>
      <c r="O8" s="20" t="str">
        <f>IFERROR(SQRT((G41+2)/(Data!V8*Data!V8)+((L8^2)/(2*(G41+2)))),"")</f>
        <v/>
      </c>
      <c r="P8" s="28" t="str">
        <f>IFERROR(Y18*SQRT(1/C8),"")</f>
        <v/>
      </c>
      <c r="Q8" s="28" t="str">
        <f>IFERROR(Z18*SQRT(1/C8),"")</f>
        <v/>
      </c>
    </row>
    <row r="9" spans="1:26" x14ac:dyDescent="0.3">
      <c r="A9" s="3"/>
      <c r="B9" s="19" t="str">
        <f>IF(Data!T9="","",Data!T9)</f>
        <v/>
      </c>
      <c r="C9" s="81" t="str">
        <f>Data!V9</f>
        <v/>
      </c>
      <c r="D9" s="28" t="str">
        <f>Data!W9</f>
        <v/>
      </c>
      <c r="E9" s="28" t="str">
        <f>Data!X9</f>
        <v/>
      </c>
      <c r="F9" s="28" t="str">
        <f>Data!Z9</f>
        <v/>
      </c>
      <c r="G9" s="20" t="str">
        <f>IFERROR(Data!W9-TINV(1-$H$4/100,Data!V9-1)*Data!Z9,"")</f>
        <v/>
      </c>
      <c r="H9" s="20" t="str">
        <f>IFERROR(Data!W9+TINV(1-$H$4/100,Data!V9-1)*Data!Z9,"")</f>
        <v/>
      </c>
      <c r="J9" s="3"/>
      <c r="K9" s="19" t="str">
        <f>B9</f>
        <v/>
      </c>
      <c r="L9" s="20" t="str">
        <f>IFERROR((D9-C42)/E9,"")</f>
        <v/>
      </c>
      <c r="M9" s="20" t="str">
        <f>IFERROR((1-3/(4*G42-1))*L9,"")</f>
        <v/>
      </c>
      <c r="N9" s="42" t="str">
        <f>Data!Y9</f>
        <v/>
      </c>
      <c r="O9" s="20" t="str">
        <f>IFERROR(SQRT((G42+2)/(Data!V9*Data!V9)+((L9^2)/(2*(G42+2)))),"")</f>
        <v/>
      </c>
      <c r="P9" s="28" t="str">
        <f>IFERROR(Y19*SQRT(1/C9),"")</f>
        <v/>
      </c>
      <c r="Q9" s="28" t="str">
        <f>IFERROR(Z19*SQRT(1/C9),"")</f>
        <v/>
      </c>
    </row>
    <row r="10" spans="1:26" ht="15" thickBot="1" x14ac:dyDescent="0.35">
      <c r="A10" s="3"/>
      <c r="B10" s="19" t="str">
        <f>IF(Data!T10="","",Data!T10)</f>
        <v/>
      </c>
      <c r="C10" s="81" t="str">
        <f>Data!V10</f>
        <v/>
      </c>
      <c r="D10" s="28" t="str">
        <f>Data!W10</f>
        <v/>
      </c>
      <c r="E10" s="28" t="str">
        <f>Data!X10</f>
        <v/>
      </c>
      <c r="F10" s="28" t="str">
        <f>Data!Z10</f>
        <v/>
      </c>
      <c r="G10" s="20" t="str">
        <f>IFERROR(Data!W10-TINV(1-$H$4/100,Data!V10-1)*Data!Z10,"")</f>
        <v/>
      </c>
      <c r="H10" s="20" t="str">
        <f>IFERROR(Data!W10+TINV(1-$H$4/100,Data!V10-1)*Data!Z10,"")</f>
        <v/>
      </c>
      <c r="J10" s="3"/>
      <c r="K10" s="94" t="str">
        <f>B10</f>
        <v/>
      </c>
      <c r="L10" s="82" t="str">
        <f>IFERROR((D10-C43)/E10,"")</f>
        <v/>
      </c>
      <c r="M10" s="82" t="str">
        <f>IFERROR((1-3/(4*G43-1))*L10,"")</f>
        <v/>
      </c>
      <c r="N10" s="84" t="str">
        <f>Data!Y10</f>
        <v/>
      </c>
      <c r="O10" s="20" t="str">
        <f>IFERROR(SQRT((G43+2)/(Data!V10*Data!V10)+((L10^2)/(2*(G43+2)))),"")</f>
        <v/>
      </c>
      <c r="P10" s="28" t="str">
        <f>IFERROR(Y20*SQRT(1/C10),"")</f>
        <v/>
      </c>
      <c r="Q10" s="28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5" t="s">
        <v>114</v>
      </c>
      <c r="C14" s="3"/>
      <c r="D14" s="3"/>
      <c r="E14" s="3"/>
      <c r="F14" s="3"/>
      <c r="G14" s="3"/>
      <c r="H14" s="3"/>
      <c r="I14" s="3"/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3"/>
      <c r="B16" s="88" t="s">
        <v>77</v>
      </c>
      <c r="C16" s="39"/>
      <c r="D16" s="39"/>
      <c r="E16" s="39"/>
      <c r="F16" s="39"/>
      <c r="G16" s="88" t="s">
        <v>79</v>
      </c>
      <c r="H16" s="39"/>
      <c r="I16" s="23"/>
      <c r="J16" s="3"/>
      <c r="K16" s="88" t="s">
        <v>77</v>
      </c>
      <c r="L16" s="39"/>
      <c r="M16" s="39"/>
      <c r="N16" s="35"/>
      <c r="O16" s="89"/>
      <c r="P16" s="88" t="s">
        <v>79</v>
      </c>
      <c r="Q16" s="39"/>
      <c r="R16" s="68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1:26" x14ac:dyDescent="0.3">
      <c r="A17" s="23"/>
      <c r="B17" s="36" t="s">
        <v>0</v>
      </c>
      <c r="C17" s="36" t="s">
        <v>75</v>
      </c>
      <c r="D17" s="36" t="s">
        <v>72</v>
      </c>
      <c r="E17" s="35"/>
      <c r="F17" s="39"/>
      <c r="G17" s="36" t="s">
        <v>34</v>
      </c>
      <c r="H17" s="36" t="s">
        <v>75</v>
      </c>
      <c r="I17" s="23"/>
      <c r="J17" s="3"/>
      <c r="K17" s="36" t="s">
        <v>0</v>
      </c>
      <c r="L17" s="36" t="s">
        <v>75</v>
      </c>
      <c r="M17" s="36" t="s">
        <v>72</v>
      </c>
      <c r="N17" s="39"/>
      <c r="O17" s="89"/>
      <c r="P17" s="36" t="s">
        <v>34</v>
      </c>
      <c r="Q17" s="36" t="s">
        <v>75</v>
      </c>
      <c r="R17" s="68"/>
      <c r="S17" s="85"/>
      <c r="T17" s="26" t="e">
        <f>EXP(((LN(2)-LN(G40))/2)+GAMMALN((G40+1)/2)-GAMMALN(G40/2))</f>
        <v>#VALUE!</v>
      </c>
      <c r="U17" s="26" t="e">
        <f>T17*F40</f>
        <v>#VALUE!</v>
      </c>
      <c r="V17" s="26" t="e">
        <f>1+(F40^2)*(1-T17^2)</f>
        <v>#VALUE!</v>
      </c>
      <c r="W17" s="26" t="e">
        <f>(2*U17^3)-((2*G40-1)/G40)*(F40^2*U17)</f>
        <v>#VALUE!</v>
      </c>
      <c r="X17" s="11" t="e">
        <f>W17/SQRT(V17)^3</f>
        <v>#VALUE!</v>
      </c>
      <c r="Y17" s="27" t="e">
        <f t="shared" ref="Y17:Z20" si="0">IF($X17&lt;0.001,Y29,Y23)</f>
        <v>#VALUE!</v>
      </c>
      <c r="Z17" s="27" t="e">
        <f t="shared" si="0"/>
        <v>#VALUE!</v>
      </c>
    </row>
    <row r="18" spans="1:26" x14ac:dyDescent="0.3">
      <c r="A18" s="23"/>
      <c r="B18" s="35">
        <v>1.1000000000000001</v>
      </c>
      <c r="C18" s="38" t="e">
        <f>IF(H7="",NA(),H7)</f>
        <v>#N/A</v>
      </c>
      <c r="D18" s="38" t="e">
        <f t="shared" ref="D18:D20" si="1">C18</f>
        <v>#N/A</v>
      </c>
      <c r="E18" s="39"/>
      <c r="F18" s="39"/>
      <c r="G18" s="37">
        <v>0.5</v>
      </c>
      <c r="H18" s="37">
        <f>C$40</f>
        <v>0</v>
      </c>
      <c r="I18" s="23"/>
      <c r="J18" s="3"/>
      <c r="K18" s="35">
        <v>1.1000000000000001</v>
      </c>
      <c r="L18" s="38" t="e">
        <f>IF(Q7="",NA(),Q7)</f>
        <v>#N/A</v>
      </c>
      <c r="M18" s="38" t="e">
        <f t="shared" ref="M18:M29" si="2">L18</f>
        <v>#N/A</v>
      </c>
      <c r="N18" s="39"/>
      <c r="O18" s="89"/>
      <c r="P18" s="37">
        <v>0.5</v>
      </c>
      <c r="Q18" s="37">
        <f>L$40</f>
        <v>0</v>
      </c>
      <c r="R18" s="68"/>
      <c r="T18" s="28" t="e">
        <f>EXP(((LN(2)-LN(G41))/2)+GAMMALN((G41+1)/2)-GAMMALN(G41/2))</f>
        <v>#VALUE!</v>
      </c>
      <c r="U18" s="28" t="e">
        <f>T18*F41</f>
        <v>#VALUE!</v>
      </c>
      <c r="V18" s="28" t="e">
        <f>1+(F41^2)*(1-T18^2)</f>
        <v>#VALUE!</v>
      </c>
      <c r="W18" s="28" t="e">
        <f>(2*U18^3)-((2*G41-1)/G41)*(F41^2*U18)</f>
        <v>#VALUE!</v>
      </c>
      <c r="X18" s="11" t="e">
        <f>W18/SQRT(V18)^3</f>
        <v>#VALUE!</v>
      </c>
      <c r="Y18" s="27" t="e">
        <f t="shared" si="0"/>
        <v>#VALUE!</v>
      </c>
      <c r="Z18" s="27" t="e">
        <f t="shared" si="0"/>
        <v>#VALUE!</v>
      </c>
    </row>
    <row r="19" spans="1:26" x14ac:dyDescent="0.3">
      <c r="A19" s="23"/>
      <c r="B19" s="35">
        <v>1.1000000000000001</v>
      </c>
      <c r="C19" s="37" t="e">
        <f>IF(D7="",NA(),D7)</f>
        <v>#N/A</v>
      </c>
      <c r="D19" s="38" t="e">
        <f t="shared" si="1"/>
        <v>#N/A</v>
      </c>
      <c r="E19" s="39"/>
      <c r="F19" s="39"/>
      <c r="G19" s="37">
        <v>1</v>
      </c>
      <c r="H19" s="37">
        <f>C$40</f>
        <v>0</v>
      </c>
      <c r="I19" s="23"/>
      <c r="J19" s="3"/>
      <c r="K19" s="35">
        <v>1.1000000000000001</v>
      </c>
      <c r="L19" s="37" t="e">
        <f>IF(M7="",NA(),M7)</f>
        <v>#N/A</v>
      </c>
      <c r="M19" s="38" t="e">
        <f t="shared" si="2"/>
        <v>#N/A</v>
      </c>
      <c r="N19" s="39"/>
      <c r="O19" s="89"/>
      <c r="P19" s="37">
        <v>1</v>
      </c>
      <c r="Q19" s="37">
        <f>L$40</f>
        <v>0</v>
      </c>
      <c r="R19" s="68"/>
      <c r="T19" s="28" t="e">
        <f>EXP(((LN(2)-LN(G42))/2)+GAMMALN((G42+1)/2)-GAMMALN(G42/2))</f>
        <v>#VALUE!</v>
      </c>
      <c r="U19" s="28" t="e">
        <f>T19*F42</f>
        <v>#VALUE!</v>
      </c>
      <c r="V19" s="28" t="e">
        <f>1+(F42^2)*(1-T19^2)</f>
        <v>#VALUE!</v>
      </c>
      <c r="W19" s="28" t="e">
        <f>(2*U19^3)-((2*G42-1)/G42)*(F42^2*U19)</f>
        <v>#VALUE!</v>
      </c>
      <c r="X19" s="11" t="e">
        <f>W19/SQRT(V19)^3</f>
        <v>#VALUE!</v>
      </c>
      <c r="Y19" s="27" t="e">
        <f t="shared" si="0"/>
        <v>#VALUE!</v>
      </c>
      <c r="Z19" s="27" t="e">
        <f t="shared" si="0"/>
        <v>#VALUE!</v>
      </c>
    </row>
    <row r="20" spans="1:26" ht="15" thickBot="1" x14ac:dyDescent="0.35">
      <c r="A20" s="23"/>
      <c r="B20" s="35">
        <v>1.1000000000000001</v>
      </c>
      <c r="C20" s="38" t="e">
        <f>IF(G7="",NA(),G7)</f>
        <v>#N/A</v>
      </c>
      <c r="D20" s="38" t="e">
        <f t="shared" si="1"/>
        <v>#N/A</v>
      </c>
      <c r="E20" s="39"/>
      <c r="F20" s="39"/>
      <c r="G20" s="37">
        <v>1.5</v>
      </c>
      <c r="H20" s="37">
        <f>C$40</f>
        <v>0</v>
      </c>
      <c r="I20" s="23"/>
      <c r="J20" s="3"/>
      <c r="K20" s="35">
        <v>1.1000000000000001</v>
      </c>
      <c r="L20" s="38" t="e">
        <f>IF(P7="",NA(),P7)</f>
        <v>#N/A</v>
      </c>
      <c r="M20" s="38" t="e">
        <f t="shared" si="2"/>
        <v>#N/A</v>
      </c>
      <c r="N20" s="39"/>
      <c r="O20" s="89"/>
      <c r="P20" s="37">
        <v>1.5</v>
      </c>
      <c r="Q20" s="37">
        <f>L$40</f>
        <v>0</v>
      </c>
      <c r="R20" s="68"/>
      <c r="T20" s="28" t="e">
        <f>EXP(((LN(2)-LN(G43))/2)+GAMMALN((G43+1)/2)-GAMMALN(G43/2))</f>
        <v>#VALUE!</v>
      </c>
      <c r="U20" s="28" t="e">
        <f>T20*F43</f>
        <v>#VALUE!</v>
      </c>
      <c r="V20" s="28" t="e">
        <f>1+(F43^2)*(1-T20^2)</f>
        <v>#VALUE!</v>
      </c>
      <c r="W20" s="28" t="e">
        <f>(2*U20^3)-((2*G43-1)/G43)*(F43^2*U20)</f>
        <v>#VALUE!</v>
      </c>
      <c r="X20" s="11" t="e">
        <f>W20/SQRT(V20)^3</f>
        <v>#VALUE!</v>
      </c>
      <c r="Y20" s="27" t="e">
        <f t="shared" si="0"/>
        <v>#VALUE!</v>
      </c>
      <c r="Z20" s="27" t="e">
        <f t="shared" si="0"/>
        <v>#VALUE!</v>
      </c>
    </row>
    <row r="21" spans="1:26" ht="15" thickBot="1" x14ac:dyDescent="0.35">
      <c r="A21" s="23"/>
      <c r="B21" s="35">
        <v>2.1</v>
      </c>
      <c r="C21" s="38" t="e">
        <f>IF(H8="",NA(),H8)</f>
        <v>#N/A</v>
      </c>
      <c r="D21" s="38" t="e">
        <f t="shared" ref="D21:D23" si="3">C21</f>
        <v>#N/A</v>
      </c>
      <c r="E21" s="39"/>
      <c r="F21" s="39"/>
      <c r="G21" s="37">
        <v>1.5</v>
      </c>
      <c r="H21" s="37">
        <f>C$41</f>
        <v>0</v>
      </c>
      <c r="I21" s="23"/>
      <c r="J21" s="3"/>
      <c r="K21" s="35">
        <v>2.1</v>
      </c>
      <c r="L21" s="38" t="e">
        <f>IF(Q8="",NA(),Q8)</f>
        <v>#N/A</v>
      </c>
      <c r="M21" s="38" t="e">
        <f t="shared" si="2"/>
        <v>#N/A</v>
      </c>
      <c r="N21" s="89"/>
      <c r="O21" s="89"/>
      <c r="P21" s="37">
        <v>1.5</v>
      </c>
      <c r="Q21" s="37">
        <f>L$41</f>
        <v>0</v>
      </c>
      <c r="R21" s="68"/>
      <c r="T21" s="86"/>
      <c r="U21" s="86"/>
      <c r="V21" s="86"/>
      <c r="W21" s="86"/>
      <c r="X21" s="86"/>
      <c r="Y21" s="86"/>
      <c r="Z21" s="86"/>
    </row>
    <row r="22" spans="1:26" ht="15" thickBot="1" x14ac:dyDescent="0.35">
      <c r="A22" s="23"/>
      <c r="B22" s="35">
        <v>2.1</v>
      </c>
      <c r="C22" s="37" t="e">
        <f>IF(D8="",NA(),D8)</f>
        <v>#N/A</v>
      </c>
      <c r="D22" s="38" t="e">
        <f t="shared" si="3"/>
        <v>#N/A</v>
      </c>
      <c r="E22" s="38"/>
      <c r="F22" s="39"/>
      <c r="G22" s="37">
        <v>2</v>
      </c>
      <c r="H22" s="37">
        <f>C$41</f>
        <v>0</v>
      </c>
      <c r="I22" s="23"/>
      <c r="J22" s="3"/>
      <c r="K22" s="35">
        <v>2.1</v>
      </c>
      <c r="L22" s="37" t="e">
        <f>IF(M8="",NA(),M8)</f>
        <v>#N/A</v>
      </c>
      <c r="M22" s="38" t="e">
        <f t="shared" si="2"/>
        <v>#N/A</v>
      </c>
      <c r="N22" s="89"/>
      <c r="O22" s="89"/>
      <c r="P22" s="37">
        <v>2</v>
      </c>
      <c r="Q22" s="37">
        <f>L$41</f>
        <v>0</v>
      </c>
      <c r="R22" s="68"/>
      <c r="T22" s="58" t="s">
        <v>16</v>
      </c>
      <c r="U22" s="58" t="s">
        <v>17</v>
      </c>
      <c r="V22" s="58" t="s">
        <v>18</v>
      </c>
      <c r="W22" s="58" t="s">
        <v>19</v>
      </c>
      <c r="X22" s="58" t="s">
        <v>20</v>
      </c>
      <c r="Y22" s="58" t="s">
        <v>21</v>
      </c>
      <c r="Z22" s="58" t="s">
        <v>22</v>
      </c>
    </row>
    <row r="23" spans="1:26" x14ac:dyDescent="0.3">
      <c r="A23" s="23"/>
      <c r="B23" s="35">
        <v>2.1</v>
      </c>
      <c r="C23" s="38" t="e">
        <f>IF(G8="",NA(),G8)</f>
        <v>#N/A</v>
      </c>
      <c r="D23" s="38" t="e">
        <f t="shared" si="3"/>
        <v>#N/A</v>
      </c>
      <c r="E23" s="38"/>
      <c r="F23" s="39"/>
      <c r="G23" s="37">
        <v>2.5</v>
      </c>
      <c r="H23" s="37">
        <f>C$41</f>
        <v>0</v>
      </c>
      <c r="I23" s="23"/>
      <c r="J23" s="3"/>
      <c r="K23" s="35">
        <v>2.1</v>
      </c>
      <c r="L23" s="38" t="e">
        <f>IF(P8="",NA(),P8)</f>
        <v>#N/A</v>
      </c>
      <c r="M23" s="38" t="e">
        <f t="shared" si="2"/>
        <v>#N/A</v>
      </c>
      <c r="N23" s="89"/>
      <c r="O23" s="89"/>
      <c r="P23" s="37">
        <v>2.5</v>
      </c>
      <c r="Q23" s="37">
        <f>L$41</f>
        <v>0</v>
      </c>
      <c r="R23" s="68"/>
      <c r="T23" s="26" t="e">
        <f>W17/(4*V17)</f>
        <v>#VALUE!</v>
      </c>
      <c r="U23" s="26" t="e">
        <f>V17/(2*T23^2)</f>
        <v>#VALUE!</v>
      </c>
      <c r="V23" s="26" t="e">
        <f>U17-(U23*T23)</f>
        <v>#VALUE!</v>
      </c>
      <c r="W23" s="26" t="e">
        <f>2*GAMMAINV((1-$Q$4/100)/2,U23/2,1)</f>
        <v>#VALUE!</v>
      </c>
      <c r="X23" s="26" t="e">
        <f>2*GAMMAINV(1-(1-$Q$4/100)/2,U23/2,1)</f>
        <v>#VALUE!</v>
      </c>
      <c r="Y23" s="26" t="e">
        <f>IF(F40&gt;0,V23+(T23*W23),V23+(T23*X23))</f>
        <v>#VALUE!</v>
      </c>
      <c r="Z23" s="26" t="e">
        <f>IF(F40&gt;0,V23+(T23*X23),V23+(T23*W23))</f>
        <v>#VALUE!</v>
      </c>
    </row>
    <row r="24" spans="1:26" x14ac:dyDescent="0.3">
      <c r="A24" s="23"/>
      <c r="B24" s="35">
        <v>3.1</v>
      </c>
      <c r="C24" s="38" t="e">
        <f>IF(H9="",NA(),H9)</f>
        <v>#N/A</v>
      </c>
      <c r="D24" s="38" t="e">
        <f t="shared" ref="D24:D26" si="4">C24</f>
        <v>#N/A</v>
      </c>
      <c r="E24" s="38"/>
      <c r="F24" s="39"/>
      <c r="G24" s="37">
        <v>2.5</v>
      </c>
      <c r="H24" s="37">
        <f>C$42</f>
        <v>0</v>
      </c>
      <c r="I24" s="23"/>
      <c r="J24" s="3"/>
      <c r="K24" s="35">
        <v>3.1</v>
      </c>
      <c r="L24" s="38" t="e">
        <f>IF(Q9="",NA(),Q9)</f>
        <v>#N/A</v>
      </c>
      <c r="M24" s="38" t="e">
        <f t="shared" si="2"/>
        <v>#N/A</v>
      </c>
      <c r="N24" s="89"/>
      <c r="O24" s="89"/>
      <c r="P24" s="37">
        <v>2.5</v>
      </c>
      <c r="Q24" s="37">
        <f>L$42</f>
        <v>0</v>
      </c>
      <c r="R24" s="68"/>
      <c r="T24" s="28" t="e">
        <f>W18/(4*V18)</f>
        <v>#VALUE!</v>
      </c>
      <c r="U24" s="28" t="e">
        <f>V18/(2*T24^2)</f>
        <v>#VALUE!</v>
      </c>
      <c r="V24" s="28" t="e">
        <f>U18-(U24*T24)</f>
        <v>#VALUE!</v>
      </c>
      <c r="W24" s="28" t="e">
        <f>2*GAMMAINV((1-$Q$4/100)/2,U24/2,1)</f>
        <v>#VALUE!</v>
      </c>
      <c r="X24" s="28" t="e">
        <f>2*GAMMAINV(1-(1-$Q$4/100)/2,U24/2,1)</f>
        <v>#VALUE!</v>
      </c>
      <c r="Y24" s="28" t="e">
        <f>IF(F41&gt;0,V24+(T24*W24),V24+(T24*X24))</f>
        <v>#VALUE!</v>
      </c>
      <c r="Z24" s="28" t="e">
        <f>IF(F41&gt;0,V24+(T24*X24),V24+(T24*W24))</f>
        <v>#VALUE!</v>
      </c>
    </row>
    <row r="25" spans="1:26" x14ac:dyDescent="0.3">
      <c r="A25" s="23"/>
      <c r="B25" s="35">
        <v>3.1</v>
      </c>
      <c r="C25" s="37" t="e">
        <f>IF(D9="",NA(),D9)</f>
        <v>#N/A</v>
      </c>
      <c r="D25" s="38" t="e">
        <f t="shared" si="4"/>
        <v>#N/A</v>
      </c>
      <c r="E25" s="38"/>
      <c r="F25" s="39"/>
      <c r="G25" s="37">
        <v>3</v>
      </c>
      <c r="H25" s="37">
        <f>C$42</f>
        <v>0</v>
      </c>
      <c r="I25" s="23"/>
      <c r="J25" s="3"/>
      <c r="K25" s="35">
        <v>3.1</v>
      </c>
      <c r="L25" s="37" t="e">
        <f>IF(M9="",NA(),M9)</f>
        <v>#N/A</v>
      </c>
      <c r="M25" s="38" t="e">
        <f t="shared" si="2"/>
        <v>#N/A</v>
      </c>
      <c r="N25" s="89"/>
      <c r="O25" s="89"/>
      <c r="P25" s="37">
        <v>3</v>
      </c>
      <c r="Q25" s="37">
        <f>L$42</f>
        <v>0</v>
      </c>
      <c r="R25" s="68"/>
      <c r="T25" s="28" t="e">
        <f>W19/(4*V19)</f>
        <v>#VALUE!</v>
      </c>
      <c r="U25" s="28" t="e">
        <f>V19/(2*T25^2)</f>
        <v>#VALUE!</v>
      </c>
      <c r="V25" s="28" t="e">
        <f>U19-(U25*T25)</f>
        <v>#VALUE!</v>
      </c>
      <c r="W25" s="28" t="e">
        <f>2*GAMMAINV((1-$Q$4/100)/2,U25/2,1)</f>
        <v>#VALUE!</v>
      </c>
      <c r="X25" s="28" t="e">
        <f>2*GAMMAINV(1-(1-$Q$4/100)/2,U25/2,1)</f>
        <v>#VALUE!</v>
      </c>
      <c r="Y25" s="28" t="e">
        <f>IF(F42&gt;0,V25+(T25*W25),V25+(T25*X25))</f>
        <v>#VALUE!</v>
      </c>
      <c r="Z25" s="28" t="e">
        <f>IF(F42&gt;0,V25+(T25*X25),V25+(T25*W25))</f>
        <v>#VALUE!</v>
      </c>
    </row>
    <row r="26" spans="1:26" ht="15" thickBot="1" x14ac:dyDescent="0.35">
      <c r="A26" s="23"/>
      <c r="B26" s="35">
        <v>3.1</v>
      </c>
      <c r="C26" s="38" t="e">
        <f>IF(G9="",NA(),G9)</f>
        <v>#N/A</v>
      </c>
      <c r="D26" s="38" t="e">
        <f t="shared" si="4"/>
        <v>#N/A</v>
      </c>
      <c r="E26" s="38"/>
      <c r="F26" s="39"/>
      <c r="G26" s="37">
        <v>3.5</v>
      </c>
      <c r="H26" s="37">
        <f>C$42</f>
        <v>0</v>
      </c>
      <c r="I26" s="23"/>
      <c r="J26" s="3"/>
      <c r="K26" s="35">
        <v>3.1</v>
      </c>
      <c r="L26" s="38" t="e">
        <f>IF(P9="",NA(),P9)</f>
        <v>#N/A</v>
      </c>
      <c r="M26" s="38" t="e">
        <f t="shared" si="2"/>
        <v>#N/A</v>
      </c>
      <c r="N26" s="89"/>
      <c r="O26" s="89"/>
      <c r="P26" s="37">
        <v>3.5</v>
      </c>
      <c r="Q26" s="37">
        <f>L$42</f>
        <v>0</v>
      </c>
      <c r="R26" s="68"/>
      <c r="T26" s="48" t="e">
        <f>W20/(4*V20)</f>
        <v>#VALUE!</v>
      </c>
      <c r="U26" s="48" t="e">
        <f>V20/(2*T26^2)</f>
        <v>#VALUE!</v>
      </c>
      <c r="V26" s="48" t="e">
        <f>U20-(U26*T26)</f>
        <v>#VALUE!</v>
      </c>
      <c r="W26" s="48" t="e">
        <f>2*GAMMAINV((1-$Q$4/100)/2,U26/2,1)</f>
        <v>#VALUE!</v>
      </c>
      <c r="X26" s="48" t="e">
        <f>2*GAMMAINV(1-(1-$Q$4/100)/2,U26/2,1)</f>
        <v>#VALUE!</v>
      </c>
      <c r="Y26" s="48" t="e">
        <f>IF(F43&gt;0,V26+(T26*W26),V26+(T26*X26))</f>
        <v>#VALUE!</v>
      </c>
      <c r="Z26" s="48" t="e">
        <f>IF(F43&gt;0,V26+(T26*X26),V26+(T26*W26))</f>
        <v>#VALUE!</v>
      </c>
    </row>
    <row r="27" spans="1:26" ht="15" thickBot="1" x14ac:dyDescent="0.35">
      <c r="A27" s="23"/>
      <c r="B27" s="35">
        <v>4.0999999999999996</v>
      </c>
      <c r="C27" s="38" t="e">
        <f>IF(H10="",NA(),H10)</f>
        <v>#N/A</v>
      </c>
      <c r="D27" s="38" t="e">
        <f t="shared" ref="D27:D29" si="5">C27</f>
        <v>#N/A</v>
      </c>
      <c r="E27" s="38"/>
      <c r="F27" s="39"/>
      <c r="G27" s="37">
        <v>3.5</v>
      </c>
      <c r="H27" s="37">
        <f>C$43</f>
        <v>0</v>
      </c>
      <c r="I27" s="23"/>
      <c r="J27" s="3"/>
      <c r="K27" s="35">
        <v>4.0999999999999996</v>
      </c>
      <c r="L27" s="38" t="e">
        <f>IF(Q10="",NA(),Q10)</f>
        <v>#N/A</v>
      </c>
      <c r="M27" s="38" t="e">
        <f t="shared" si="2"/>
        <v>#N/A</v>
      </c>
      <c r="N27" s="89"/>
      <c r="O27" s="89"/>
      <c r="P27" s="37">
        <v>3.5</v>
      </c>
      <c r="Q27" s="37">
        <f>L$43</f>
        <v>0</v>
      </c>
      <c r="R27" s="68"/>
      <c r="T27" s="7"/>
      <c r="U27" s="7"/>
      <c r="V27" s="7"/>
      <c r="W27" s="7"/>
      <c r="X27" s="7"/>
      <c r="Y27" s="7"/>
      <c r="Z27" s="7"/>
    </row>
    <row r="28" spans="1:26" ht="15" thickBot="1" x14ac:dyDescent="0.35">
      <c r="A28" s="23"/>
      <c r="B28" s="36">
        <v>4.0999999999999996</v>
      </c>
      <c r="C28" s="37" t="e">
        <f>IF(D10="",NA(),D10)</f>
        <v>#N/A</v>
      </c>
      <c r="D28" s="38" t="e">
        <f t="shared" si="5"/>
        <v>#N/A</v>
      </c>
      <c r="E28" s="38"/>
      <c r="F28" s="39"/>
      <c r="G28" s="37">
        <v>4</v>
      </c>
      <c r="H28" s="37">
        <f>C$43</f>
        <v>0</v>
      </c>
      <c r="I28" s="23"/>
      <c r="J28" s="3"/>
      <c r="K28" s="36">
        <v>4.0999999999999996</v>
      </c>
      <c r="L28" s="37" t="e">
        <f>IF(M10="",NA(),M10)</f>
        <v>#N/A</v>
      </c>
      <c r="M28" s="38" t="e">
        <f t="shared" si="2"/>
        <v>#N/A</v>
      </c>
      <c r="N28" s="89"/>
      <c r="O28" s="89"/>
      <c r="P28" s="37">
        <v>4</v>
      </c>
      <c r="Q28" s="37">
        <f>L$43</f>
        <v>0</v>
      </c>
      <c r="R28" s="68"/>
      <c r="V28" s="58" t="s">
        <v>65</v>
      </c>
      <c r="W28" s="58" t="s">
        <v>66</v>
      </c>
      <c r="X28" s="58" t="s">
        <v>67</v>
      </c>
      <c r="Y28" s="58" t="s">
        <v>21</v>
      </c>
      <c r="Z28" s="58" t="s">
        <v>22</v>
      </c>
    </row>
    <row r="29" spans="1:26" x14ac:dyDescent="0.3">
      <c r="A29" s="23"/>
      <c r="B29" s="36">
        <v>4.0999999999999996</v>
      </c>
      <c r="C29" s="38" t="e">
        <f>IF(G10="",NA(),G10)</f>
        <v>#N/A</v>
      </c>
      <c r="D29" s="38" t="e">
        <f t="shared" si="5"/>
        <v>#N/A</v>
      </c>
      <c r="E29" s="38"/>
      <c r="F29" s="39"/>
      <c r="G29" s="37">
        <v>4.5</v>
      </c>
      <c r="H29" s="37">
        <f>C$43</f>
        <v>0</v>
      </c>
      <c r="I29" s="23"/>
      <c r="J29" s="3"/>
      <c r="K29" s="36">
        <v>4.0999999999999996</v>
      </c>
      <c r="L29" s="38" t="e">
        <f>IF(P10="",NA(),P10)</f>
        <v>#N/A</v>
      </c>
      <c r="M29" s="37" t="e">
        <f t="shared" si="2"/>
        <v>#N/A</v>
      </c>
      <c r="N29" s="89"/>
      <c r="O29" s="89"/>
      <c r="P29" s="37">
        <v>4.5</v>
      </c>
      <c r="Q29" s="37">
        <f>L$43</f>
        <v>0</v>
      </c>
      <c r="R29" s="68"/>
      <c r="V29" s="27" t="e">
        <f>SQRT(V17)</f>
        <v>#VALUE!</v>
      </c>
      <c r="W29" s="27">
        <f>NORMINV((1-$Q$4/100)/2,0,1)</f>
        <v>-1.9599639845400536</v>
      </c>
      <c r="X29" s="27">
        <f>NORMINV(1-(1-$Q$4/100)/2,0,1)</f>
        <v>1.9599639845400536</v>
      </c>
      <c r="Y29" s="27" t="e">
        <f>U17+W29*V29</f>
        <v>#VALUE!</v>
      </c>
      <c r="Z29" s="27" t="e">
        <f>U17+X29*V29</f>
        <v>#VALUE!</v>
      </c>
    </row>
    <row r="30" spans="1:26" x14ac:dyDescent="0.3">
      <c r="A30" s="23"/>
      <c r="B30" s="68"/>
      <c r="C30" s="68"/>
      <c r="D30" s="68"/>
      <c r="E30" s="25"/>
      <c r="F30" s="25"/>
      <c r="G30" s="25"/>
      <c r="H30" s="25"/>
      <c r="I30" s="23"/>
      <c r="J30" s="3"/>
      <c r="K30" s="39"/>
      <c r="L30" s="39"/>
      <c r="M30" s="39"/>
      <c r="N30" s="89"/>
      <c r="O30" s="89"/>
      <c r="P30" s="89"/>
      <c r="Q30" s="89"/>
      <c r="V30" s="27" t="e">
        <f>SQRT(V18)</f>
        <v>#VALUE!</v>
      </c>
      <c r="W30" s="27">
        <f>NORMINV((1-$Q$4/100)/2,0,1)</f>
        <v>-1.9599639845400536</v>
      </c>
      <c r="X30" s="27">
        <f>NORMINV(1-(1-$Q$4/100)/2,0,1)</f>
        <v>1.9599639845400536</v>
      </c>
      <c r="Y30" s="27" t="e">
        <f>U18+W30*V30</f>
        <v>#VALUE!</v>
      </c>
      <c r="Z30" s="27" t="e">
        <f>U18+X30*V30</f>
        <v>#VALUE!</v>
      </c>
    </row>
    <row r="31" spans="1:26" x14ac:dyDescent="0.3">
      <c r="A31" s="23"/>
      <c r="B31" s="68"/>
      <c r="C31" s="68"/>
      <c r="D31" s="68"/>
      <c r="E31" s="25"/>
      <c r="F31" s="25"/>
      <c r="G31" s="25"/>
      <c r="H31" s="25"/>
      <c r="I31" s="23"/>
      <c r="J31" s="3"/>
      <c r="K31" s="39"/>
      <c r="L31" s="39"/>
      <c r="M31" s="39"/>
      <c r="N31" s="89"/>
      <c r="O31" s="89"/>
      <c r="P31" s="89"/>
      <c r="Q31" s="89"/>
      <c r="V31" s="27" t="e">
        <f>SQRT(V19)</f>
        <v>#VALUE!</v>
      </c>
      <c r="W31" s="27">
        <f>NORMINV((1-$Q$4/100)/2,0,1)</f>
        <v>-1.9599639845400536</v>
      </c>
      <c r="X31" s="27">
        <f>NORMINV(1-(1-$Q$4/100)/2,0,1)</f>
        <v>1.9599639845400536</v>
      </c>
      <c r="Y31" s="27" t="e">
        <f>U19+W31*V31</f>
        <v>#VALUE!</v>
      </c>
      <c r="Z31" s="27" t="e">
        <f>U19+X31*V31</f>
        <v>#VALUE!</v>
      </c>
    </row>
    <row r="32" spans="1:26" ht="15" thickBot="1" x14ac:dyDescent="0.35">
      <c r="A32" s="23"/>
      <c r="B32" s="68"/>
      <c r="C32" s="68"/>
      <c r="D32" s="68"/>
      <c r="E32" s="25"/>
      <c r="F32" s="25"/>
      <c r="G32" s="25"/>
      <c r="H32" s="25"/>
      <c r="I32" s="23"/>
      <c r="K32" s="39"/>
      <c r="L32" s="39"/>
      <c r="M32" s="39"/>
      <c r="N32" s="39"/>
      <c r="O32" s="39"/>
      <c r="P32" s="39"/>
      <c r="Q32" s="39"/>
      <c r="V32" s="27" t="e">
        <f>SQRT(V20)</f>
        <v>#VALUE!</v>
      </c>
      <c r="W32" s="27">
        <f>NORMINV((1-$Q$4/100)/2,0,1)</f>
        <v>-1.9599639845400536</v>
      </c>
      <c r="X32" s="27">
        <f>NORMINV(1-(1-$Q$4/100)/2,0,1)</f>
        <v>1.9599639845400536</v>
      </c>
      <c r="Y32" s="27" t="e">
        <f>U20+W32*V32</f>
        <v>#VALUE!</v>
      </c>
      <c r="Z32" s="27" t="e">
        <f>U20+X32*V32</f>
        <v>#VALUE!</v>
      </c>
    </row>
    <row r="33" spans="1:26" x14ac:dyDescent="0.3">
      <c r="A33" s="85"/>
      <c r="B33" s="68"/>
      <c r="C33" s="68"/>
      <c r="D33" s="68"/>
      <c r="E33" s="25"/>
      <c r="F33" s="25"/>
      <c r="G33" s="25"/>
      <c r="H33" s="25"/>
      <c r="I33" s="23"/>
      <c r="J33" s="85"/>
      <c r="V33" s="7"/>
      <c r="W33" s="7"/>
      <c r="X33" s="7"/>
      <c r="Y33" s="7"/>
      <c r="Z33" s="7"/>
    </row>
    <row r="34" spans="1:26" x14ac:dyDescent="0.3">
      <c r="A34" s="3"/>
      <c r="B34" s="68"/>
      <c r="C34" s="23"/>
      <c r="D34" s="23"/>
      <c r="E34" s="23"/>
      <c r="F34" s="23"/>
      <c r="G34" s="23"/>
      <c r="H34" s="23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5" t="s">
        <v>113</v>
      </c>
      <c r="I37" s="3"/>
      <c r="J37" s="3"/>
      <c r="K37" s="45" t="s">
        <v>115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8" t="s">
        <v>11</v>
      </c>
      <c r="G39" s="47" t="s">
        <v>2</v>
      </c>
      <c r="H39" s="58" t="s">
        <v>49</v>
      </c>
      <c r="I39" s="3"/>
      <c r="J39" s="3"/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1:26" x14ac:dyDescent="0.3">
      <c r="B40" s="17" t="str">
        <f>B7</f>
        <v/>
      </c>
      <c r="C40" s="13"/>
      <c r="D40" s="26" t="str">
        <f>IFERROR(D7-C40,"")</f>
        <v/>
      </c>
      <c r="E40" s="26" t="str">
        <f>Data!Z7</f>
        <v/>
      </c>
      <c r="F40" s="26" t="str">
        <f>IFERROR(D40/E40,"")</f>
        <v/>
      </c>
      <c r="G40" s="41" t="str">
        <f>Data!Y7</f>
        <v/>
      </c>
      <c r="H40" s="26" t="str">
        <f>IFERROR(IF(TDIST(ABS(F40),G40,2)&lt;0.001,"&lt; 0.001",TDIST(ABS(F40),G40,2)),"")</f>
        <v/>
      </c>
      <c r="I40" s="3"/>
      <c r="J40" s="3"/>
      <c r="K40" s="17" t="str">
        <f>K7</f>
        <v/>
      </c>
      <c r="L40" s="13"/>
      <c r="M40" s="3"/>
      <c r="N40" s="3"/>
      <c r="O40" s="3"/>
      <c r="P40" s="3"/>
      <c r="Q40" s="3"/>
    </row>
    <row r="41" spans="1:26" x14ac:dyDescent="0.3">
      <c r="B41" s="19" t="str">
        <f>B8</f>
        <v/>
      </c>
      <c r="C41" s="14"/>
      <c r="D41" s="28" t="str">
        <f>IFERROR(D8-C41,"")</f>
        <v/>
      </c>
      <c r="E41" s="28" t="str">
        <f>Data!Z8</f>
        <v/>
      </c>
      <c r="F41" s="28" t="str">
        <f>IFERROR(D41/E41,"")</f>
        <v/>
      </c>
      <c r="G41" s="42" t="str">
        <f>Data!Y8</f>
        <v/>
      </c>
      <c r="H41" s="28" t="str">
        <f>IFERROR(IF(TDIST(ABS(F41),G41,2)&lt;0.001,"&lt; 0.001",TDIST(ABS(F41),G41,2)),"")</f>
        <v/>
      </c>
      <c r="I41" s="3"/>
      <c r="J41" s="3"/>
      <c r="K41" s="19" t="str">
        <f>K8</f>
        <v/>
      </c>
      <c r="L41" s="14"/>
      <c r="M41" s="3"/>
      <c r="N41" s="3"/>
      <c r="O41" s="3"/>
      <c r="P41" s="3"/>
      <c r="Q41" s="3"/>
    </row>
    <row r="42" spans="1:26" x14ac:dyDescent="0.3">
      <c r="B42" s="19" t="str">
        <f>B9</f>
        <v/>
      </c>
      <c r="C42" s="14"/>
      <c r="D42" s="28" t="str">
        <f>IFERROR(D9-C42,"")</f>
        <v/>
      </c>
      <c r="E42" s="28" t="str">
        <f>Data!Z9</f>
        <v/>
      </c>
      <c r="F42" s="28" t="str">
        <f>IFERROR(D42/E42,"")</f>
        <v/>
      </c>
      <c r="G42" s="42" t="str">
        <f>Data!Y9</f>
        <v/>
      </c>
      <c r="H42" s="28" t="str">
        <f>IFERROR(IF(TDIST(ABS(F42),G42,2)&lt;0.001,"&lt; 0.001",TDIST(ABS(F42),G42,2)),"")</f>
        <v/>
      </c>
      <c r="I42" s="3"/>
      <c r="J42" s="3"/>
      <c r="K42" s="19" t="str">
        <f>K9</f>
        <v/>
      </c>
      <c r="L42" s="14"/>
      <c r="M42" s="3"/>
      <c r="N42" s="3"/>
      <c r="O42" s="3"/>
      <c r="P42" s="3"/>
      <c r="Q42" s="3"/>
    </row>
    <row r="43" spans="1:26" ht="15" thickBot="1" x14ac:dyDescent="0.35">
      <c r="B43" s="94" t="str">
        <f>B10</f>
        <v/>
      </c>
      <c r="C43" s="14"/>
      <c r="D43" s="48" t="str">
        <f>IFERROR(D10-C43,"")</f>
        <v/>
      </c>
      <c r="E43" s="48" t="str">
        <f>Data!Z10</f>
        <v/>
      </c>
      <c r="F43" s="48" t="str">
        <f>IFERROR(D43/E43,"")</f>
        <v/>
      </c>
      <c r="G43" s="84" t="str">
        <f>Data!Y10</f>
        <v/>
      </c>
      <c r="H43" s="48" t="str">
        <f>IFERROR(IF(TDIST(ABS(F43),G43,2)&lt;0.001,"&lt; 0.001",TDIST(ABS(F43),G43,2)),"")</f>
        <v/>
      </c>
      <c r="I43" s="3"/>
      <c r="J43" s="3"/>
      <c r="K43" s="94" t="str">
        <f>K10</f>
        <v/>
      </c>
      <c r="L43" s="83"/>
      <c r="M43" s="3"/>
      <c r="N43" s="3"/>
      <c r="O43" s="3"/>
      <c r="P43" s="3"/>
      <c r="Q43" s="3"/>
    </row>
    <row r="44" spans="1:26" x14ac:dyDescent="0.3">
      <c r="B44" s="7"/>
      <c r="C44" s="2"/>
      <c r="D44" s="7"/>
      <c r="E44" s="7"/>
      <c r="F44" s="7"/>
      <c r="G44" s="7"/>
      <c r="H44" s="7"/>
      <c r="I44" s="3"/>
      <c r="J44" s="3"/>
      <c r="K44" s="7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7" zoomScaleNormal="100" workbookViewId="0">
      <selection activeCell="C44" sqref="C44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30" t="s">
        <v>74</v>
      </c>
      <c r="C2" s="130"/>
      <c r="D2" s="130"/>
      <c r="E2" s="130"/>
      <c r="F2" s="130"/>
      <c r="G2" s="130"/>
      <c r="H2" s="130"/>
      <c r="K2" s="130" t="s">
        <v>108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4" spans="2:26" ht="15.6" x14ac:dyDescent="0.3">
      <c r="B4" s="45" t="s">
        <v>112</v>
      </c>
      <c r="G4" s="11" t="s">
        <v>37</v>
      </c>
      <c r="H4" s="16">
        <v>95</v>
      </c>
      <c r="K4" s="4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0" t="s">
        <v>0</v>
      </c>
      <c r="C6" s="50" t="s">
        <v>1</v>
      </c>
      <c r="D6" s="50" t="s">
        <v>13</v>
      </c>
      <c r="E6" s="50" t="s">
        <v>65</v>
      </c>
      <c r="F6" s="50" t="s">
        <v>81</v>
      </c>
      <c r="G6" s="140" t="s">
        <v>84</v>
      </c>
      <c r="H6" s="140"/>
      <c r="K6" s="47" t="s">
        <v>0</v>
      </c>
      <c r="L6" s="47" t="s">
        <v>3</v>
      </c>
      <c r="M6" s="47" t="s">
        <v>25</v>
      </c>
      <c r="N6" s="47" t="str">
        <f t="shared" ref="N6:N11" si="0">G39</f>
        <v>df</v>
      </c>
      <c r="O6" s="47" t="s">
        <v>81</v>
      </c>
      <c r="P6" s="139" t="s">
        <v>62</v>
      </c>
      <c r="Q6" s="139"/>
    </row>
    <row r="7" spans="2:26" x14ac:dyDescent="0.3">
      <c r="B7" s="74">
        <v>2</v>
      </c>
      <c r="C7" s="52" t="str">
        <f>IF(B7="","",VLOOKUP($B7,Data!$U$7:$X$10,2,FALSE))</f>
        <v/>
      </c>
      <c r="D7" s="26" t="str">
        <f>IF(B7="","",VLOOKUP($B7,Data!$U$7:$X$10,3,FALSE))</f>
        <v/>
      </c>
      <c r="E7" s="26" t="str">
        <f>IF(B7="","",VLOOKUP($B7,Data!$U$7:$X$10,4,FALSE))</f>
        <v/>
      </c>
      <c r="F7" s="26" t="str">
        <f>IFERROR(E7/SQRT(C7),"")</f>
        <v/>
      </c>
      <c r="G7" s="26" t="str">
        <f>IFERROR(D7-TINV(1-$H$4/100,C7-1)*E40,"")</f>
        <v/>
      </c>
      <c r="H7" s="26" t="str">
        <f>IFERROR(D7+TINV(1-$H$4/100,C7-1)*E40,"")</f>
        <v/>
      </c>
      <c r="K7" s="17">
        <f>B7</f>
        <v>2</v>
      </c>
      <c r="L7" s="18" t="str">
        <f>IFERROR((D7-C40)/E7,"")</f>
        <v/>
      </c>
      <c r="M7" s="18" t="str">
        <f>IFERROR((1-3/(4*G40-1))*L7,"")</f>
        <v/>
      </c>
      <c r="N7" s="41" t="str">
        <f t="shared" si="0"/>
        <v/>
      </c>
      <c r="O7" s="18" t="str">
        <f>IFERROR(SQRT((G40+2)/(C7*C7)+((L7^2)/(2*(G40+2)))),"")</f>
        <v/>
      </c>
      <c r="P7" s="26" t="str">
        <f>IFERROR(Y17*SQRT(1/C7),"")</f>
        <v/>
      </c>
      <c r="Q7" s="26" t="str">
        <f>IFERROR(Z17*SQRT(1/C7),"")</f>
        <v/>
      </c>
    </row>
    <row r="8" spans="2:26" ht="15" thickBot="1" x14ac:dyDescent="0.35">
      <c r="B8" s="107">
        <v>1</v>
      </c>
      <c r="C8" s="56" t="str">
        <f>IF(B8="","",VLOOKUP($B8,Data!$U$7:$X$10,2,FALSE))</f>
        <v/>
      </c>
      <c r="D8" s="29" t="str">
        <f>IF(B8="","",VLOOKUP($B8,Data!$U$7:$X$10,3,FALSE))</f>
        <v/>
      </c>
      <c r="E8" s="29" t="str">
        <f>IF(B8="","",VLOOKUP($B8,Data!$U$7:$X$10,4,FALSE))</f>
        <v/>
      </c>
      <c r="F8" s="48" t="str">
        <f>IFERROR(E8/SQRT(C8),"")</f>
        <v/>
      </c>
      <c r="G8" s="48" t="str">
        <f>IFERROR(D8-TINV(1-$H$4/100,C8-1)*E41,"")</f>
        <v/>
      </c>
      <c r="H8" s="48" t="str">
        <f>IFERROR(D8+TINV(1-$H$4/100,C8-1)*E41,"")</f>
        <v/>
      </c>
      <c r="K8" s="94">
        <f>B8</f>
        <v>1</v>
      </c>
      <c r="L8" s="82" t="str">
        <f>IFERROR((D8-C41)/E8,"")</f>
        <v/>
      </c>
      <c r="M8" s="82" t="str">
        <f>IFERROR((1-3/(4*G41-1))*L8,"")</f>
        <v/>
      </c>
      <c r="N8" s="84" t="str">
        <f t="shared" si="0"/>
        <v/>
      </c>
      <c r="O8" s="82" t="str">
        <f>IFERROR(SQRT((G41+2)/(C8*C8)+((L8^2)/(2*(G41+2)))),"")</f>
        <v/>
      </c>
      <c r="P8" s="48" t="str">
        <f>IFERROR(Y18*SQRT(1/C8),"")</f>
        <v/>
      </c>
      <c r="Q8" s="48" t="str">
        <f>IFERROR(Z18*SQRT(1/C8),"")</f>
        <v/>
      </c>
    </row>
    <row r="9" spans="2:26" ht="15" thickBot="1" x14ac:dyDescent="0.35">
      <c r="B9" s="6"/>
      <c r="C9" s="6"/>
      <c r="D9" s="6"/>
      <c r="E9" s="6"/>
      <c r="F9" s="6"/>
      <c r="G9" s="6"/>
      <c r="H9" s="6"/>
      <c r="K9" s="6"/>
      <c r="L9" s="6"/>
      <c r="M9" s="6"/>
      <c r="N9" s="6"/>
      <c r="O9" s="6"/>
      <c r="P9" s="6"/>
      <c r="Q9" s="6"/>
    </row>
    <row r="10" spans="2:26" ht="15" thickBot="1" x14ac:dyDescent="0.35">
      <c r="B10" s="47" t="s">
        <v>111</v>
      </c>
      <c r="C10" s="47"/>
      <c r="D10" s="47" t="s">
        <v>83</v>
      </c>
      <c r="E10" s="50" t="s">
        <v>65</v>
      </c>
      <c r="F10" s="50" t="s">
        <v>81</v>
      </c>
      <c r="G10" s="139" t="s">
        <v>82</v>
      </c>
      <c r="H10" s="139"/>
      <c r="K10" s="47" t="s">
        <v>111</v>
      </c>
      <c r="L10" s="47" t="s">
        <v>3</v>
      </c>
      <c r="M10" s="47" t="s">
        <v>25</v>
      </c>
      <c r="N10" s="47" t="str">
        <f t="shared" ref="N10" si="1">G43</f>
        <v>df</v>
      </c>
      <c r="O10" s="47" t="s">
        <v>81</v>
      </c>
      <c r="P10" s="139" t="s">
        <v>62</v>
      </c>
      <c r="Q10" s="139"/>
    </row>
    <row r="11" spans="2:26" ht="15" thickBot="1" x14ac:dyDescent="0.35">
      <c r="B11" s="98" t="s">
        <v>68</v>
      </c>
      <c r="C11" s="98"/>
      <c r="D11" s="99" t="str">
        <f>IFERROR(D8-D7,"")</f>
        <v/>
      </c>
      <c r="E11" s="99" t="str">
        <f>IFERROR(SQRT((E7^2*(C7-1)+E8^2*(C8-1))/G44),"")</f>
        <v/>
      </c>
      <c r="F11" s="99" t="str">
        <f>IFERROR(SQRT((E11^2/C7)+(E11^2/C8)),"")</f>
        <v/>
      </c>
      <c r="G11" s="99" t="str">
        <f>IFERROR(D11-TINV(1-$H$4/100,G44-1)*E44,"")</f>
        <v/>
      </c>
      <c r="H11" s="99" t="str">
        <f>IFERROR(D11+TINV(1-$H$4/100,G44)*E44,"")</f>
        <v/>
      </c>
      <c r="K11" s="109" t="str">
        <f>B11</f>
        <v>Difference</v>
      </c>
      <c r="L11" s="110" t="str">
        <f>IFERROR((D11-C44)/E11,"")</f>
        <v/>
      </c>
      <c r="M11" s="110" t="str">
        <f>IFERROR((1-3/(4*G44-1))*L11,"")</f>
        <v/>
      </c>
      <c r="N11" s="112" t="str">
        <f t="shared" si="0"/>
        <v/>
      </c>
      <c r="O11" s="110" t="str">
        <f>IFERROR(SQRT((G44+2)/(C7*C8)+((L11^2)/(2*(G44+2)))),"")</f>
        <v/>
      </c>
      <c r="P11" s="99" t="str">
        <f>IFERROR(Y19*SQRT(1/C7+1/C8),"")</f>
        <v/>
      </c>
      <c r="Q11" s="99" t="str">
        <f>IFERROR(Z19*SQRT(1/C7+1/C8),"")</f>
        <v/>
      </c>
    </row>
    <row r="12" spans="2:26" x14ac:dyDescent="0.3">
      <c r="B12" s="7"/>
      <c r="C12" s="7"/>
      <c r="D12" s="7"/>
      <c r="E12" s="7"/>
      <c r="F12" s="7"/>
      <c r="G12" s="7"/>
      <c r="H12" s="7"/>
      <c r="K12" s="2"/>
      <c r="L12" s="2"/>
      <c r="M12" s="2"/>
      <c r="N12" s="2"/>
      <c r="O12" s="2"/>
      <c r="P12" s="2"/>
      <c r="Q12" s="2"/>
    </row>
    <row r="14" spans="2:26" ht="15.6" x14ac:dyDescent="0.3">
      <c r="B14" s="45" t="s">
        <v>114</v>
      </c>
      <c r="G14" s="11" t="s">
        <v>105</v>
      </c>
      <c r="H14" s="106">
        <v>1</v>
      </c>
      <c r="K14" s="45" t="s">
        <v>114</v>
      </c>
      <c r="P14" s="11" t="s">
        <v>105</v>
      </c>
      <c r="Q14" s="106">
        <v>0.5</v>
      </c>
      <c r="T14" s="5" t="s">
        <v>23</v>
      </c>
    </row>
    <row r="15" spans="2:26" ht="15" thickBot="1" x14ac:dyDescent="0.35">
      <c r="B15" s="27"/>
      <c r="C15" s="27"/>
      <c r="D15" s="27"/>
      <c r="E15" s="27"/>
      <c r="K15" s="27"/>
      <c r="L15" s="27"/>
      <c r="M15" s="27"/>
      <c r="N15" s="27"/>
    </row>
    <row r="16" spans="2:26" ht="15" thickBot="1" x14ac:dyDescent="0.35">
      <c r="B16" s="93" t="s">
        <v>77</v>
      </c>
      <c r="C16" s="68"/>
      <c r="D16" s="68"/>
      <c r="E16" s="68"/>
      <c r="F16" s="93" t="s">
        <v>76</v>
      </c>
      <c r="G16" s="68"/>
      <c r="H16" s="76">
        <f>IF(H14="",H32,H14)</f>
        <v>1</v>
      </c>
      <c r="K16" s="93" t="s">
        <v>77</v>
      </c>
      <c r="L16" s="68"/>
      <c r="M16" s="68"/>
      <c r="N16" s="68"/>
      <c r="O16" s="93" t="s">
        <v>76</v>
      </c>
      <c r="P16" s="68"/>
      <c r="Q16" s="76">
        <f>IF(Q14="",Q32,Q14)</f>
        <v>0.5</v>
      </c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1" t="s">
        <v>0</v>
      </c>
      <c r="C17" s="31" t="s">
        <v>75</v>
      </c>
      <c r="D17" s="31" t="s">
        <v>72</v>
      </c>
      <c r="E17" s="68"/>
      <c r="F17" s="76" t="s">
        <v>34</v>
      </c>
      <c r="G17" s="76" t="s">
        <v>75</v>
      </c>
      <c r="H17" s="76" t="s">
        <v>72</v>
      </c>
      <c r="K17" s="31" t="s">
        <v>0</v>
      </c>
      <c r="L17" s="31" t="s">
        <v>75</v>
      </c>
      <c r="M17" s="31" t="s">
        <v>72</v>
      </c>
      <c r="N17" s="68"/>
      <c r="O17" s="76" t="s">
        <v>34</v>
      </c>
      <c r="P17" s="76" t="s">
        <v>75</v>
      </c>
      <c r="Q17" s="76" t="s">
        <v>72</v>
      </c>
      <c r="S17" s="85"/>
      <c r="T17" s="26" t="e">
        <f>EXP(((LN(2)-LN(G40))/2)+GAMMALN((G40+1)/2)-GAMMALN(G40/2))</f>
        <v>#VALUE!</v>
      </c>
      <c r="U17" s="26" t="e">
        <f>T17*F40</f>
        <v>#VALUE!</v>
      </c>
      <c r="V17" s="26" t="e">
        <f>1+(F40^2)*(1-T17^2)</f>
        <v>#VALUE!</v>
      </c>
      <c r="W17" s="26" t="e">
        <f>(2*U17^3)-((2*G40-1)/G40)*(F40^2*U17)</f>
        <v>#VALUE!</v>
      </c>
      <c r="X17" s="11" t="e">
        <f>W17/SQRT(V17)^3</f>
        <v>#VALUE!</v>
      </c>
      <c r="Y17" s="27" t="e">
        <f t="shared" ref="Y17:Z19" si="2">IF($X17&lt;0.001,Y27,Y22)</f>
        <v>#VALUE!</v>
      </c>
      <c r="Z17" s="27" t="e">
        <f t="shared" si="2"/>
        <v>#VALUE!</v>
      </c>
    </row>
    <row r="18" spans="2:26" x14ac:dyDescent="0.3">
      <c r="B18" s="31">
        <v>1.1000000000000001</v>
      </c>
      <c r="C18" s="76" t="e">
        <f>IF(H7="",NA(),H7)</f>
        <v>#N/A</v>
      </c>
      <c r="D18" s="76" t="e">
        <f t="shared" ref="D18:D23" si="3">C18</f>
        <v>#N/A</v>
      </c>
      <c r="E18" s="68"/>
      <c r="F18" s="76">
        <v>3.15</v>
      </c>
      <c r="G18" s="76" t="e">
        <f>IF(G19&gt;$F$31,NA(),G19+$H$16)</f>
        <v>#N/A</v>
      </c>
      <c r="H18" s="76" t="e">
        <f t="shared" ref="H18:H21" si="4">G18-$G$23</f>
        <v>#N/A</v>
      </c>
      <c r="I18" s="87"/>
      <c r="K18" s="31">
        <v>1.1000000000000001</v>
      </c>
      <c r="L18" s="76" t="e">
        <f>IF(Q7="",NA(),Q7)</f>
        <v>#N/A</v>
      </c>
      <c r="M18" s="76" t="e">
        <f t="shared" ref="M18:M23" si="5">L18</f>
        <v>#N/A</v>
      </c>
      <c r="N18" s="68"/>
      <c r="O18" s="76">
        <v>3.15</v>
      </c>
      <c r="P18" s="76" t="e">
        <f>IF(P19&gt;$O$31,NA(),P19+$Q$16)</f>
        <v>#N/A</v>
      </c>
      <c r="Q18" s="76" t="e">
        <f t="shared" ref="Q18:Q28" si="6">P18-$P$23</f>
        <v>#N/A</v>
      </c>
      <c r="R18" s="87"/>
      <c r="T18" s="28" t="e">
        <f>EXP(((LN(2)-LN(G41))/2)+GAMMALN((G41+1)/2)-GAMMALN(G41/2))</f>
        <v>#VALUE!</v>
      </c>
      <c r="U18" s="28" t="e">
        <f>T18*F41</f>
        <v>#VALUE!</v>
      </c>
      <c r="V18" s="28" t="e">
        <f>1+(F41^2)*(1-T18^2)</f>
        <v>#VALUE!</v>
      </c>
      <c r="W18" s="28" t="e">
        <f>(2*U18^3)-((2*G41-1)/G41)*(F41^2*U18)</f>
        <v>#VALUE!</v>
      </c>
      <c r="X18" s="11" t="e">
        <f>W18/SQRT(V18)^3</f>
        <v>#VALUE!</v>
      </c>
      <c r="Y18" s="27" t="e">
        <f t="shared" si="2"/>
        <v>#VALUE!</v>
      </c>
      <c r="Z18" s="27" t="e">
        <f t="shared" si="2"/>
        <v>#VALUE!</v>
      </c>
    </row>
    <row r="19" spans="2:26" ht="15" thickBot="1" x14ac:dyDescent="0.35">
      <c r="B19" s="31">
        <v>1.1000000000000001</v>
      </c>
      <c r="C19" s="76" t="e">
        <f>IF(D7="",NA(),D7)</f>
        <v>#N/A</v>
      </c>
      <c r="D19" s="76" t="e">
        <f t="shared" si="3"/>
        <v>#N/A</v>
      </c>
      <c r="E19" s="68"/>
      <c r="F19" s="76">
        <v>3.15</v>
      </c>
      <c r="G19" s="76" t="e">
        <f>IF(G20&gt;$F$31,NA(),G20+$H$16)</f>
        <v>#N/A</v>
      </c>
      <c r="H19" s="76" t="e">
        <f t="shared" si="4"/>
        <v>#N/A</v>
      </c>
      <c r="I19" s="87"/>
      <c r="K19" s="31">
        <v>1.1000000000000001</v>
      </c>
      <c r="L19" s="76" t="e">
        <f>IF(M7="",NA(),M7)</f>
        <v>#N/A</v>
      </c>
      <c r="M19" s="76" t="e">
        <f t="shared" si="5"/>
        <v>#N/A</v>
      </c>
      <c r="N19" s="68"/>
      <c r="O19" s="76">
        <v>3.15</v>
      </c>
      <c r="P19" s="76" t="e">
        <f>IF(P20&gt;$O$31,NA(),P20+$Q$16)</f>
        <v>#N/A</v>
      </c>
      <c r="Q19" s="76" t="e">
        <f t="shared" si="6"/>
        <v>#N/A</v>
      </c>
      <c r="R19" s="87"/>
      <c r="T19" s="28" t="e">
        <f>EXP(((LN(2)-LN(G44))/2)+GAMMALN((G44+1)/2)-GAMMALN(G44/2))</f>
        <v>#VALUE!</v>
      </c>
      <c r="U19" s="28" t="e">
        <f>T19*F44</f>
        <v>#VALUE!</v>
      </c>
      <c r="V19" s="28" t="e">
        <f>1+(F44^2)*(1-T19^2)</f>
        <v>#VALUE!</v>
      </c>
      <c r="W19" s="28" t="e">
        <f>(2*U19^3)-((2*G44-1)/G44)*(F44^2*U19)</f>
        <v>#VALUE!</v>
      </c>
      <c r="X19" s="11" t="e">
        <f>W19/SQRT(V19)^3</f>
        <v>#VALUE!</v>
      </c>
      <c r="Y19" s="27" t="e">
        <f t="shared" si="2"/>
        <v>#VALUE!</v>
      </c>
      <c r="Z19" s="27" t="e">
        <f t="shared" si="2"/>
        <v>#VALUE!</v>
      </c>
    </row>
    <row r="20" spans="2:26" ht="15" thickBot="1" x14ac:dyDescent="0.35">
      <c r="B20" s="31">
        <v>1.1000000000000001</v>
      </c>
      <c r="C20" s="76" t="e">
        <f>IF(G7="",NA(),G7)</f>
        <v>#N/A</v>
      </c>
      <c r="D20" s="76" t="e">
        <f t="shared" si="3"/>
        <v>#N/A</v>
      </c>
      <c r="E20" s="68"/>
      <c r="F20" s="76">
        <v>3.15</v>
      </c>
      <c r="G20" s="76" t="e">
        <f t="shared" ref="G20:G22" si="7">IF(G21&gt;$F$31,NA(),G21+$H$16)</f>
        <v>#N/A</v>
      </c>
      <c r="H20" s="76" t="e">
        <f t="shared" si="4"/>
        <v>#N/A</v>
      </c>
      <c r="I20" s="76"/>
      <c r="K20" s="31">
        <v>1.1000000000000001</v>
      </c>
      <c r="L20" s="76" t="e">
        <f>IF(P7="",NA(),P7)</f>
        <v>#N/A</v>
      </c>
      <c r="M20" s="76" t="e">
        <f t="shared" si="5"/>
        <v>#N/A</v>
      </c>
      <c r="N20" s="68"/>
      <c r="O20" s="76">
        <v>3.15</v>
      </c>
      <c r="P20" s="76" t="e">
        <f>IF(P21&gt;$O$31,NA(),P21+$Q$16)</f>
        <v>#N/A</v>
      </c>
      <c r="Q20" s="76" t="e">
        <f t="shared" si="6"/>
        <v>#N/A</v>
      </c>
      <c r="R20" s="76"/>
      <c r="T20" s="86"/>
      <c r="U20" s="86"/>
      <c r="V20" s="86"/>
      <c r="W20" s="86"/>
      <c r="X20" s="86"/>
      <c r="Y20" s="86"/>
      <c r="Z20" s="86"/>
    </row>
    <row r="21" spans="2:26" ht="15" thickBot="1" x14ac:dyDescent="0.35">
      <c r="B21" s="31">
        <v>2.1</v>
      </c>
      <c r="C21" s="76" t="e">
        <f>IF(H8="",NA(),H8)</f>
        <v>#N/A</v>
      </c>
      <c r="D21" s="76" t="e">
        <f t="shared" si="3"/>
        <v>#N/A</v>
      </c>
      <c r="E21" s="68"/>
      <c r="F21" s="76">
        <v>3.15</v>
      </c>
      <c r="G21" s="76" t="e">
        <f t="shared" si="7"/>
        <v>#N/A</v>
      </c>
      <c r="H21" s="76" t="e">
        <f t="shared" si="4"/>
        <v>#N/A</v>
      </c>
      <c r="I21" s="76"/>
      <c r="K21" s="31">
        <v>2.1</v>
      </c>
      <c r="L21" s="76" t="e">
        <f>IF(Q8="",NA(),Q8)</f>
        <v>#N/A</v>
      </c>
      <c r="M21" s="76" t="e">
        <f t="shared" si="5"/>
        <v>#N/A</v>
      </c>
      <c r="N21" s="68"/>
      <c r="O21" s="76">
        <v>3.15</v>
      </c>
      <c r="P21" s="76" t="e">
        <f>IF(P22&gt;$O$31,NA(),P22+$Q$16)</f>
        <v>#N/A</v>
      </c>
      <c r="Q21" s="76" t="e">
        <f t="shared" si="6"/>
        <v>#N/A</v>
      </c>
      <c r="R21" s="76"/>
      <c r="T21" s="58" t="s">
        <v>16</v>
      </c>
      <c r="U21" s="58" t="s">
        <v>17</v>
      </c>
      <c r="V21" s="58" t="s">
        <v>18</v>
      </c>
      <c r="W21" s="58" t="s">
        <v>19</v>
      </c>
      <c r="X21" s="58" t="s">
        <v>20</v>
      </c>
      <c r="Y21" s="58" t="s">
        <v>21</v>
      </c>
      <c r="Z21" s="58" t="s">
        <v>22</v>
      </c>
    </row>
    <row r="22" spans="2:26" x14ac:dyDescent="0.3">
      <c r="B22" s="31">
        <v>2.1</v>
      </c>
      <c r="C22" s="76" t="e">
        <f>IF(D8="",NA(),D8)</f>
        <v>#N/A</v>
      </c>
      <c r="D22" s="76" t="e">
        <f t="shared" si="3"/>
        <v>#N/A</v>
      </c>
      <c r="E22" s="68"/>
      <c r="F22" s="76">
        <v>3.15</v>
      </c>
      <c r="G22" s="76" t="e">
        <f t="shared" si="7"/>
        <v>#N/A</v>
      </c>
      <c r="H22" s="76" t="e">
        <f>G22-$G$23</f>
        <v>#N/A</v>
      </c>
      <c r="I22" s="76"/>
      <c r="K22" s="31">
        <v>2.1</v>
      </c>
      <c r="L22" s="76" t="e">
        <f>IF(M8="",NA(),M8)</f>
        <v>#N/A</v>
      </c>
      <c r="M22" s="76" t="e">
        <f t="shared" si="5"/>
        <v>#N/A</v>
      </c>
      <c r="N22" s="68"/>
      <c r="O22" s="76">
        <v>3.15</v>
      </c>
      <c r="P22" s="76" t="e">
        <f>IF(P23&gt;$O$31,NA(),P23+$Q$16)</f>
        <v>#N/A</v>
      </c>
      <c r="Q22" s="76" t="e">
        <f t="shared" si="6"/>
        <v>#N/A</v>
      </c>
      <c r="R22" s="76"/>
      <c r="T22" s="26" t="e">
        <f>W17/(4*V17)</f>
        <v>#VALUE!</v>
      </c>
      <c r="U22" s="26" t="e">
        <f>V17/(2*T22^2)</f>
        <v>#VALUE!</v>
      </c>
      <c r="V22" s="26" t="e">
        <f>U17-(U22*T22)</f>
        <v>#VALUE!</v>
      </c>
      <c r="W22" s="26" t="e">
        <f>2*GAMMAINV((1-$Q$4/100)/2,U22/2,1)</f>
        <v>#VALUE!</v>
      </c>
      <c r="X22" s="26" t="e">
        <f>2*GAMMAINV(1-(1-$Q$4/100)/2,U22/2,1)</f>
        <v>#VALUE!</v>
      </c>
      <c r="Y22" s="26" t="e">
        <f>IF(F40&gt;0,V22+(T22*W22),V22+(T22*X22))</f>
        <v>#VALUE!</v>
      </c>
      <c r="Z22" s="26" t="e">
        <f>IF(F40&gt;0,V22+(T22*X22),V22+(T22*W22))</f>
        <v>#VALUE!</v>
      </c>
    </row>
    <row r="23" spans="2:26" x14ac:dyDescent="0.3">
      <c r="B23" s="31">
        <v>2.1</v>
      </c>
      <c r="C23" s="76" t="e">
        <f>IF(G8="",NA(),G8)</f>
        <v>#N/A</v>
      </c>
      <c r="D23" s="76" t="e">
        <f t="shared" si="3"/>
        <v>#N/A</v>
      </c>
      <c r="E23" s="68"/>
      <c r="F23" s="76">
        <v>3.15</v>
      </c>
      <c r="G23" s="76" t="e">
        <f>C19</f>
        <v>#N/A</v>
      </c>
      <c r="H23" s="76" t="e">
        <f>G23-$G$23</f>
        <v>#N/A</v>
      </c>
      <c r="K23" s="31">
        <v>2.1</v>
      </c>
      <c r="L23" s="76" t="e">
        <f>IF(P8="",NA(),P8)</f>
        <v>#N/A</v>
      </c>
      <c r="M23" s="76" t="e">
        <f t="shared" si="5"/>
        <v>#N/A</v>
      </c>
      <c r="N23" s="68"/>
      <c r="O23" s="76">
        <v>3.15</v>
      </c>
      <c r="P23" s="76" t="e">
        <f>L19</f>
        <v>#N/A</v>
      </c>
      <c r="Q23" s="76" t="e">
        <f t="shared" si="6"/>
        <v>#N/A</v>
      </c>
      <c r="T23" s="28" t="e">
        <f>W18/(4*V18)</f>
        <v>#VALUE!</v>
      </c>
      <c r="U23" s="28" t="e">
        <f>V18/(2*T23^2)</f>
        <v>#VALUE!</v>
      </c>
      <c r="V23" s="28" t="e">
        <f>U18-(U23*T23)</f>
        <v>#VALUE!</v>
      </c>
      <c r="W23" s="28" t="e">
        <f>2*GAMMAINV((1-$Q$4/100)/2,U23/2,1)</f>
        <v>#VALUE!</v>
      </c>
      <c r="X23" s="28" t="e">
        <f>2*GAMMAINV(1-(1-$Q$4/100)/2,U23/2,1)</f>
        <v>#VALUE!</v>
      </c>
      <c r="Y23" s="28" t="e">
        <f>IF(F41&gt;0,V23+(T23*W23),V23+(T23*X23))</f>
        <v>#VALUE!</v>
      </c>
      <c r="Z23" s="28" t="e">
        <f>IF(F41&gt;0,V23+(T23*X23),V23+(T23*W23))</f>
        <v>#VALUE!</v>
      </c>
    </row>
    <row r="24" spans="2:26" ht="15" thickBot="1" x14ac:dyDescent="0.35">
      <c r="B24" s="31">
        <v>2.75</v>
      </c>
      <c r="C24" s="76" t="e">
        <f>IF(H11="",NA(),H11+C25-D11)</f>
        <v>#N/A</v>
      </c>
      <c r="D24" s="76" t="str">
        <f>H11</f>
        <v/>
      </c>
      <c r="E24" s="105"/>
      <c r="F24" s="76">
        <v>3.15</v>
      </c>
      <c r="G24" s="76" t="e">
        <f>IF(G23&lt;$F$32,NA(),G23-$H$16)</f>
        <v>#N/A</v>
      </c>
      <c r="H24" s="76" t="e">
        <f>G24-$G$23</f>
        <v>#N/A</v>
      </c>
      <c r="K24" s="31">
        <v>2.75</v>
      </c>
      <c r="L24" s="76" t="e">
        <f>IF(Q11="",NA(),Q11+L25-M11)</f>
        <v>#N/A</v>
      </c>
      <c r="M24" s="76" t="str">
        <f>Q11</f>
        <v/>
      </c>
      <c r="N24" s="105"/>
      <c r="O24" s="76">
        <v>3.15</v>
      </c>
      <c r="P24" s="76" t="e">
        <f>IF(P23&lt;$O$32,NA(),P23-$Q$16)</f>
        <v>#N/A</v>
      </c>
      <c r="Q24" s="76" t="e">
        <f t="shared" si="6"/>
        <v>#N/A</v>
      </c>
      <c r="T24" s="28" t="e">
        <f>W19/(4*V19)</f>
        <v>#VALUE!</v>
      </c>
      <c r="U24" s="28" t="e">
        <f>V19/(2*T24^2)</f>
        <v>#VALUE!</v>
      </c>
      <c r="V24" s="28" t="e">
        <f>U19-(U24*T24)</f>
        <v>#VALUE!</v>
      </c>
      <c r="W24" s="28" t="e">
        <f>2*GAMMAINV((1-$Q$4/100)/2,U24/2,1)</f>
        <v>#VALUE!</v>
      </c>
      <c r="X24" s="28" t="e">
        <f>2*GAMMAINV(1-(1-$Q$4/100)/2,U24/2,1)</f>
        <v>#VALUE!</v>
      </c>
      <c r="Y24" s="28" t="e">
        <f>IF(F44&gt;0,V24+(T24*W24),V24+(T24*X24))</f>
        <v>#VALUE!</v>
      </c>
      <c r="Z24" s="28" t="e">
        <f>IF(F44&gt;0,V24+(T24*X24),V24+(T24*W24))</f>
        <v>#VALUE!</v>
      </c>
    </row>
    <row r="25" spans="2:26" ht="15" thickBot="1" x14ac:dyDescent="0.35">
      <c r="B25" s="31">
        <v>2.75</v>
      </c>
      <c r="C25" s="76" t="e">
        <f>IF(D11="",NA(),C22)</f>
        <v>#N/A</v>
      </c>
      <c r="D25" s="76" t="str">
        <f>D11</f>
        <v/>
      </c>
      <c r="E25" s="105"/>
      <c r="F25" s="76">
        <v>3.15</v>
      </c>
      <c r="G25" s="76" t="e">
        <f>IF(G24&lt;$F$32,NA(),G24-$H$16)</f>
        <v>#N/A</v>
      </c>
      <c r="H25" s="76" t="e">
        <f t="shared" ref="H25:H28" si="8">G25-$G$23</f>
        <v>#N/A</v>
      </c>
      <c r="K25" s="31">
        <v>2.75</v>
      </c>
      <c r="L25" s="76" t="e">
        <f>IF(M11="",NA(),L22)</f>
        <v>#N/A</v>
      </c>
      <c r="M25" s="76" t="str">
        <f>M11</f>
        <v/>
      </c>
      <c r="N25" s="105"/>
      <c r="O25" s="76">
        <v>3.15</v>
      </c>
      <c r="P25" s="76" t="e">
        <f>IF(P24&lt;$O$32,NA(),P24-$Q$16)</f>
        <v>#N/A</v>
      </c>
      <c r="Q25" s="76" t="e">
        <f t="shared" si="6"/>
        <v>#N/A</v>
      </c>
      <c r="T25" s="7"/>
      <c r="U25" s="7"/>
      <c r="V25" s="7"/>
      <c r="W25" s="7"/>
      <c r="X25" s="7"/>
      <c r="Y25" s="7"/>
      <c r="Z25" s="7"/>
    </row>
    <row r="26" spans="2:26" ht="15" thickBot="1" x14ac:dyDescent="0.35">
      <c r="B26" s="31">
        <v>2.75</v>
      </c>
      <c r="C26" s="76" t="e">
        <f>IF(G11="",NA(),G11+C25-D11)</f>
        <v>#N/A</v>
      </c>
      <c r="D26" s="76" t="str">
        <f>G11</f>
        <v/>
      </c>
      <c r="E26" s="68"/>
      <c r="F26" s="76">
        <v>3.15</v>
      </c>
      <c r="G26" s="76" t="e">
        <f t="shared" ref="G26:G28" si="9">IF(G25&lt;$F$32,NA(),G25-$H$16)</f>
        <v>#N/A</v>
      </c>
      <c r="H26" s="76" t="e">
        <f t="shared" si="8"/>
        <v>#N/A</v>
      </c>
      <c r="K26" s="31">
        <v>2.75</v>
      </c>
      <c r="L26" s="76" t="e">
        <f>IF(P11="",NA(),P11+L25-M11)</f>
        <v>#N/A</v>
      </c>
      <c r="M26" s="76" t="str">
        <f>P11</f>
        <v/>
      </c>
      <c r="N26" s="68"/>
      <c r="O26" s="76">
        <v>3.15</v>
      </c>
      <c r="P26" s="76" t="e">
        <f>IF(P25&lt;$O$32,NA(),P25-$Q$16)</f>
        <v>#N/A</v>
      </c>
      <c r="Q26" s="76" t="e">
        <f t="shared" si="6"/>
        <v>#N/A</v>
      </c>
      <c r="V26" s="58" t="s">
        <v>65</v>
      </c>
      <c r="W26" s="58" t="s">
        <v>66</v>
      </c>
      <c r="X26" s="58" t="s">
        <v>67</v>
      </c>
      <c r="Y26" s="58" t="s">
        <v>21</v>
      </c>
      <c r="Z26" s="58" t="s">
        <v>22</v>
      </c>
    </row>
    <row r="27" spans="2:26" x14ac:dyDescent="0.3">
      <c r="B27" s="68"/>
      <c r="C27" s="76"/>
      <c r="D27" s="76"/>
      <c r="E27" s="68"/>
      <c r="F27" s="76">
        <v>3.15</v>
      </c>
      <c r="G27" s="76" t="e">
        <f t="shared" si="9"/>
        <v>#N/A</v>
      </c>
      <c r="H27" s="76" t="e">
        <f t="shared" si="8"/>
        <v>#N/A</v>
      </c>
      <c r="K27" s="68"/>
      <c r="L27" s="76"/>
      <c r="M27" s="76"/>
      <c r="N27" s="68"/>
      <c r="O27" s="76">
        <v>3.15</v>
      </c>
      <c r="P27" s="76" t="e">
        <f>IF(P26&lt;$O$32,NA(),P26-$Q$16)</f>
        <v>#N/A</v>
      </c>
      <c r="Q27" s="76" t="e">
        <f t="shared" si="6"/>
        <v>#N/A</v>
      </c>
      <c r="V27" s="27" t="e">
        <f>SQRT(V17)</f>
        <v>#VALUE!</v>
      </c>
      <c r="W27" s="27">
        <f>NORMINV((1-$Q$4/100)/2,0,1)</f>
        <v>-1.9599639845400536</v>
      </c>
      <c r="X27" s="27">
        <f>NORMINV(1-(1-$Q$4/100)/2,0,1)</f>
        <v>1.9599639845400536</v>
      </c>
      <c r="Y27" s="27" t="e">
        <f>U17+W27*V27</f>
        <v>#VALUE!</v>
      </c>
      <c r="Z27" s="27" t="e">
        <f>U17+X27*V27</f>
        <v>#VALUE!</v>
      </c>
    </row>
    <row r="28" spans="2:26" x14ac:dyDescent="0.3">
      <c r="B28" s="68"/>
      <c r="C28" s="68"/>
      <c r="D28" s="76"/>
      <c r="E28" s="68"/>
      <c r="F28" s="76">
        <v>3.15</v>
      </c>
      <c r="G28" s="76" t="e">
        <f t="shared" si="9"/>
        <v>#N/A</v>
      </c>
      <c r="H28" s="76" t="e">
        <f t="shared" si="8"/>
        <v>#N/A</v>
      </c>
      <c r="I28" s="76"/>
      <c r="K28" s="68"/>
      <c r="L28" s="68"/>
      <c r="M28" s="76"/>
      <c r="N28" s="68"/>
      <c r="O28" s="76">
        <v>3.15</v>
      </c>
      <c r="P28" s="76" t="e">
        <f>IF(P27&lt;$O$32,NA(),P27-$Q$16)</f>
        <v>#N/A</v>
      </c>
      <c r="Q28" s="76" t="e">
        <f t="shared" si="6"/>
        <v>#N/A</v>
      </c>
      <c r="R28" s="76"/>
      <c r="V28" s="27" t="e">
        <f>SQRT(V18)</f>
        <v>#VALUE!</v>
      </c>
      <c r="W28" s="27">
        <f>NORMINV((1-$Q$4/100)/2,0,1)</f>
        <v>-1.9599639845400536</v>
      </c>
      <c r="X28" s="27">
        <f>NORMINV(1-(1-$Q$4/100)/2,0,1)</f>
        <v>1.9599639845400536</v>
      </c>
      <c r="Y28" s="27" t="e">
        <f>U18+W28*V28</f>
        <v>#VALUE!</v>
      </c>
      <c r="Z28" s="27" t="e">
        <f>U18+X28*V28</f>
        <v>#VALUE!</v>
      </c>
    </row>
    <row r="29" spans="2:26" ht="15" thickBot="1" x14ac:dyDescent="0.35">
      <c r="B29" s="68"/>
      <c r="C29" s="68"/>
      <c r="D29" s="76"/>
      <c r="E29" s="68"/>
      <c r="F29" s="68"/>
      <c r="G29" s="68"/>
      <c r="H29" s="68"/>
      <c r="K29" s="68"/>
      <c r="L29" s="68"/>
      <c r="M29" s="76"/>
      <c r="N29" s="68"/>
      <c r="O29" s="68"/>
      <c r="P29" s="68"/>
      <c r="Q29" s="68"/>
      <c r="V29" s="27" t="e">
        <f>SQRT(V19)</f>
        <v>#VALUE!</v>
      </c>
      <c r="W29" s="27">
        <f>NORMINV((1-$Q$4/100)/2,0,1)</f>
        <v>-1.9599639845400536</v>
      </c>
      <c r="X29" s="27">
        <f>NORMINV(1-(1-$Q$4/100)/2,0,1)</f>
        <v>1.9599639845400536</v>
      </c>
      <c r="Y29" s="27" t="e">
        <f>U19+W29*V29</f>
        <v>#VALUE!</v>
      </c>
      <c r="Z29" s="27" t="e">
        <f>U19+X29*V29</f>
        <v>#VALUE!</v>
      </c>
    </row>
    <row r="30" spans="2:26" x14ac:dyDescent="0.3">
      <c r="B30" s="104" t="s">
        <v>78</v>
      </c>
      <c r="C30" s="68"/>
      <c r="D30" s="68"/>
      <c r="E30" s="68"/>
      <c r="F30" s="68" t="s">
        <v>80</v>
      </c>
      <c r="G30" s="68"/>
      <c r="H30" s="68"/>
      <c r="K30" s="104" t="s">
        <v>78</v>
      </c>
      <c r="L30" s="68"/>
      <c r="M30" s="68"/>
      <c r="N30" s="68"/>
      <c r="O30" s="68" t="s">
        <v>80</v>
      </c>
      <c r="P30" s="68"/>
      <c r="Q30" s="68"/>
      <c r="V30" s="7"/>
      <c r="W30" s="7"/>
      <c r="X30" s="7"/>
      <c r="Y30" s="7"/>
      <c r="Z30" s="7"/>
    </row>
    <row r="31" spans="2:26" x14ac:dyDescent="0.3">
      <c r="B31" s="31">
        <v>1.1000000000000001</v>
      </c>
      <c r="C31" s="76" t="e">
        <f>C19</f>
        <v>#N/A</v>
      </c>
      <c r="D31" s="31">
        <v>2.1</v>
      </c>
      <c r="E31" s="76" t="e">
        <f>C22</f>
        <v>#N/A</v>
      </c>
      <c r="F31" s="76" t="e">
        <f>MAX(C$18:C$26)</f>
        <v>#N/A</v>
      </c>
      <c r="G31" s="76" t="e">
        <f>IF(F31-F32=0,1,F31-F32)</f>
        <v>#N/A</v>
      </c>
      <c r="H31" s="76" t="e">
        <f>ROUNDUP(G31/G32,0)</f>
        <v>#N/A</v>
      </c>
      <c r="K31" s="31">
        <v>1.1000000000000001</v>
      </c>
      <c r="L31" s="76" t="e">
        <f>L19</f>
        <v>#N/A</v>
      </c>
      <c r="M31" s="31">
        <v>2.1</v>
      </c>
      <c r="N31" s="76" t="e">
        <f>L22</f>
        <v>#N/A</v>
      </c>
      <c r="O31" s="76" t="e">
        <f>MAX(L$18:L$26)</f>
        <v>#N/A</v>
      </c>
      <c r="P31" s="76" t="e">
        <f>IF(O31-O32=0,1,O31-O32)</f>
        <v>#N/A</v>
      </c>
      <c r="Q31" s="76" t="e">
        <f>ROUNDUP(P31/P32,0)</f>
        <v>#N/A</v>
      </c>
    </row>
    <row r="32" spans="2:26" x14ac:dyDescent="0.3">
      <c r="B32" s="31">
        <v>3.15</v>
      </c>
      <c r="C32" s="76" t="e">
        <f>C19</f>
        <v>#N/A</v>
      </c>
      <c r="D32" s="31">
        <v>3.15</v>
      </c>
      <c r="E32" s="76" t="e">
        <f>C22</f>
        <v>#N/A</v>
      </c>
      <c r="F32" s="76" t="e">
        <f>MIN(C$18:C$26)</f>
        <v>#N/A</v>
      </c>
      <c r="G32" s="76" t="e">
        <f>POWER(10,INT(LOG10(G31)))</f>
        <v>#N/A</v>
      </c>
      <c r="H32" s="76" t="e">
        <f>CHOOSE(H31,10,5,5,2,2,2,2,1,1,1)</f>
        <v>#N/A</v>
      </c>
      <c r="K32" s="31">
        <v>3.15</v>
      </c>
      <c r="L32" s="76" t="e">
        <f>L19</f>
        <v>#N/A</v>
      </c>
      <c r="M32" s="31">
        <v>3.15</v>
      </c>
      <c r="N32" s="76" t="e">
        <f>L22</f>
        <v>#N/A</v>
      </c>
      <c r="O32" s="76" t="e">
        <f>MIN(L$18:L$26)</f>
        <v>#N/A</v>
      </c>
      <c r="P32" s="76" t="e">
        <f>POWER(10,INT(LOG10(P31)))</f>
        <v>#N/A</v>
      </c>
      <c r="Q32" s="76" t="e">
        <f>CHOOSE(Q31,1,0.5,0.5,0.2,0.2,0.2,0.2,0.1,0.1,0.1)</f>
        <v>#N/A</v>
      </c>
    </row>
    <row r="33" spans="2:17" x14ac:dyDescent="0.3">
      <c r="B33" s="31"/>
      <c r="C33" s="76"/>
      <c r="D33" s="31"/>
      <c r="E33" s="76"/>
      <c r="F33" s="68"/>
      <c r="G33" s="68"/>
      <c r="H33" s="68"/>
      <c r="K33" s="31"/>
      <c r="L33" s="76"/>
      <c r="M33" s="31"/>
      <c r="N33" s="76"/>
      <c r="O33" s="68"/>
      <c r="P33" s="68"/>
      <c r="Q33" s="68"/>
    </row>
    <row r="34" spans="2:17" x14ac:dyDescent="0.3">
      <c r="B34" s="31"/>
      <c r="C34" s="76"/>
      <c r="D34" s="31"/>
      <c r="E34" s="76"/>
      <c r="F34" s="76"/>
      <c r="G34" s="76"/>
      <c r="H34" s="27"/>
      <c r="K34" s="31"/>
      <c r="L34" s="76"/>
      <c r="M34" s="31"/>
      <c r="N34" s="76"/>
      <c r="O34" s="76" t="e">
        <f>MAX($C$18:$C$26)</f>
        <v>#N/A</v>
      </c>
      <c r="P34" s="76" t="e">
        <f>IF(O34-O35=0,1,O34-O35)</f>
        <v>#N/A</v>
      </c>
      <c r="Q34" s="27" t="e">
        <f>P34/9</f>
        <v>#N/A</v>
      </c>
    </row>
    <row r="35" spans="2:17" x14ac:dyDescent="0.3">
      <c r="B35" s="31"/>
      <c r="C35" s="76"/>
      <c r="D35" s="31"/>
      <c r="E35" s="76"/>
      <c r="F35" s="76"/>
      <c r="G35" s="27"/>
      <c r="H35" s="27"/>
      <c r="K35" s="31"/>
      <c r="L35" s="76"/>
      <c r="M35" s="31"/>
      <c r="N35" s="76"/>
      <c r="O35" s="76" t="e">
        <f>MIN($C$18:$C$26)</f>
        <v>#N/A</v>
      </c>
      <c r="P35" s="27" t="e">
        <f>O34+P34/20</f>
        <v>#N/A</v>
      </c>
      <c r="Q35" s="27" t="e">
        <f>ROUNDUP(Q34,0)</f>
        <v>#N/A</v>
      </c>
    </row>
    <row r="36" spans="2:17" x14ac:dyDescent="0.3">
      <c r="B36" s="31"/>
      <c r="C36" s="76"/>
      <c r="D36" s="31"/>
      <c r="E36" s="76"/>
      <c r="F36" s="76"/>
      <c r="G36" s="27"/>
      <c r="H36" s="27"/>
      <c r="K36" s="31"/>
      <c r="L36" s="76"/>
      <c r="M36" s="31"/>
      <c r="N36" s="76"/>
      <c r="O36" s="76"/>
      <c r="P36" s="27"/>
      <c r="Q36" s="27"/>
    </row>
    <row r="37" spans="2:17" ht="15.6" x14ac:dyDescent="0.3">
      <c r="B37" s="45" t="s">
        <v>113</v>
      </c>
      <c r="K37" s="45" t="s">
        <v>115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0" t="s">
        <v>11</v>
      </c>
      <c r="G39" s="50" t="s">
        <v>2</v>
      </c>
      <c r="H39" s="50" t="s">
        <v>49</v>
      </c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2:17" x14ac:dyDescent="0.3">
      <c r="B40" s="52">
        <f>IF(B7="","",B7)</f>
        <v>2</v>
      </c>
      <c r="C40" s="101"/>
      <c r="D40" s="26" t="str">
        <f>IFERROR(D7-C40,"")</f>
        <v/>
      </c>
      <c r="E40" s="26" t="str">
        <f>IFERROR(E7/SQRT(C7),"")</f>
        <v/>
      </c>
      <c r="F40" s="26" t="str">
        <f>IFERROR(D40/E40,"")</f>
        <v/>
      </c>
      <c r="G40" s="57" t="str">
        <f>IF(C7&lt;&gt;"",C7-1,"")</f>
        <v/>
      </c>
      <c r="H40" s="26" t="str">
        <f>IFERROR(IF(TDIST(ABS(F40),G40,2)&lt;0.001,"&lt; 0.001",TDIST(ABS(F40),G40,2)),"")</f>
        <v/>
      </c>
      <c r="K40" s="52">
        <f>K7</f>
        <v>2</v>
      </c>
      <c r="L40" s="77" t="s">
        <v>116</v>
      </c>
      <c r="M40" s="3"/>
      <c r="N40" s="3"/>
      <c r="O40" s="3"/>
      <c r="P40" s="3"/>
      <c r="Q40" s="3"/>
    </row>
    <row r="41" spans="2:17" ht="15" thickBot="1" x14ac:dyDescent="0.35">
      <c r="B41" s="79">
        <f>IF(B8="","",B8)</f>
        <v>1</v>
      </c>
      <c r="C41" s="102"/>
      <c r="D41" s="48" t="str">
        <f>IFERROR(D8-C41,"")</f>
        <v/>
      </c>
      <c r="E41" s="48" t="str">
        <f>IFERROR(E8/SQRT(C8),"")</f>
        <v/>
      </c>
      <c r="F41" s="48" t="str">
        <f t="shared" ref="F41:F44" si="10">IFERROR(D41/E41,"")</f>
        <v/>
      </c>
      <c r="G41" s="80" t="str">
        <f>IF(C8&lt;&gt;"",C8-1,"")</f>
        <v/>
      </c>
      <c r="H41" s="48" t="str">
        <f>IFERROR(IF(TDIST(ABS(F41),G41,2)&lt;0.001,"&lt; 0.001",TDIST(ABS(F41),G41,2)),"")</f>
        <v/>
      </c>
      <c r="K41" s="79">
        <f>K8</f>
        <v>1</v>
      </c>
      <c r="L41" s="78" t="s">
        <v>116</v>
      </c>
      <c r="M41" s="3"/>
      <c r="N41" s="3"/>
      <c r="O41" s="3"/>
      <c r="P41" s="3"/>
      <c r="Q41" s="3"/>
    </row>
    <row r="42" spans="2:17" ht="15" thickBot="1" x14ac:dyDescent="0.35">
      <c r="B42" s="7"/>
      <c r="C42" s="6"/>
      <c r="D42" s="7"/>
      <c r="E42" s="7"/>
      <c r="F42" s="7"/>
      <c r="G42" s="7"/>
      <c r="H42" s="7"/>
      <c r="K42" s="7"/>
      <c r="L42" s="6"/>
      <c r="M42" s="3"/>
      <c r="N42" s="3"/>
      <c r="O42" s="3"/>
      <c r="P42" s="3"/>
      <c r="Q42" s="3"/>
    </row>
    <row r="43" spans="2:17" ht="15" thickBot="1" x14ac:dyDescent="0.35">
      <c r="B43" s="50" t="s">
        <v>111</v>
      </c>
      <c r="C43" s="47" t="s">
        <v>35</v>
      </c>
      <c r="D43" s="50" t="s">
        <v>50</v>
      </c>
      <c r="E43" s="50" t="s">
        <v>81</v>
      </c>
      <c r="F43" s="50" t="s">
        <v>11</v>
      </c>
      <c r="G43" s="50" t="s">
        <v>2</v>
      </c>
      <c r="H43" s="50" t="s">
        <v>49</v>
      </c>
      <c r="K43" s="50" t="s">
        <v>111</v>
      </c>
      <c r="L43" s="47" t="s">
        <v>38</v>
      </c>
      <c r="M43" s="3"/>
      <c r="N43" s="3"/>
      <c r="O43" s="3"/>
      <c r="P43" s="3"/>
      <c r="Q43" s="3"/>
    </row>
    <row r="44" spans="2:17" ht="15" thickBot="1" x14ac:dyDescent="0.35">
      <c r="B44" s="98" t="s">
        <v>68</v>
      </c>
      <c r="C44" s="108"/>
      <c r="D44" s="99" t="str">
        <f>IFERROR(D11-C44,"")</f>
        <v/>
      </c>
      <c r="E44" s="99" t="str">
        <f>IFERROR(SQRT((E11^2/C7)+(E11^2/C8)),"")</f>
        <v/>
      </c>
      <c r="F44" s="99" t="str">
        <f t="shared" si="10"/>
        <v/>
      </c>
      <c r="G44" s="100" t="str">
        <f>IFERROR(C7+C8-2,"")</f>
        <v/>
      </c>
      <c r="H44" s="99" t="str">
        <f>IFERROR(IF(TDIST(ABS(F44),G44,2)&lt;0.001,"&lt; 0.001",TDIST(ABS(F44),G44,2)),"")</f>
        <v/>
      </c>
      <c r="K44" s="98" t="s">
        <v>68</v>
      </c>
      <c r="L44" s="78" t="s">
        <v>116</v>
      </c>
      <c r="M44" s="3"/>
      <c r="N44" s="3"/>
      <c r="O44" s="3"/>
      <c r="P44" s="3"/>
      <c r="Q44" s="3"/>
    </row>
    <row r="45" spans="2:17" x14ac:dyDescent="0.3">
      <c r="B45" s="7"/>
      <c r="C45" s="7"/>
      <c r="D45" s="7"/>
      <c r="E45" s="7"/>
      <c r="F45" s="7"/>
      <c r="G45" s="7"/>
      <c r="H45" s="7"/>
      <c r="K45" s="7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topLeftCell="A28" zoomScaleNormal="100" workbookViewId="0">
      <selection activeCell="L40" sqref="L40:L45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30" t="s">
        <v>43</v>
      </c>
      <c r="C2" s="130"/>
      <c r="D2" s="130"/>
      <c r="E2" s="130"/>
      <c r="F2" s="130"/>
      <c r="G2" s="130"/>
      <c r="H2" s="130"/>
      <c r="I2"/>
      <c r="K2" s="130" t="s">
        <v>44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5" t="s">
        <v>112</v>
      </c>
      <c r="G4" s="24" t="s">
        <v>37</v>
      </c>
      <c r="H4" s="30">
        <v>95</v>
      </c>
      <c r="K4" s="5" t="s">
        <v>112</v>
      </c>
      <c r="L4" s="3"/>
      <c r="M4" s="3"/>
      <c r="N4" s="3"/>
      <c r="O4" s="3"/>
      <c r="P4" s="24" t="s">
        <v>37</v>
      </c>
      <c r="Q4" s="30">
        <v>95</v>
      </c>
      <c r="T4" s="45" t="s">
        <v>110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7" t="s">
        <v>4</v>
      </c>
      <c r="C6" s="47" t="str">
        <f t="shared" ref="C6:C12" si="0">G39</f>
        <v>df</v>
      </c>
      <c r="D6" s="47" t="s">
        <v>83</v>
      </c>
      <c r="E6" s="47" t="s">
        <v>65</v>
      </c>
      <c r="F6" s="47" t="s">
        <v>81</v>
      </c>
      <c r="G6" s="139" t="s">
        <v>82</v>
      </c>
      <c r="H6" s="139"/>
      <c r="J6" s="3"/>
      <c r="K6" s="47" t="s">
        <v>4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  <c r="T6" s="47" t="s">
        <v>4</v>
      </c>
      <c r="U6" s="50" t="s">
        <v>109</v>
      </c>
      <c r="V6" s="50" t="s">
        <v>50</v>
      </c>
      <c r="W6" s="47" t="s">
        <v>81</v>
      </c>
      <c r="X6" s="58" t="s">
        <v>11</v>
      </c>
      <c r="Y6" s="47" t="s">
        <v>2</v>
      </c>
      <c r="Z6" s="58" t="s">
        <v>49</v>
      </c>
    </row>
    <row r="7" spans="1:26" x14ac:dyDescent="0.3">
      <c r="B7" s="17" t="str">
        <f>IF(D7="","","1 vs. 2")</f>
        <v/>
      </c>
      <c r="C7" s="41" t="str">
        <f t="shared" si="0"/>
        <v/>
      </c>
      <c r="D7" s="18" t="str">
        <f>IFERROR(Data!W7-Data!W8,"")</f>
        <v/>
      </c>
      <c r="E7" s="18" t="str">
        <f>IF(B7="","",SQRT((Data!X7^2*(Data!V7-1)+Data!X8^2*(Data!V8-1))/G40))</f>
        <v/>
      </c>
      <c r="F7" s="18" t="str">
        <f>IF(B7="","",SQRT((E7^2/Data!V7)+(E7^2/Data!V8)))</f>
        <v/>
      </c>
      <c r="G7" s="18" t="str">
        <f t="shared" ref="G7:G12" si="1">IFERROR(D7-TINV(1-$H$4/100,G40)*E40,"")</f>
        <v/>
      </c>
      <c r="H7" s="18" t="str">
        <f t="shared" ref="H7:H12" si="2">IFERROR(D7+TINV(1-$H$4/100,G40)*E40,"")</f>
        <v/>
      </c>
      <c r="J7" s="3"/>
      <c r="K7" s="17" t="str">
        <f t="shared" ref="K7:K12" si="3">B7</f>
        <v/>
      </c>
      <c r="L7" s="18" t="str">
        <f t="shared" ref="L7:L12" si="4">IFERROR(D7/E7,"")</f>
        <v/>
      </c>
      <c r="M7" s="18" t="str">
        <f t="shared" ref="M7:M12" si="5">IFERROR((1-3/(4*G40-1))*L7,"")</f>
        <v/>
      </c>
      <c r="N7" s="41" t="str">
        <f t="shared" ref="N7:N12" si="6">C7</f>
        <v/>
      </c>
      <c r="O7" s="26" t="str">
        <f>IFERROR(SQRT((G40+2)/(Data!V7*Data!V8)+((L7^2)/(2*(G40+2)))),"")</f>
        <v/>
      </c>
      <c r="P7" s="26" t="str">
        <f>IFERROR(Y17*SQRT(1/Data!V7+1/Data!V8),"")</f>
        <v/>
      </c>
      <c r="Q7" s="26" t="str">
        <f>IFERROR(Z17*SQRT(1/Data!V7+1/Data!V8),"")</f>
        <v/>
      </c>
      <c r="T7" s="17" t="str">
        <f>B7</f>
        <v/>
      </c>
      <c r="U7" s="77">
        <v>0</v>
      </c>
      <c r="V7" s="18" t="str">
        <f>IFERROR(D7-U7,"")</f>
        <v/>
      </c>
      <c r="W7" s="18" t="str">
        <f>IF(B7="","",SQRT((E7^2/Data!V7)+(E7^2/Data!V8)))</f>
        <v/>
      </c>
      <c r="X7" s="26" t="str">
        <f>IFERROR(V7/W7,"")</f>
        <v/>
      </c>
      <c r="Y7" s="41" t="str">
        <f>IFERROR(Data!V7+Data!V8-2,"")</f>
        <v/>
      </c>
      <c r="Z7" s="18" t="str">
        <f t="shared" ref="Z7:Z12" si="7">IFERROR(IF(TDIST(ABS(X7),Y7,2)&lt;0.001,"&lt; 0.001",TDIST(ABS(X7),Y7,2)),"")</f>
        <v/>
      </c>
    </row>
    <row r="8" spans="1:26" x14ac:dyDescent="0.3">
      <c r="B8" s="19" t="str">
        <f>IF(D8="","","1 vs. 3")</f>
        <v/>
      </c>
      <c r="C8" s="42" t="str">
        <f t="shared" si="0"/>
        <v/>
      </c>
      <c r="D8" s="20" t="str">
        <f>IFERROR(Data!W7-Data!W9,"")</f>
        <v/>
      </c>
      <c r="E8" s="20" t="str">
        <f>IF(B8="","",SQRT((Data!X7^2*(Data!V7-1)+Data!X9^2*(Data!V9-1))/G41))</f>
        <v/>
      </c>
      <c r="F8" s="20" t="str">
        <f>IF(B8="","",SQRT((E8^2/Data!V7)+(E8^2/Data!V9)))</f>
        <v/>
      </c>
      <c r="G8" s="20" t="str">
        <f t="shared" si="1"/>
        <v/>
      </c>
      <c r="H8" s="20" t="str">
        <f t="shared" si="2"/>
        <v/>
      </c>
      <c r="J8" s="3"/>
      <c r="K8" s="19" t="str">
        <f t="shared" si="3"/>
        <v/>
      </c>
      <c r="L8" s="20" t="str">
        <f t="shared" si="4"/>
        <v/>
      </c>
      <c r="M8" s="20" t="str">
        <f t="shared" si="5"/>
        <v/>
      </c>
      <c r="N8" s="42" t="str">
        <f t="shared" si="6"/>
        <v/>
      </c>
      <c r="O8" s="28" t="str">
        <f>IFERROR(SQRT((G41+2)/(Data!V7*Data!V9)+((L8^2)/(2*(G41+2)))),"")</f>
        <v/>
      </c>
      <c r="P8" s="28" t="str">
        <f>IFERROR(Y18*SQRT(1/Data!V7+1/Data!V9),"")</f>
        <v/>
      </c>
      <c r="Q8" s="28" t="str">
        <f>IFERROR(Z18*SQRT(1/Data!V7+1/Data!V9),"")</f>
        <v/>
      </c>
      <c r="T8" s="19" t="str">
        <f t="shared" ref="T8:T12" si="8">B8</f>
        <v/>
      </c>
      <c r="U8" s="78" t="str">
        <f t="shared" ref="U8:U12" si="9">IF(T8="","",0)</f>
        <v/>
      </c>
      <c r="V8" s="20" t="str">
        <f t="shared" ref="V8:V12" si="10">IFERROR(D8-U8,"")</f>
        <v/>
      </c>
      <c r="W8" s="20" t="str">
        <f>IF(B8="","",SQRT((E8^2/Data!V7)+(E8^2/Data!V9)))</f>
        <v/>
      </c>
      <c r="X8" s="28" t="str">
        <f t="shared" ref="X8:X12" si="11">IFERROR(V8/W8,"")</f>
        <v/>
      </c>
      <c r="Y8" s="42" t="str">
        <f>IFERROR(Data!V7+Data!V9-2,"")</f>
        <v/>
      </c>
      <c r="Z8" s="20" t="str">
        <f t="shared" si="7"/>
        <v/>
      </c>
    </row>
    <row r="9" spans="1:26" x14ac:dyDescent="0.3">
      <c r="B9" s="19" t="str">
        <f>IF(D9="","","2 vs. 3")</f>
        <v/>
      </c>
      <c r="C9" s="42" t="str">
        <f t="shared" si="0"/>
        <v/>
      </c>
      <c r="D9" s="20" t="str">
        <f>IFERROR(Data!W8-Data!W9,"")</f>
        <v/>
      </c>
      <c r="E9" s="20" t="str">
        <f>IF(B9="","",SQRT((Data!X8^2*(Data!V8-1)+Data!X9^2*(Data!V9-1))/G42))</f>
        <v/>
      </c>
      <c r="F9" s="20" t="str">
        <f>IF(B9="","",SQRT((E9^2/Data!V8)+(E9^2/Data!V9)))</f>
        <v/>
      </c>
      <c r="G9" s="20" t="str">
        <f t="shared" si="1"/>
        <v/>
      </c>
      <c r="H9" s="20" t="str">
        <f t="shared" si="2"/>
        <v/>
      </c>
      <c r="J9" s="3"/>
      <c r="K9" s="19" t="str">
        <f t="shared" si="3"/>
        <v/>
      </c>
      <c r="L9" s="20" t="str">
        <f t="shared" si="4"/>
        <v/>
      </c>
      <c r="M9" s="20" t="str">
        <f t="shared" si="5"/>
        <v/>
      </c>
      <c r="N9" s="42" t="str">
        <f t="shared" si="6"/>
        <v/>
      </c>
      <c r="O9" s="28" t="str">
        <f>IFERROR(SQRT((G42+2)/(Data!V8*Data!V9)+((L9^2)/(2*(G42+2)))),"")</f>
        <v/>
      </c>
      <c r="P9" s="28" t="str">
        <f>IFERROR(Y19*SQRT(1/Data!V8+1/Data!V9),"")</f>
        <v/>
      </c>
      <c r="Q9" s="28" t="str">
        <f>IFERROR(Z19*SQRT(1/Data!V8+1/Data!V9),"")</f>
        <v/>
      </c>
      <c r="T9" s="19" t="str">
        <f t="shared" si="8"/>
        <v/>
      </c>
      <c r="U9" s="78" t="str">
        <f t="shared" si="9"/>
        <v/>
      </c>
      <c r="V9" s="20" t="str">
        <f t="shared" si="10"/>
        <v/>
      </c>
      <c r="W9" s="20" t="str">
        <f>IF(B9="","",SQRT((E9^2/Data!V8)+(E9^2/Data!V9)))</f>
        <v/>
      </c>
      <c r="X9" s="28" t="str">
        <f t="shared" si="11"/>
        <v/>
      </c>
      <c r="Y9" s="42" t="str">
        <f>IFERROR(Data!V8+Data!V9-2,"")</f>
        <v/>
      </c>
      <c r="Z9" s="20" t="str">
        <f t="shared" si="7"/>
        <v/>
      </c>
    </row>
    <row r="10" spans="1:26" x14ac:dyDescent="0.3">
      <c r="B10" s="19" t="str">
        <f>IF(D10="","","1 vs. 4")</f>
        <v/>
      </c>
      <c r="C10" s="42" t="str">
        <f t="shared" si="0"/>
        <v/>
      </c>
      <c r="D10" s="20" t="str">
        <f>IFERROR(Data!W7-Data!W10,"")</f>
        <v/>
      </c>
      <c r="E10" s="20" t="str">
        <f>IF(B10="","",SQRT((Data!X7^2*(Data!V7-1)+Data!X10^2*(Data!V10-1))/G43))</f>
        <v/>
      </c>
      <c r="F10" s="20" t="str">
        <f>IF(B10="","",SQRT((E10^2/Data!V7)+(E10^2/Data!V10)))</f>
        <v/>
      </c>
      <c r="G10" s="20" t="str">
        <f t="shared" si="1"/>
        <v/>
      </c>
      <c r="H10" s="20" t="str">
        <f t="shared" si="2"/>
        <v/>
      </c>
      <c r="J10" s="3"/>
      <c r="K10" s="19" t="str">
        <f t="shared" si="3"/>
        <v/>
      </c>
      <c r="L10" s="20" t="str">
        <f t="shared" si="4"/>
        <v/>
      </c>
      <c r="M10" s="20" t="str">
        <f t="shared" si="5"/>
        <v/>
      </c>
      <c r="N10" s="42" t="str">
        <f t="shared" si="6"/>
        <v/>
      </c>
      <c r="O10" s="28" t="str">
        <f>IFERROR(SQRT((G43+2)/(Data!V7*Data!V10)+((L10^2)/(2*(G43+2)))),"")</f>
        <v/>
      </c>
      <c r="P10" s="28" t="str">
        <f>IFERROR(Y20*SQRT(1/Data!V7+1/Data!V10),"")</f>
        <v/>
      </c>
      <c r="Q10" s="28" t="str">
        <f>IFERROR(Z20*SQRT(1/Data!V7+1/Data!V10),"")</f>
        <v/>
      </c>
      <c r="T10" s="19" t="str">
        <f t="shared" si="8"/>
        <v/>
      </c>
      <c r="U10" s="78" t="str">
        <f t="shared" si="9"/>
        <v/>
      </c>
      <c r="V10" s="20" t="str">
        <f t="shared" si="10"/>
        <v/>
      </c>
      <c r="W10" s="20" t="str">
        <f>IF(B10="","",SQRT((E10^2/Data!V7)+(E10^2/Data!V10)))</f>
        <v/>
      </c>
      <c r="X10" s="28" t="str">
        <f t="shared" si="11"/>
        <v/>
      </c>
      <c r="Y10" s="42" t="str">
        <f>IFERROR(Data!V7+Data!V10-2,"")</f>
        <v/>
      </c>
      <c r="Z10" s="20" t="str">
        <f t="shared" si="7"/>
        <v/>
      </c>
    </row>
    <row r="11" spans="1:26" x14ac:dyDescent="0.3">
      <c r="B11" s="19" t="str">
        <f>IF(D11="","","2 vs. 4")</f>
        <v/>
      </c>
      <c r="C11" s="42" t="str">
        <f t="shared" si="0"/>
        <v/>
      </c>
      <c r="D11" s="20" t="str">
        <f>IFERROR(Data!W8-Data!W10,"")</f>
        <v/>
      </c>
      <c r="E11" s="20" t="str">
        <f>IF(B11="","",SQRT((Data!X8^2*(Data!V8-1)+Data!X10^2*(Data!V10-1))/G44))</f>
        <v/>
      </c>
      <c r="F11" s="20" t="str">
        <f>IF(B11="","",SQRT((E11^2/Data!V8)+(E11^2/Data!V10)))</f>
        <v/>
      </c>
      <c r="G11" s="20" t="str">
        <f t="shared" si="1"/>
        <v/>
      </c>
      <c r="H11" s="20" t="str">
        <f t="shared" si="2"/>
        <v/>
      </c>
      <c r="J11" s="3"/>
      <c r="K11" s="19" t="str">
        <f t="shared" si="3"/>
        <v/>
      </c>
      <c r="L11" s="20" t="str">
        <f t="shared" si="4"/>
        <v/>
      </c>
      <c r="M11" s="20" t="str">
        <f t="shared" si="5"/>
        <v/>
      </c>
      <c r="N11" s="42" t="str">
        <f t="shared" si="6"/>
        <v/>
      </c>
      <c r="O11" s="28" t="str">
        <f>IFERROR(SQRT((G44+2)/(Data!V8*Data!V10)+((L11^2)/(2*(G44+2)))),"")</f>
        <v/>
      </c>
      <c r="P11" s="28" t="str">
        <f>IFERROR(Y21*SQRT(1/Data!V8+1/Data!V10),"")</f>
        <v/>
      </c>
      <c r="Q11" s="28" t="str">
        <f>IFERROR(Z21*SQRT(1/Data!V8+1/Data!V10),"")</f>
        <v/>
      </c>
      <c r="T11" s="19" t="str">
        <f t="shared" si="8"/>
        <v/>
      </c>
      <c r="U11" s="78" t="str">
        <f t="shared" si="9"/>
        <v/>
      </c>
      <c r="V11" s="20" t="str">
        <f t="shared" si="10"/>
        <v/>
      </c>
      <c r="W11" s="20" t="str">
        <f>IF(B11="","",SQRT((E11^2/Data!V8)+(E11^2/Data!V10)))</f>
        <v/>
      </c>
      <c r="X11" s="28" t="str">
        <f t="shared" si="11"/>
        <v/>
      </c>
      <c r="Y11" s="42" t="str">
        <f>IFERROR(Data!V8+Data!V10-2,"")</f>
        <v/>
      </c>
      <c r="Z11" s="20" t="str">
        <f t="shared" si="7"/>
        <v/>
      </c>
    </row>
    <row r="12" spans="1:26" ht="15" thickBot="1" x14ac:dyDescent="0.35">
      <c r="B12" s="21" t="str">
        <f>IF(D12="","","3 vs. 4")</f>
        <v/>
      </c>
      <c r="C12" s="43" t="str">
        <f t="shared" si="0"/>
        <v/>
      </c>
      <c r="D12" s="22" t="str">
        <f>IFERROR(Data!W9-Data!W10,"")</f>
        <v/>
      </c>
      <c r="E12" s="22" t="str">
        <f>IF(B12="","",SQRT((Data!X9^2*(Data!V9-1)+Data!X10^2*(Data!V10-1))/G45))</f>
        <v/>
      </c>
      <c r="F12" s="22" t="str">
        <f>IF(B12="","",SQRT((E12^2/Data!V9)+(E12^2/Data!V10)))</f>
        <v/>
      </c>
      <c r="G12" s="22" t="str">
        <f t="shared" si="1"/>
        <v/>
      </c>
      <c r="H12" s="22" t="str">
        <f t="shared" si="2"/>
        <v/>
      </c>
      <c r="J12" s="3"/>
      <c r="K12" s="21" t="str">
        <f t="shared" si="3"/>
        <v/>
      </c>
      <c r="L12" s="22" t="str">
        <f t="shared" si="4"/>
        <v/>
      </c>
      <c r="M12" s="22" t="str">
        <f t="shared" si="5"/>
        <v/>
      </c>
      <c r="N12" s="43" t="str">
        <f t="shared" si="6"/>
        <v/>
      </c>
      <c r="O12" s="29" t="str">
        <f>IFERROR(SQRT((G45+2)/(Data!V9*Data!V10)+((L12^2)/(2*(G45+2)))),"")</f>
        <v/>
      </c>
      <c r="P12" s="29" t="str">
        <f>IFERROR(Y22*SQRT(1/Data!V9+1/Data!V10),"")</f>
        <v/>
      </c>
      <c r="Q12" s="29" t="str">
        <f>IFERROR(Z22*SQRT(1/Data!V9+1/Data!V10),"")</f>
        <v/>
      </c>
      <c r="T12" s="21" t="str">
        <f t="shared" si="8"/>
        <v/>
      </c>
      <c r="U12" s="111" t="str">
        <f t="shared" si="9"/>
        <v/>
      </c>
      <c r="V12" s="22" t="str">
        <f t="shared" si="10"/>
        <v/>
      </c>
      <c r="W12" s="22" t="str">
        <f>IF(B12="","",SQRT((E12^2/Data!V9)+(E12^2/Data!V10)))</f>
        <v/>
      </c>
      <c r="X12" s="29" t="str">
        <f t="shared" si="11"/>
        <v/>
      </c>
      <c r="Y12" s="43" t="str">
        <f>IFERROR(Data!V9+Data!V10-2,"")</f>
        <v/>
      </c>
      <c r="Z12" s="22" t="str">
        <f t="shared" si="7"/>
        <v/>
      </c>
    </row>
    <row r="13" spans="1:26" x14ac:dyDescent="0.3">
      <c r="B13" s="2"/>
      <c r="C13" s="7"/>
      <c r="D13" s="2"/>
      <c r="E13" s="2"/>
      <c r="F13" s="2"/>
      <c r="G13" s="2"/>
      <c r="H13" s="2"/>
      <c r="J13" s="3"/>
      <c r="K13" s="2"/>
      <c r="L13" s="2"/>
      <c r="M13" s="2"/>
      <c r="N13" s="7"/>
      <c r="O13" s="2"/>
      <c r="P13" s="2"/>
      <c r="Q13" s="2"/>
      <c r="T13" s="7"/>
      <c r="U13" s="2"/>
      <c r="V13" s="7"/>
      <c r="W13" s="2"/>
      <c r="X13" s="7"/>
      <c r="Y13" s="7"/>
      <c r="Z13" s="7"/>
    </row>
    <row r="14" spans="1:26" ht="15.6" x14ac:dyDescent="0.3">
      <c r="B14" s="5" t="s">
        <v>114</v>
      </c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8" t="s">
        <v>77</v>
      </c>
      <c r="C16" s="39"/>
      <c r="D16" s="39"/>
      <c r="E16" s="37"/>
      <c r="F16" s="37"/>
      <c r="G16" s="88" t="s">
        <v>79</v>
      </c>
      <c r="H16" s="39"/>
      <c r="J16" s="3"/>
      <c r="K16" s="88" t="s">
        <v>77</v>
      </c>
      <c r="L16" s="39"/>
      <c r="M16" s="39"/>
      <c r="N16" s="37"/>
      <c r="O16" s="37"/>
      <c r="P16" s="88" t="s">
        <v>79</v>
      </c>
      <c r="Q16" s="39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6" t="s">
        <v>0</v>
      </c>
      <c r="C17" s="36" t="s">
        <v>75</v>
      </c>
      <c r="D17" s="36" t="s">
        <v>72</v>
      </c>
      <c r="E17" s="37"/>
      <c r="F17" s="37"/>
      <c r="G17" s="36" t="s">
        <v>34</v>
      </c>
      <c r="H17" s="36" t="s">
        <v>75</v>
      </c>
      <c r="J17" s="3"/>
      <c r="K17" s="36" t="s">
        <v>0</v>
      </c>
      <c r="L17" s="36" t="s">
        <v>75</v>
      </c>
      <c r="M17" s="36" t="s">
        <v>72</v>
      </c>
      <c r="N17" s="37"/>
      <c r="O17" s="37"/>
      <c r="P17" s="36" t="s">
        <v>34</v>
      </c>
      <c r="Q17" s="36" t="s">
        <v>75</v>
      </c>
      <c r="T17" s="26" t="e">
        <f t="shared" ref="T17:T22" si="12">EXP(((LN(2)-LN(Y7))/2)+GAMMALN((Y7+1)/2)-GAMMALN(Y7/2))</f>
        <v>#VALUE!</v>
      </c>
      <c r="U17" s="26" t="e">
        <f t="shared" ref="U17:U22" si="13">T17*X7</f>
        <v>#VALUE!</v>
      </c>
      <c r="V17" s="26" t="e">
        <f t="shared" ref="V17:V22" si="14">1+(X7^2)*(1-T17^2)</f>
        <v>#VALUE!</v>
      </c>
      <c r="W17" s="26" t="e">
        <f t="shared" ref="W17:W22" si="15">(2*U17^3)-((2*Y7-1)/Y7)*(X7^2*U17)</f>
        <v>#VALUE!</v>
      </c>
      <c r="X17" s="11" t="e">
        <f t="shared" ref="X17" si="16">W17/SQRT(V17)^3</f>
        <v>#VALUE!</v>
      </c>
      <c r="Y17" s="27" t="e">
        <f t="shared" ref="Y17:Z22" si="17">IF($X17&lt;0.001,Y33,Y25)</f>
        <v>#VALUE!</v>
      </c>
      <c r="Z17" s="27" t="e">
        <f t="shared" si="17"/>
        <v>#VALUE!</v>
      </c>
    </row>
    <row r="18" spans="2:26" x14ac:dyDescent="0.3">
      <c r="B18" s="38">
        <v>1.1000000000000001</v>
      </c>
      <c r="C18" s="38" t="e">
        <f>IF(H7="",NA(),H7)</f>
        <v>#N/A</v>
      </c>
      <c r="D18" s="38" t="e">
        <f t="shared" ref="D18:D35" si="18">C18</f>
        <v>#N/A</v>
      </c>
      <c r="E18" s="38"/>
      <c r="F18" s="38"/>
      <c r="G18" s="37">
        <v>0.5</v>
      </c>
      <c r="H18" s="37">
        <f>C$40</f>
        <v>0</v>
      </c>
      <c r="J18" s="3"/>
      <c r="K18" s="38">
        <v>1.1000000000000001</v>
      </c>
      <c r="L18" s="38" t="e">
        <f>IF(Q7="",NA(),Q7)</f>
        <v>#N/A</v>
      </c>
      <c r="M18" s="38" t="e">
        <f t="shared" ref="M18:M35" si="19">L18</f>
        <v>#N/A</v>
      </c>
      <c r="N18" s="38"/>
      <c r="O18" s="38"/>
      <c r="P18" s="37">
        <v>0.5</v>
      </c>
      <c r="Q18" s="37">
        <f>L$40</f>
        <v>0</v>
      </c>
      <c r="T18" s="28" t="e">
        <f t="shared" si="12"/>
        <v>#VALUE!</v>
      </c>
      <c r="U18" s="28" t="e">
        <f t="shared" si="13"/>
        <v>#VALUE!</v>
      </c>
      <c r="V18" s="28" t="e">
        <f t="shared" si="14"/>
        <v>#VALUE!</v>
      </c>
      <c r="W18" s="28" t="e">
        <f t="shared" si="15"/>
        <v>#VALUE!</v>
      </c>
      <c r="X18" s="11" t="e">
        <f t="shared" ref="X18:X22" si="20">W18/SQRT(V18)^3</f>
        <v>#VALUE!</v>
      </c>
      <c r="Y18" s="27" t="e">
        <f t="shared" si="17"/>
        <v>#VALUE!</v>
      </c>
      <c r="Z18" s="27" t="e">
        <f t="shared" si="17"/>
        <v>#VALUE!</v>
      </c>
    </row>
    <row r="19" spans="2:26" x14ac:dyDescent="0.3">
      <c r="B19" s="38">
        <v>1.1000000000000001</v>
      </c>
      <c r="C19" s="37" t="e">
        <f>IF(D7="",NA(),D7)</f>
        <v>#N/A</v>
      </c>
      <c r="D19" s="38" t="e">
        <f t="shared" si="18"/>
        <v>#N/A</v>
      </c>
      <c r="E19" s="38"/>
      <c r="F19" s="38"/>
      <c r="G19" s="37">
        <v>1</v>
      </c>
      <c r="H19" s="37">
        <f>C$40</f>
        <v>0</v>
      </c>
      <c r="J19" s="3"/>
      <c r="K19" s="38">
        <v>1.1000000000000001</v>
      </c>
      <c r="L19" s="37" t="e">
        <f>IF(M7="",NA(),M7)</f>
        <v>#N/A</v>
      </c>
      <c r="M19" s="38" t="e">
        <f t="shared" si="19"/>
        <v>#N/A</v>
      </c>
      <c r="N19" s="38"/>
      <c r="O19" s="38"/>
      <c r="P19" s="37">
        <v>1</v>
      </c>
      <c r="Q19" s="37">
        <f>L$40</f>
        <v>0</v>
      </c>
      <c r="T19" s="28" t="e">
        <f t="shared" si="12"/>
        <v>#VALUE!</v>
      </c>
      <c r="U19" s="28" t="e">
        <f t="shared" si="13"/>
        <v>#VALUE!</v>
      </c>
      <c r="V19" s="28" t="e">
        <f t="shared" si="14"/>
        <v>#VALUE!</v>
      </c>
      <c r="W19" s="28" t="e">
        <f t="shared" si="15"/>
        <v>#VALUE!</v>
      </c>
      <c r="X19" s="11" t="e">
        <f t="shared" si="20"/>
        <v>#VALUE!</v>
      </c>
      <c r="Y19" s="27" t="e">
        <f t="shared" si="17"/>
        <v>#VALUE!</v>
      </c>
      <c r="Z19" s="27" t="e">
        <f t="shared" si="17"/>
        <v>#VALUE!</v>
      </c>
    </row>
    <row r="20" spans="2:26" ht="15.6" x14ac:dyDescent="0.3">
      <c r="B20" s="38">
        <v>1.1000000000000001</v>
      </c>
      <c r="C20" s="38" t="e">
        <f>IF(G7="",NA(),G7)</f>
        <v>#N/A</v>
      </c>
      <c r="D20" s="38" t="e">
        <f t="shared" si="18"/>
        <v>#N/A</v>
      </c>
      <c r="E20" s="38"/>
      <c r="F20" s="38"/>
      <c r="G20" s="37">
        <v>1.5</v>
      </c>
      <c r="H20" s="37">
        <f>C$40</f>
        <v>0</v>
      </c>
      <c r="J20" s="3"/>
      <c r="K20" s="38">
        <v>1.1000000000000001</v>
      </c>
      <c r="L20" s="38" t="e">
        <f>IF(P7="",NA(),P7)</f>
        <v>#N/A</v>
      </c>
      <c r="M20" s="38" t="e">
        <f t="shared" si="19"/>
        <v>#N/A</v>
      </c>
      <c r="N20" s="38"/>
      <c r="O20" s="38"/>
      <c r="P20" s="37">
        <v>1.5</v>
      </c>
      <c r="Q20" s="37">
        <f>L$40</f>
        <v>0</v>
      </c>
      <c r="S20" s="4"/>
      <c r="T20" s="28" t="e">
        <f t="shared" si="12"/>
        <v>#VALUE!</v>
      </c>
      <c r="U20" s="28" t="e">
        <f t="shared" si="13"/>
        <v>#VALUE!</v>
      </c>
      <c r="V20" s="28" t="e">
        <f t="shared" si="14"/>
        <v>#VALUE!</v>
      </c>
      <c r="W20" s="28" t="e">
        <f t="shared" si="15"/>
        <v>#VALUE!</v>
      </c>
      <c r="X20" s="11" t="e">
        <f t="shared" si="20"/>
        <v>#VALUE!</v>
      </c>
      <c r="Y20" s="27" t="e">
        <f t="shared" si="17"/>
        <v>#VALUE!</v>
      </c>
      <c r="Z20" s="27" t="e">
        <f t="shared" si="17"/>
        <v>#VALUE!</v>
      </c>
    </row>
    <row r="21" spans="2:26" x14ac:dyDescent="0.3">
      <c r="B21" s="38">
        <v>2.1</v>
      </c>
      <c r="C21" s="38" t="e">
        <f>IF(H8="",NA(),H8)</f>
        <v>#N/A</v>
      </c>
      <c r="D21" s="38" t="e">
        <f t="shared" si="18"/>
        <v>#N/A</v>
      </c>
      <c r="E21" s="38"/>
      <c r="F21" s="38"/>
      <c r="G21" s="37">
        <v>1.5</v>
      </c>
      <c r="H21" s="37">
        <f>C$41</f>
        <v>0</v>
      </c>
      <c r="J21" s="3"/>
      <c r="K21" s="38">
        <v>2.1</v>
      </c>
      <c r="L21" s="38" t="e">
        <f>IF(Q8="",NA(),Q8)</f>
        <v>#N/A</v>
      </c>
      <c r="M21" s="38" t="e">
        <f t="shared" si="19"/>
        <v>#N/A</v>
      </c>
      <c r="N21" s="38"/>
      <c r="O21" s="38"/>
      <c r="P21" s="37">
        <v>1.5</v>
      </c>
      <c r="Q21" s="37">
        <f>L$41</f>
        <v>0</v>
      </c>
      <c r="T21" s="71" t="e">
        <f t="shared" si="12"/>
        <v>#VALUE!</v>
      </c>
      <c r="U21" s="71" t="e">
        <f t="shared" si="13"/>
        <v>#VALUE!</v>
      </c>
      <c r="V21" s="71" t="e">
        <f t="shared" si="14"/>
        <v>#VALUE!</v>
      </c>
      <c r="W21" s="71" t="e">
        <f t="shared" si="15"/>
        <v>#VALUE!</v>
      </c>
      <c r="X21" s="11" t="e">
        <f t="shared" si="20"/>
        <v>#VALUE!</v>
      </c>
      <c r="Y21" s="27" t="e">
        <f t="shared" si="17"/>
        <v>#VALUE!</v>
      </c>
      <c r="Z21" s="27" t="e">
        <f t="shared" si="17"/>
        <v>#VALUE!</v>
      </c>
    </row>
    <row r="22" spans="2:26" ht="15" thickBot="1" x14ac:dyDescent="0.35">
      <c r="B22" s="38">
        <v>2.1</v>
      </c>
      <c r="C22" s="37" t="e">
        <f>IF(D8="",NA(),D8)</f>
        <v>#N/A</v>
      </c>
      <c r="D22" s="38" t="e">
        <f t="shared" si="18"/>
        <v>#N/A</v>
      </c>
      <c r="E22" s="38"/>
      <c r="F22" s="38"/>
      <c r="G22" s="37">
        <v>2</v>
      </c>
      <c r="H22" s="37">
        <f>C$41</f>
        <v>0</v>
      </c>
      <c r="J22" s="3"/>
      <c r="K22" s="38">
        <v>2.1</v>
      </c>
      <c r="L22" s="37" t="e">
        <f>IF(M8="",NA(),M8)</f>
        <v>#N/A</v>
      </c>
      <c r="M22" s="38" t="e">
        <f t="shared" si="19"/>
        <v>#N/A</v>
      </c>
      <c r="N22" s="38"/>
      <c r="O22" s="38"/>
      <c r="P22" s="37">
        <v>2</v>
      </c>
      <c r="Q22" s="37">
        <f>L$41</f>
        <v>0</v>
      </c>
      <c r="T22" s="71" t="e">
        <f t="shared" si="12"/>
        <v>#VALUE!</v>
      </c>
      <c r="U22" s="71" t="e">
        <f t="shared" si="13"/>
        <v>#VALUE!</v>
      </c>
      <c r="V22" s="71" t="e">
        <f t="shared" si="14"/>
        <v>#VALUE!</v>
      </c>
      <c r="W22" s="71" t="e">
        <f t="shared" si="15"/>
        <v>#VALUE!</v>
      </c>
      <c r="X22" s="11" t="e">
        <f t="shared" si="20"/>
        <v>#VALUE!</v>
      </c>
      <c r="Y22" s="27" t="e">
        <f t="shared" si="17"/>
        <v>#VALUE!</v>
      </c>
      <c r="Z22" s="27" t="e">
        <f t="shared" si="17"/>
        <v>#VALUE!</v>
      </c>
    </row>
    <row r="23" spans="2:26" ht="15" thickBot="1" x14ac:dyDescent="0.35">
      <c r="B23" s="38">
        <v>2.1</v>
      </c>
      <c r="C23" s="38" t="e">
        <f>IF(G8="",NA(),G8)</f>
        <v>#N/A</v>
      </c>
      <c r="D23" s="38" t="e">
        <f t="shared" si="18"/>
        <v>#N/A</v>
      </c>
      <c r="E23" s="38"/>
      <c r="F23" s="38"/>
      <c r="G23" s="37">
        <v>2.5</v>
      </c>
      <c r="H23" s="37">
        <f>C$41</f>
        <v>0</v>
      </c>
      <c r="J23" s="3"/>
      <c r="K23" s="38">
        <v>2.1</v>
      </c>
      <c r="L23" s="38" t="e">
        <f>IF(P8="",NA(),P8)</f>
        <v>#N/A</v>
      </c>
      <c r="M23" s="38" t="e">
        <f t="shared" si="19"/>
        <v>#N/A</v>
      </c>
      <c r="N23" s="38"/>
      <c r="O23" s="38"/>
      <c r="P23" s="37">
        <v>2.5</v>
      </c>
      <c r="Q23" s="37">
        <f>L$41</f>
        <v>0</v>
      </c>
      <c r="T23" s="6"/>
      <c r="U23" s="6"/>
      <c r="V23" s="6"/>
      <c r="W23" s="6"/>
      <c r="X23" s="6"/>
      <c r="Y23" s="6"/>
      <c r="Z23" s="6"/>
    </row>
    <row r="24" spans="2:26" ht="15" thickBot="1" x14ac:dyDescent="0.35">
      <c r="B24" s="38">
        <v>3.1</v>
      </c>
      <c r="C24" s="38" t="e">
        <f>IF(H9="",NA(),H9)</f>
        <v>#N/A</v>
      </c>
      <c r="D24" s="38" t="e">
        <f t="shared" si="18"/>
        <v>#N/A</v>
      </c>
      <c r="E24" s="38"/>
      <c r="F24" s="38"/>
      <c r="G24" s="37">
        <v>2.5</v>
      </c>
      <c r="H24" s="37">
        <f>C$42</f>
        <v>0</v>
      </c>
      <c r="J24" s="3"/>
      <c r="K24" s="38">
        <v>3.1</v>
      </c>
      <c r="L24" s="38" t="e">
        <f>IF(Q9="",NA(),Q9)</f>
        <v>#N/A</v>
      </c>
      <c r="M24" s="38" t="e">
        <f t="shared" si="19"/>
        <v>#N/A</v>
      </c>
      <c r="N24" s="38"/>
      <c r="O24" s="38"/>
      <c r="P24" s="37">
        <v>2.5</v>
      </c>
      <c r="Q24" s="37">
        <f>L$42</f>
        <v>0</v>
      </c>
      <c r="T24" s="58" t="s">
        <v>16</v>
      </c>
      <c r="U24" s="58" t="s">
        <v>17</v>
      </c>
      <c r="V24" s="58" t="s">
        <v>18</v>
      </c>
      <c r="W24" s="58" t="s">
        <v>19</v>
      </c>
      <c r="X24" s="58" t="s">
        <v>20</v>
      </c>
      <c r="Y24" s="58" t="s">
        <v>21</v>
      </c>
      <c r="Z24" s="58" t="s">
        <v>22</v>
      </c>
    </row>
    <row r="25" spans="2:26" x14ac:dyDescent="0.3">
      <c r="B25" s="38">
        <v>3.1</v>
      </c>
      <c r="C25" s="37" t="e">
        <f>IF(D9="",NA(),D9)</f>
        <v>#N/A</v>
      </c>
      <c r="D25" s="38" t="e">
        <f t="shared" si="18"/>
        <v>#N/A</v>
      </c>
      <c r="E25" s="38"/>
      <c r="F25" s="38"/>
      <c r="G25" s="37">
        <v>3</v>
      </c>
      <c r="H25" s="37">
        <f>C$42</f>
        <v>0</v>
      </c>
      <c r="J25" s="3"/>
      <c r="K25" s="38">
        <v>3.1</v>
      </c>
      <c r="L25" s="37" t="e">
        <f>IF(M9="",NA(),M9)</f>
        <v>#N/A</v>
      </c>
      <c r="M25" s="38" t="e">
        <f t="shared" si="19"/>
        <v>#N/A</v>
      </c>
      <c r="N25" s="38"/>
      <c r="O25" s="38"/>
      <c r="P25" s="37">
        <v>3</v>
      </c>
      <c r="Q25" s="37">
        <f>L$42</f>
        <v>0</v>
      </c>
      <c r="T25" s="26" t="e">
        <f t="shared" ref="T25:T30" si="21">W17/(4*V17)</f>
        <v>#VALUE!</v>
      </c>
      <c r="U25" s="26" t="e">
        <f t="shared" ref="U25:U30" si="22">V17/(2*T25^2)</f>
        <v>#VALUE!</v>
      </c>
      <c r="V25" s="26" t="e">
        <f t="shared" ref="V25:V30" si="23">U17-(U25*T25)</f>
        <v>#VALUE!</v>
      </c>
      <c r="W25" s="26" t="e">
        <f t="shared" ref="W25:W30" si="24">2*GAMMAINV((1-$Q$4/100)/2,U25/2,1)</f>
        <v>#VALUE!</v>
      </c>
      <c r="X25" s="26" t="e">
        <f t="shared" ref="X25:X30" si="25">2*GAMMAINV(1-(1-$Q$4/100)/2,U25/2,1)</f>
        <v>#VALUE!</v>
      </c>
      <c r="Y25" s="26" t="e">
        <f t="shared" ref="Y25:Y30" si="26">IF(F40&gt;0,V25+(T25*W25),V25+(T25*X25))</f>
        <v>#VALUE!</v>
      </c>
      <c r="Z25" s="26" t="e">
        <f t="shared" ref="Z25:Z30" si="27">IF(F40&gt;0,V25+(T25*X25),V25+(T25*W25))</f>
        <v>#VALUE!</v>
      </c>
    </row>
    <row r="26" spans="2:26" x14ac:dyDescent="0.3">
      <c r="B26" s="38">
        <v>3.1</v>
      </c>
      <c r="C26" s="38" t="e">
        <f>IF(G9="",NA(),G9)</f>
        <v>#N/A</v>
      </c>
      <c r="D26" s="38" t="e">
        <f t="shared" si="18"/>
        <v>#N/A</v>
      </c>
      <c r="E26" s="38"/>
      <c r="F26" s="38"/>
      <c r="G26" s="37">
        <v>3.5</v>
      </c>
      <c r="H26" s="37">
        <f>C$42</f>
        <v>0</v>
      </c>
      <c r="J26" s="3"/>
      <c r="K26" s="38">
        <v>3.1</v>
      </c>
      <c r="L26" s="38" t="e">
        <f>IF(P9="",NA(),P9)</f>
        <v>#N/A</v>
      </c>
      <c r="M26" s="38" t="e">
        <f t="shared" si="19"/>
        <v>#N/A</v>
      </c>
      <c r="N26" s="38"/>
      <c r="O26" s="38"/>
      <c r="P26" s="37">
        <v>3.5</v>
      </c>
      <c r="Q26" s="37">
        <f>L$42</f>
        <v>0</v>
      </c>
      <c r="T26" s="28" t="e">
        <f t="shared" si="21"/>
        <v>#VALUE!</v>
      </c>
      <c r="U26" s="28" t="e">
        <f t="shared" si="22"/>
        <v>#VALUE!</v>
      </c>
      <c r="V26" s="28" t="e">
        <f t="shared" si="23"/>
        <v>#VALUE!</v>
      </c>
      <c r="W26" s="28" t="e">
        <f t="shared" si="24"/>
        <v>#VALUE!</v>
      </c>
      <c r="X26" s="28" t="e">
        <f t="shared" si="25"/>
        <v>#VALUE!</v>
      </c>
      <c r="Y26" s="28" t="e">
        <f t="shared" si="26"/>
        <v>#VALUE!</v>
      </c>
      <c r="Z26" s="28" t="e">
        <f t="shared" si="27"/>
        <v>#VALUE!</v>
      </c>
    </row>
    <row r="27" spans="2:26" x14ac:dyDescent="0.3">
      <c r="B27" s="38">
        <v>4.0999999999999996</v>
      </c>
      <c r="C27" s="38" t="e">
        <f>IF(H10="",NA(),H10)</f>
        <v>#N/A</v>
      </c>
      <c r="D27" s="38" t="e">
        <f t="shared" si="18"/>
        <v>#N/A</v>
      </c>
      <c r="E27" s="38"/>
      <c r="F27" s="38"/>
      <c r="G27" s="37">
        <v>3.5</v>
      </c>
      <c r="H27" s="37">
        <f>C$43</f>
        <v>0</v>
      </c>
      <c r="J27" s="3"/>
      <c r="K27" s="38">
        <v>4.0999999999999996</v>
      </c>
      <c r="L27" s="38" t="e">
        <f>IF(Q10="",NA(),Q10)</f>
        <v>#N/A</v>
      </c>
      <c r="M27" s="38" t="e">
        <f t="shared" si="19"/>
        <v>#N/A</v>
      </c>
      <c r="N27" s="38"/>
      <c r="O27" s="38"/>
      <c r="P27" s="37">
        <v>3.5</v>
      </c>
      <c r="Q27" s="37">
        <f>L$43</f>
        <v>0</v>
      </c>
      <c r="T27" s="28" t="e">
        <f t="shared" si="21"/>
        <v>#VALUE!</v>
      </c>
      <c r="U27" s="28" t="e">
        <f t="shared" si="22"/>
        <v>#VALUE!</v>
      </c>
      <c r="V27" s="28" t="e">
        <f t="shared" si="23"/>
        <v>#VALUE!</v>
      </c>
      <c r="W27" s="28" t="e">
        <f t="shared" si="24"/>
        <v>#VALUE!</v>
      </c>
      <c r="X27" s="28" t="e">
        <f t="shared" si="25"/>
        <v>#VALUE!</v>
      </c>
      <c r="Y27" s="28" t="e">
        <f t="shared" si="26"/>
        <v>#VALUE!</v>
      </c>
      <c r="Z27" s="28" t="e">
        <f t="shared" si="27"/>
        <v>#VALUE!</v>
      </c>
    </row>
    <row r="28" spans="2:26" x14ac:dyDescent="0.3">
      <c r="B28" s="37">
        <v>4.0999999999999996</v>
      </c>
      <c r="C28" s="37" t="e">
        <f>IF(D10="",NA(),D10)</f>
        <v>#N/A</v>
      </c>
      <c r="D28" s="38" t="e">
        <f t="shared" si="18"/>
        <v>#N/A</v>
      </c>
      <c r="E28" s="38"/>
      <c r="F28" s="38"/>
      <c r="G28" s="37">
        <v>4</v>
      </c>
      <c r="H28" s="37">
        <f>C$43</f>
        <v>0</v>
      </c>
      <c r="J28" s="3"/>
      <c r="K28" s="37">
        <v>4.0999999999999996</v>
      </c>
      <c r="L28" s="37" t="e">
        <f>IF(M10="",NA(),M10)</f>
        <v>#N/A</v>
      </c>
      <c r="M28" s="38" t="e">
        <f t="shared" si="19"/>
        <v>#N/A</v>
      </c>
      <c r="N28" s="38"/>
      <c r="O28" s="38"/>
      <c r="P28" s="37">
        <v>4</v>
      </c>
      <c r="Q28" s="37">
        <f>L$43</f>
        <v>0</v>
      </c>
      <c r="T28" s="28" t="e">
        <f t="shared" si="21"/>
        <v>#VALUE!</v>
      </c>
      <c r="U28" s="28" t="e">
        <f t="shared" si="22"/>
        <v>#VALUE!</v>
      </c>
      <c r="V28" s="28" t="e">
        <f t="shared" si="23"/>
        <v>#VALUE!</v>
      </c>
      <c r="W28" s="28" t="e">
        <f t="shared" si="24"/>
        <v>#VALUE!</v>
      </c>
      <c r="X28" s="28" t="e">
        <f t="shared" si="25"/>
        <v>#VALUE!</v>
      </c>
      <c r="Y28" s="28" t="e">
        <f t="shared" si="26"/>
        <v>#VALUE!</v>
      </c>
      <c r="Z28" s="28" t="e">
        <f t="shared" si="27"/>
        <v>#VALUE!</v>
      </c>
    </row>
    <row r="29" spans="2:26" x14ac:dyDescent="0.3">
      <c r="B29" s="37">
        <v>4.0999999999999996</v>
      </c>
      <c r="C29" s="38" t="e">
        <f>IF(G10="",NA(),G10)</f>
        <v>#N/A</v>
      </c>
      <c r="D29" s="38" t="e">
        <f t="shared" si="18"/>
        <v>#N/A</v>
      </c>
      <c r="E29" s="38"/>
      <c r="F29" s="38"/>
      <c r="G29" s="37">
        <v>4.5</v>
      </c>
      <c r="H29" s="37">
        <f>C$43</f>
        <v>0</v>
      </c>
      <c r="J29" s="3"/>
      <c r="K29" s="37">
        <v>4.0999999999999996</v>
      </c>
      <c r="L29" s="38" t="e">
        <f>IF(P10="",NA(),P10)</f>
        <v>#N/A</v>
      </c>
      <c r="M29" s="38" t="e">
        <f t="shared" si="19"/>
        <v>#N/A</v>
      </c>
      <c r="N29" s="38"/>
      <c r="O29" s="38"/>
      <c r="P29" s="37">
        <v>4.5</v>
      </c>
      <c r="Q29" s="37">
        <f>L$43</f>
        <v>0</v>
      </c>
      <c r="T29" s="71" t="e">
        <f t="shared" si="21"/>
        <v>#VALUE!</v>
      </c>
      <c r="U29" s="71" t="e">
        <f t="shared" si="22"/>
        <v>#VALUE!</v>
      </c>
      <c r="V29" s="71" t="e">
        <f t="shared" si="23"/>
        <v>#VALUE!</v>
      </c>
      <c r="W29" s="71" t="e">
        <f t="shared" si="24"/>
        <v>#VALUE!</v>
      </c>
      <c r="X29" s="48" t="e">
        <f t="shared" si="25"/>
        <v>#VALUE!</v>
      </c>
      <c r="Y29" s="48" t="e">
        <f t="shared" si="26"/>
        <v>#VALUE!</v>
      </c>
      <c r="Z29" s="48" t="e">
        <f t="shared" si="27"/>
        <v>#VALUE!</v>
      </c>
    </row>
    <row r="30" spans="2:26" ht="15" thickBot="1" x14ac:dyDescent="0.35">
      <c r="B30" s="38">
        <v>5.0999999999999996</v>
      </c>
      <c r="C30" s="38" t="e">
        <f>IF(H11="",NA(),H11)</f>
        <v>#N/A</v>
      </c>
      <c r="D30" s="38" t="e">
        <f t="shared" si="18"/>
        <v>#N/A</v>
      </c>
      <c r="E30" s="38"/>
      <c r="F30" s="38"/>
      <c r="G30" s="38">
        <v>4.5</v>
      </c>
      <c r="H30" s="37">
        <f>C$44</f>
        <v>0</v>
      </c>
      <c r="J30" s="3"/>
      <c r="K30" s="38">
        <v>5.0999999999999996</v>
      </c>
      <c r="L30" s="38" t="e">
        <f>IF(Q11="",NA(),Q11)</f>
        <v>#N/A</v>
      </c>
      <c r="M30" s="38" t="e">
        <f t="shared" si="19"/>
        <v>#N/A</v>
      </c>
      <c r="N30" s="38"/>
      <c r="O30" s="38"/>
      <c r="P30" s="38">
        <v>4.5</v>
      </c>
      <c r="Q30" s="37">
        <f>L$44</f>
        <v>0</v>
      </c>
      <c r="T30" s="72" t="e">
        <f t="shared" si="21"/>
        <v>#VALUE!</v>
      </c>
      <c r="U30" s="72" t="e">
        <f t="shared" si="22"/>
        <v>#VALUE!</v>
      </c>
      <c r="V30" s="72" t="e">
        <f t="shared" si="23"/>
        <v>#VALUE!</v>
      </c>
      <c r="W30" s="72" t="e">
        <f t="shared" si="24"/>
        <v>#VALUE!</v>
      </c>
      <c r="X30" s="73" t="e">
        <f t="shared" si="25"/>
        <v>#VALUE!</v>
      </c>
      <c r="Y30" s="73" t="e">
        <f t="shared" si="26"/>
        <v>#VALUE!</v>
      </c>
      <c r="Z30" s="73" t="e">
        <f t="shared" si="27"/>
        <v>#VALUE!</v>
      </c>
    </row>
    <row r="31" spans="2:26" ht="15" thickBot="1" x14ac:dyDescent="0.35">
      <c r="B31" s="38">
        <v>5.0999999999999996</v>
      </c>
      <c r="C31" s="37" t="e">
        <f>IF(D11="",NA(),D11)</f>
        <v>#N/A</v>
      </c>
      <c r="D31" s="38" t="e">
        <f t="shared" si="18"/>
        <v>#N/A</v>
      </c>
      <c r="E31" s="38"/>
      <c r="F31" s="38"/>
      <c r="G31" s="38">
        <v>5</v>
      </c>
      <c r="H31" s="37">
        <f>C$44</f>
        <v>0</v>
      </c>
      <c r="J31" s="3"/>
      <c r="K31" s="38">
        <v>5.0999999999999996</v>
      </c>
      <c r="L31" s="37" t="e">
        <f>IF(M11="",NA(),M11)</f>
        <v>#N/A</v>
      </c>
      <c r="M31" s="38" t="e">
        <f t="shared" si="19"/>
        <v>#N/A</v>
      </c>
      <c r="N31" s="38"/>
      <c r="O31" s="38"/>
      <c r="P31" s="38">
        <v>5</v>
      </c>
      <c r="Q31" s="37">
        <f>L$44</f>
        <v>0</v>
      </c>
    </row>
    <row r="32" spans="2:26" ht="15" thickBot="1" x14ac:dyDescent="0.35">
      <c r="B32" s="38">
        <v>5.0999999999999996</v>
      </c>
      <c r="C32" s="38" t="e">
        <f>IF(G11="",NA(),G11)</f>
        <v>#N/A</v>
      </c>
      <c r="D32" s="38" t="e">
        <f t="shared" si="18"/>
        <v>#N/A</v>
      </c>
      <c r="E32" s="38"/>
      <c r="F32" s="38"/>
      <c r="G32" s="38">
        <v>5.5</v>
      </c>
      <c r="H32" s="37">
        <f>C$44</f>
        <v>0</v>
      </c>
      <c r="K32" s="38">
        <v>5.0999999999999996</v>
      </c>
      <c r="L32" s="38" t="e">
        <f>IF(P11="",NA(),P11)</f>
        <v>#N/A</v>
      </c>
      <c r="M32" s="38" t="e">
        <f t="shared" si="19"/>
        <v>#N/A</v>
      </c>
      <c r="N32" s="38"/>
      <c r="O32" s="38"/>
      <c r="P32" s="38">
        <v>5.5</v>
      </c>
      <c r="Q32" s="37">
        <f>L$44</f>
        <v>0</v>
      </c>
      <c r="V32" s="58" t="s">
        <v>65</v>
      </c>
      <c r="W32" s="58" t="s">
        <v>66</v>
      </c>
      <c r="X32" s="58" t="s">
        <v>67</v>
      </c>
      <c r="Y32" s="58" t="s">
        <v>21</v>
      </c>
      <c r="Z32" s="58" t="s">
        <v>22</v>
      </c>
    </row>
    <row r="33" spans="2:26" ht="15.6" x14ac:dyDescent="0.3">
      <c r="B33" s="38">
        <v>6.1</v>
      </c>
      <c r="C33" s="38" t="e">
        <f>IF(H12="",NA(),H12)</f>
        <v>#N/A</v>
      </c>
      <c r="D33" s="38" t="e">
        <f t="shared" si="18"/>
        <v>#N/A</v>
      </c>
      <c r="E33" s="38"/>
      <c r="F33" s="38"/>
      <c r="G33" s="38">
        <v>5.5</v>
      </c>
      <c r="H33" s="37">
        <f>C$45</f>
        <v>0</v>
      </c>
      <c r="J33" s="4"/>
      <c r="K33" s="38">
        <v>6.1</v>
      </c>
      <c r="L33" s="38" t="e">
        <f>IF(Q12="",NA(),Q12)</f>
        <v>#N/A</v>
      </c>
      <c r="M33" s="38" t="e">
        <f t="shared" si="19"/>
        <v>#N/A</v>
      </c>
      <c r="N33" s="38"/>
      <c r="O33" s="38"/>
      <c r="P33" s="38">
        <v>5.5</v>
      </c>
      <c r="Q33" s="37">
        <f>L$45</f>
        <v>0</v>
      </c>
      <c r="V33" s="27" t="e">
        <f t="shared" ref="V33:V38" si="28">SQRT(V17)</f>
        <v>#VALUE!</v>
      </c>
      <c r="W33" s="27">
        <f t="shared" ref="W33:W38" si="29">NORMINV((1-$Q$4/100)/2,0,1)</f>
        <v>-1.9599639845400536</v>
      </c>
      <c r="X33" s="27">
        <f t="shared" ref="X33:X38" si="30">NORMINV(1-(1-$Q$4/100)/2,0,1)</f>
        <v>1.9599639845400536</v>
      </c>
      <c r="Y33" s="27" t="e">
        <f t="shared" ref="Y33:Y38" si="31">U17+W33*V33</f>
        <v>#VALUE!</v>
      </c>
      <c r="Z33" s="27" t="e">
        <f t="shared" ref="Z33:Z38" si="32">U17+X33*V33</f>
        <v>#VALUE!</v>
      </c>
    </row>
    <row r="34" spans="2:26" x14ac:dyDescent="0.3">
      <c r="B34" s="38">
        <v>6.1</v>
      </c>
      <c r="C34" s="37" t="e">
        <f>IF(D12="",NA(),D12)</f>
        <v>#N/A</v>
      </c>
      <c r="D34" s="38" t="e">
        <f t="shared" si="18"/>
        <v>#N/A</v>
      </c>
      <c r="E34" s="38"/>
      <c r="F34" s="38"/>
      <c r="G34" s="38">
        <v>6</v>
      </c>
      <c r="H34" s="37">
        <f>C$45</f>
        <v>0</v>
      </c>
      <c r="K34" s="38">
        <v>6.1</v>
      </c>
      <c r="L34" s="37" t="e">
        <f>IF(M12="",NA(),M12)</f>
        <v>#N/A</v>
      </c>
      <c r="M34" s="38" t="e">
        <f t="shared" si="19"/>
        <v>#N/A</v>
      </c>
      <c r="N34" s="38"/>
      <c r="O34" s="38"/>
      <c r="P34" s="38">
        <v>6</v>
      </c>
      <c r="Q34" s="37">
        <f>L$45</f>
        <v>0</v>
      </c>
      <c r="V34" s="27" t="e">
        <f t="shared" si="28"/>
        <v>#VALUE!</v>
      </c>
      <c r="W34" s="27">
        <f t="shared" si="29"/>
        <v>-1.9599639845400536</v>
      </c>
      <c r="X34" s="27">
        <f t="shared" si="30"/>
        <v>1.9599639845400536</v>
      </c>
      <c r="Y34" s="27" t="e">
        <f t="shared" si="31"/>
        <v>#VALUE!</v>
      </c>
      <c r="Z34" s="27" t="e">
        <f t="shared" si="32"/>
        <v>#VALUE!</v>
      </c>
    </row>
    <row r="35" spans="2:26" x14ac:dyDescent="0.3">
      <c r="B35" s="38">
        <v>6.1</v>
      </c>
      <c r="C35" s="38" t="e">
        <f>IF(G12="",NA(),G12)</f>
        <v>#N/A</v>
      </c>
      <c r="D35" s="38" t="e">
        <f t="shared" si="18"/>
        <v>#N/A</v>
      </c>
      <c r="E35" s="38"/>
      <c r="F35" s="38"/>
      <c r="G35" s="38">
        <v>6.5</v>
      </c>
      <c r="H35" s="37">
        <f>C$45</f>
        <v>0</v>
      </c>
      <c r="K35" s="38">
        <v>6.1</v>
      </c>
      <c r="L35" s="38" t="e">
        <f>IF(P12="",NA(),P12)</f>
        <v>#N/A</v>
      </c>
      <c r="M35" s="38" t="e">
        <f t="shared" si="19"/>
        <v>#N/A</v>
      </c>
      <c r="N35" s="38"/>
      <c r="O35" s="38"/>
      <c r="P35" s="38">
        <v>6.5</v>
      </c>
      <c r="Q35" s="37">
        <f>L$45</f>
        <v>0</v>
      </c>
      <c r="V35" s="27" t="e">
        <f t="shared" si="28"/>
        <v>#VALUE!</v>
      </c>
      <c r="W35" s="27">
        <f t="shared" si="29"/>
        <v>-1.9599639845400536</v>
      </c>
      <c r="X35" s="27">
        <f t="shared" si="30"/>
        <v>1.9599639845400536</v>
      </c>
      <c r="Y35" s="27" t="e">
        <f t="shared" si="31"/>
        <v>#VALUE!</v>
      </c>
      <c r="Z35" s="27" t="e">
        <f t="shared" si="32"/>
        <v>#VALUE!</v>
      </c>
    </row>
    <row r="36" spans="2:26" x14ac:dyDescent="0.3">
      <c r="B36" s="23"/>
      <c r="C36" s="23"/>
      <c r="D36" s="23"/>
      <c r="E36" s="23"/>
      <c r="F36" s="23"/>
      <c r="G36" s="23"/>
      <c r="H36" s="23"/>
      <c r="V36" s="27" t="e">
        <f t="shared" si="28"/>
        <v>#VALUE!</v>
      </c>
      <c r="W36" s="27">
        <f t="shared" si="29"/>
        <v>-1.9599639845400536</v>
      </c>
      <c r="X36" s="27">
        <f t="shared" si="30"/>
        <v>1.9599639845400536</v>
      </c>
      <c r="Y36" s="27" t="e">
        <f t="shared" si="31"/>
        <v>#VALUE!</v>
      </c>
      <c r="Z36" s="27" t="e">
        <f t="shared" si="32"/>
        <v>#VALUE!</v>
      </c>
    </row>
    <row r="37" spans="2:26" ht="15.6" x14ac:dyDescent="0.3">
      <c r="B37" s="45" t="s">
        <v>113</v>
      </c>
      <c r="C37"/>
      <c r="D37"/>
      <c r="E37"/>
      <c r="F37"/>
      <c r="G37"/>
      <c r="H37"/>
      <c r="J37" s="3"/>
      <c r="K37" s="45" t="s">
        <v>115</v>
      </c>
      <c r="L37" s="3"/>
      <c r="M37" s="3"/>
      <c r="N37" s="3"/>
      <c r="O37" s="3"/>
      <c r="P37" s="3"/>
      <c r="Q37" s="3"/>
      <c r="V37" s="27" t="e">
        <f t="shared" si="28"/>
        <v>#VALUE!</v>
      </c>
      <c r="W37" s="27">
        <f t="shared" si="29"/>
        <v>-1.9599639845400536</v>
      </c>
      <c r="X37" s="27">
        <f t="shared" si="30"/>
        <v>1.9599639845400536</v>
      </c>
      <c r="Y37" s="27" t="e">
        <f t="shared" si="31"/>
        <v>#VALUE!</v>
      </c>
      <c r="Z37" s="27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7" t="e">
        <f t="shared" si="28"/>
        <v>#VALUE!</v>
      </c>
      <c r="W38" s="27">
        <f t="shared" si="29"/>
        <v>-1.9599639845400536</v>
      </c>
      <c r="X38" s="27">
        <f t="shared" si="30"/>
        <v>1.9599639845400536</v>
      </c>
      <c r="Y38" s="27" t="e">
        <f t="shared" si="31"/>
        <v>#VALUE!</v>
      </c>
      <c r="Z38" s="27" t="e">
        <f t="shared" si="32"/>
        <v>#VALUE!</v>
      </c>
    </row>
    <row r="39" spans="2:26" ht="15" thickBot="1" x14ac:dyDescent="0.35">
      <c r="B39" s="47" t="s">
        <v>4</v>
      </c>
      <c r="C39" s="50" t="s">
        <v>35</v>
      </c>
      <c r="D39" s="50" t="s">
        <v>50</v>
      </c>
      <c r="E39" s="47" t="s">
        <v>81</v>
      </c>
      <c r="F39" s="58" t="s">
        <v>11</v>
      </c>
      <c r="G39" s="47" t="s">
        <v>2</v>
      </c>
      <c r="H39" s="58" t="s">
        <v>49</v>
      </c>
      <c r="J39" s="3"/>
      <c r="K39" s="47" t="s">
        <v>4</v>
      </c>
      <c r="L39" s="47" t="s">
        <v>38</v>
      </c>
      <c r="M39" s="3"/>
      <c r="N39" s="3"/>
      <c r="O39" s="3"/>
      <c r="P39" s="3"/>
      <c r="Q39" s="3"/>
      <c r="V39" s="7"/>
      <c r="W39" s="7"/>
      <c r="X39" s="7"/>
      <c r="Y39" s="7"/>
      <c r="Z39" s="7"/>
    </row>
    <row r="40" spans="2:26" x14ac:dyDescent="0.3">
      <c r="B40" s="17" t="str">
        <f t="shared" ref="B40:B45" si="33">B7</f>
        <v/>
      </c>
      <c r="C40" s="13"/>
      <c r="D40" s="18" t="str">
        <f t="shared" ref="D40:D45" si="34">IFERROR(D7-C40,"")</f>
        <v/>
      </c>
      <c r="E40" s="18" t="str">
        <f>IF(B7="","",SQRT((E7^2/Data!V7)+(E7^2/Data!V8)))</f>
        <v/>
      </c>
      <c r="F40" s="26" t="str">
        <f>IFERROR(D40/E40,"")</f>
        <v/>
      </c>
      <c r="G40" s="41" t="str">
        <f>IFERROR(Data!V7+Data!V8-2,"")</f>
        <v/>
      </c>
      <c r="H40" s="18" t="str">
        <f t="shared" ref="H40:H45" si="35">IFERROR(IF(TDIST(ABS(F40),G40,2)&lt;0.001,"&lt; 0.001",TDIST(ABS(F40),G40,2)),"")</f>
        <v/>
      </c>
      <c r="J40" s="3"/>
      <c r="K40" s="17" t="str">
        <f t="shared" ref="K40:K45" si="36">K7</f>
        <v/>
      </c>
      <c r="L40" s="13"/>
      <c r="M40" s="3"/>
      <c r="N40" s="3"/>
      <c r="O40" s="3"/>
      <c r="P40" s="3"/>
      <c r="Q40" s="3"/>
    </row>
    <row r="41" spans="2:26" x14ac:dyDescent="0.3">
      <c r="B41" s="19" t="str">
        <f t="shared" si="33"/>
        <v/>
      </c>
      <c r="C41" s="14"/>
      <c r="D41" s="20" t="str">
        <f t="shared" si="34"/>
        <v/>
      </c>
      <c r="E41" s="20" t="str">
        <f>IF(B8="","",SQRT((E8^2/Data!V7)+(E8^2/Data!V9)))</f>
        <v/>
      </c>
      <c r="F41" s="28" t="str">
        <f t="shared" ref="F41:F45" si="37">IFERROR(D41/E41,"")</f>
        <v/>
      </c>
      <c r="G41" s="42" t="str">
        <f>IFERROR(Data!V7+Data!V9-2,"")</f>
        <v/>
      </c>
      <c r="H41" s="20" t="str">
        <f t="shared" si="35"/>
        <v/>
      </c>
      <c r="J41" s="3"/>
      <c r="K41" s="19" t="str">
        <f t="shared" si="36"/>
        <v/>
      </c>
      <c r="L41" s="14"/>
      <c r="M41" s="3"/>
      <c r="N41" s="3"/>
      <c r="O41" s="3"/>
      <c r="P41" s="3"/>
      <c r="Q41" s="3"/>
    </row>
    <row r="42" spans="2:26" x14ac:dyDescent="0.3">
      <c r="B42" s="19" t="str">
        <f t="shared" si="33"/>
        <v/>
      </c>
      <c r="C42" s="14"/>
      <c r="D42" s="20" t="str">
        <f t="shared" si="34"/>
        <v/>
      </c>
      <c r="E42" s="20" t="str">
        <f>IF(B9="","",SQRT((E9^2/Data!V8)+(E9^2/Data!V9)))</f>
        <v/>
      </c>
      <c r="F42" s="28" t="str">
        <f t="shared" si="37"/>
        <v/>
      </c>
      <c r="G42" s="42" t="str">
        <f>IFERROR(Data!V8+Data!V9-2,"")</f>
        <v/>
      </c>
      <c r="H42" s="20" t="str">
        <f t="shared" si="35"/>
        <v/>
      </c>
      <c r="J42" s="3"/>
      <c r="K42" s="19" t="str">
        <f t="shared" si="36"/>
        <v/>
      </c>
      <c r="L42" s="14"/>
      <c r="M42" s="3"/>
      <c r="N42" s="3"/>
      <c r="O42" s="3"/>
      <c r="P42" s="3"/>
      <c r="Q42" s="3"/>
    </row>
    <row r="43" spans="2:26" x14ac:dyDescent="0.3">
      <c r="B43" s="19" t="str">
        <f t="shared" si="33"/>
        <v/>
      </c>
      <c r="C43" s="14"/>
      <c r="D43" s="20" t="str">
        <f t="shared" si="34"/>
        <v/>
      </c>
      <c r="E43" s="20" t="str">
        <f>IF(B10="","",SQRT((E10^2/Data!V7)+(E10^2/Data!V10)))</f>
        <v/>
      </c>
      <c r="F43" s="28" t="str">
        <f t="shared" si="37"/>
        <v/>
      </c>
      <c r="G43" s="42" t="str">
        <f>IFERROR(Data!V7+Data!V10-2,"")</f>
        <v/>
      </c>
      <c r="H43" s="20" t="str">
        <f t="shared" si="35"/>
        <v/>
      </c>
      <c r="J43" s="3"/>
      <c r="K43" s="19" t="str">
        <f t="shared" si="36"/>
        <v/>
      </c>
      <c r="L43" s="14"/>
      <c r="M43" s="3"/>
      <c r="N43" s="3"/>
      <c r="O43" s="3"/>
      <c r="P43" s="3"/>
      <c r="Q43" s="3"/>
    </row>
    <row r="44" spans="2:26" x14ac:dyDescent="0.3">
      <c r="B44" s="19" t="str">
        <f t="shared" si="33"/>
        <v/>
      </c>
      <c r="C44" s="14"/>
      <c r="D44" s="20" t="str">
        <f t="shared" si="34"/>
        <v/>
      </c>
      <c r="E44" s="20" t="str">
        <f>IF(B11="","",SQRT((E11^2/Data!V8)+(E11^2/Data!V10)))</f>
        <v/>
      </c>
      <c r="F44" s="28" t="str">
        <f t="shared" si="37"/>
        <v/>
      </c>
      <c r="G44" s="42" t="str">
        <f>IFERROR(Data!V8+Data!V10-2,"")</f>
        <v/>
      </c>
      <c r="H44" s="20" t="str">
        <f t="shared" si="35"/>
        <v/>
      </c>
      <c r="J44" s="3"/>
      <c r="K44" s="19" t="str">
        <f t="shared" si="36"/>
        <v/>
      </c>
      <c r="L44" s="14"/>
      <c r="M44" s="3"/>
      <c r="N44" s="3"/>
      <c r="O44" s="3"/>
      <c r="P44" s="3"/>
      <c r="Q44" s="3"/>
    </row>
    <row r="45" spans="2:26" ht="15" thickBot="1" x14ac:dyDescent="0.35">
      <c r="B45" s="21" t="str">
        <f t="shared" si="33"/>
        <v/>
      </c>
      <c r="C45" s="15"/>
      <c r="D45" s="22" t="str">
        <f t="shared" si="34"/>
        <v/>
      </c>
      <c r="E45" s="22" t="str">
        <f>IF(B12="","",SQRT((E12^2/Data!V9)+(E12^2/Data!V10)))</f>
        <v/>
      </c>
      <c r="F45" s="29" t="str">
        <f t="shared" si="37"/>
        <v/>
      </c>
      <c r="G45" s="43" t="str">
        <f>IFERROR(Data!V9+Data!V10-2,"")</f>
        <v/>
      </c>
      <c r="H45" s="22" t="str">
        <f t="shared" si="35"/>
        <v/>
      </c>
      <c r="J45" s="3"/>
      <c r="K45" s="21" t="str">
        <f t="shared" si="36"/>
        <v/>
      </c>
      <c r="L45" s="15"/>
      <c r="M45" s="3"/>
      <c r="N45" s="3"/>
      <c r="O45" s="3"/>
      <c r="P45" s="3"/>
      <c r="Q45" s="3"/>
    </row>
    <row r="46" spans="2:26" x14ac:dyDescent="0.3">
      <c r="B46" s="7"/>
      <c r="C46" s="2"/>
      <c r="D46" s="7"/>
      <c r="E46" s="2"/>
      <c r="F46" s="7"/>
      <c r="G46" s="7"/>
      <c r="H46" s="7"/>
      <c r="J46" s="3"/>
      <c r="K46" s="7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2024-10-27T14:15:31Z</dcterms:modified>
</cp:coreProperties>
</file>