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wendorf\OneDrive - UWSP\Research\Statistics\BASE\EASE\"/>
    </mc:Choice>
  </mc:AlternateContent>
  <xr:revisionPtr revIDLastSave="0" documentId="13_ncr:1_{1C9813E7-3577-41DE-B3A0-607C2A193978}" xr6:coauthVersionLast="43" xr6:coauthVersionMax="45" xr10:uidLastSave="{00000000-0000-0000-0000-000000000000}"/>
  <bookViews>
    <workbookView xWindow="2145" yWindow="795" windowWidth="21645" windowHeight="14775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K8" i="21"/>
  <c r="K7" i="21"/>
  <c r="E8" i="21"/>
  <c r="E7" i="21"/>
  <c r="D8" i="21"/>
  <c r="D7" i="21"/>
  <c r="C8" i="21"/>
  <c r="C7" i="21"/>
  <c r="O11" i="1"/>
  <c r="V11" i="1"/>
  <c r="V35" i="1"/>
  <c r="X11" i="1"/>
  <c r="U35" i="1"/>
  <c r="V7" i="1"/>
  <c r="V32" i="1"/>
  <c r="W7" i="1"/>
  <c r="W8" i="1"/>
  <c r="W9" i="1"/>
  <c r="W10" i="1"/>
  <c r="U33" i="1"/>
  <c r="AB11" i="1"/>
  <c r="X10" i="1"/>
  <c r="V10" i="1"/>
  <c r="AA10" i="1"/>
  <c r="X8" i="1"/>
  <c r="V8" i="1"/>
  <c r="AA8" i="1"/>
  <c r="X7" i="1"/>
  <c r="AA7" i="1"/>
  <c r="X9" i="1"/>
  <c r="V33" i="1"/>
  <c r="V34" i="1"/>
  <c r="W34" i="1"/>
  <c r="Z33" i="1"/>
  <c r="W33" i="1"/>
  <c r="X33" i="1"/>
  <c r="Y33" i="1"/>
  <c r="W32" i="1"/>
  <c r="V9" i="1"/>
  <c r="Y9" i="1"/>
  <c r="AA9" i="1"/>
  <c r="AA11" i="1"/>
  <c r="P11" i="1"/>
  <c r="W11" i="1"/>
  <c r="T25" i="1"/>
  <c r="Z24" i="1"/>
  <c r="T24" i="1"/>
  <c r="Z23" i="1"/>
  <c r="Y23" i="1"/>
  <c r="T23" i="1"/>
  <c r="Z22" i="1"/>
  <c r="Y22" i="1"/>
  <c r="X22" i="1"/>
  <c r="T22" i="1"/>
  <c r="K25" i="1"/>
  <c r="K24" i="1"/>
  <c r="K23" i="1"/>
  <c r="K22" i="1"/>
  <c r="K10" i="1"/>
  <c r="K9" i="1"/>
  <c r="K8" i="1"/>
  <c r="K7" i="1"/>
  <c r="T7" i="1"/>
  <c r="Y7" i="1"/>
  <c r="Z7" i="1"/>
  <c r="T8" i="1"/>
  <c r="Y8" i="1"/>
  <c r="Z8" i="1"/>
  <c r="T9" i="1"/>
  <c r="Z9" i="1"/>
  <c r="T10" i="1"/>
  <c r="Y10" i="1"/>
  <c r="Z10" i="1"/>
  <c r="Y11" i="1"/>
  <c r="Z11" i="1"/>
  <c r="G41" i="21"/>
  <c r="N8" i="21"/>
  <c r="L8" i="21"/>
  <c r="O8" i="21"/>
  <c r="G44" i="21"/>
  <c r="T19" i="21"/>
  <c r="D11" i="21"/>
  <c r="D44" i="21"/>
  <c r="F7" i="21"/>
  <c r="F8" i="2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D12" i="8"/>
  <c r="L12" i="8"/>
  <c r="O12" i="8"/>
  <c r="D11" i="8"/>
  <c r="L11" i="8"/>
  <c r="O11" i="8"/>
  <c r="D10" i="8"/>
  <c r="L10" i="8"/>
  <c r="O10" i="8"/>
  <c r="D9" i="8"/>
  <c r="L9" i="8"/>
  <c r="O9" i="8"/>
  <c r="D8" i="8"/>
  <c r="L8" i="8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41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B10" i="2"/>
  <c r="K10" i="2"/>
  <c r="K43" i="2"/>
  <c r="B9" i="2"/>
  <c r="K9" i="2"/>
  <c r="K42" i="2"/>
  <c r="B8" i="2"/>
  <c r="K8" i="2"/>
  <c r="K41" i="2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N10" i="2"/>
  <c r="N9" i="2"/>
  <c r="N8" i="2"/>
  <c r="D10" i="2"/>
  <c r="H10" i="2"/>
  <c r="G10" i="2"/>
  <c r="D9" i="2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E39" i="21"/>
  <c r="E40" i="21"/>
  <c r="E41" i="21"/>
  <c r="E44" i="21"/>
  <c r="H16" i="21"/>
  <c r="F32" i="21"/>
  <c r="F31" i="21"/>
  <c r="G31" i="21"/>
  <c r="G32" i="21"/>
  <c r="H31" i="21"/>
  <c r="H32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X27" i="8"/>
  <c r="Y27" i="8"/>
  <c r="Y19" i="8"/>
  <c r="P9" i="8"/>
  <c r="L26" i="8"/>
  <c r="M26" i="8"/>
  <c r="Q25" i="8"/>
  <c r="M25" i="8"/>
  <c r="Q24" i="8"/>
  <c r="X35" i="8"/>
  <c r="Z35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X26" i="2"/>
  <c r="Y26" i="2"/>
  <c r="V32" i="2"/>
  <c r="W32" i="2"/>
  <c r="Y32" i="2"/>
  <c r="Y20" i="2"/>
  <c r="P10" i="2"/>
  <c r="L29" i="2"/>
  <c r="M29" i="2"/>
  <c r="Q28" i="2"/>
  <c r="E10" i="2"/>
  <c r="L10" i="2"/>
  <c r="M10" i="2"/>
  <c r="L28" i="2"/>
  <c r="M28" i="2"/>
  <c r="Q27" i="2"/>
  <c r="Z26" i="2"/>
  <c r="X32" i="2"/>
  <c r="Z32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X24" i="2"/>
  <c r="Y24" i="2"/>
  <c r="V30" i="2"/>
  <c r="W30" i="2"/>
  <c r="Y30" i="2"/>
  <c r="Y18" i="2"/>
  <c r="P8" i="2"/>
  <c r="L23" i="2"/>
  <c r="M23" i="2"/>
  <c r="Q22" i="2"/>
  <c r="E8" i="2"/>
  <c r="L8" i="2"/>
  <c r="M8" i="2"/>
  <c r="L22" i="2"/>
  <c r="M22" i="2"/>
  <c r="Q21" i="2"/>
  <c r="Z24" i="2"/>
  <c r="X30" i="2"/>
  <c r="Z30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E10" i="8"/>
  <c r="E9" i="8"/>
  <c r="E8" i="8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  <c r="W35" i="1"/>
</calcChain>
</file>

<file path=xl/sharedStrings.xml><?xml version="1.0" encoding="utf-8"?>
<sst xmlns="http://schemas.openxmlformats.org/spreadsheetml/2006/main" count="336" uniqueCount="140">
  <si>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</si>
  <si>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</si>
  <si>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</si>
  <si>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</si>
  <si>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</si>
  <si>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</si>
  <si>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</si>
  <si>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</si>
  <si>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</si>
  <si>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</si>
  <si>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</si>
  <si>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</si>
  <si>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</si>
  <si>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</si>
  <si>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</si>
  <si>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</si>
  <si>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</si>
  <si>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</si>
  <si>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</si>
  <si>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</si>
  <si>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</si>
  <si>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</si>
  <si>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</si>
  <si>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</si>
  <si>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Description</t>
  </si>
  <si>
    <t>Value</t>
  </si>
  <si>
    <t>Project Name</t>
  </si>
  <si>
    <t>Project Description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</si>
  <si>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</si>
  <si>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</si>
  <si>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</si>
  <si>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</si>
  <si>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</si>
  <si>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</si>
  <si>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</si>
  <si>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</si>
  <si>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</si>
  <si>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</si>
  <si>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</si>
  <si>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</si>
  <si>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</si>
  <si>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</si>
  <si>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Wendorf, C. A. (2016).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</si>
  <si>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</si>
  <si>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</si>
  <si>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</si>
  <si>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</si>
  <si>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</si>
  <si>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</si>
  <si>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</si>
  <si>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</si>
  <si>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</si>
  <si>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</si>
  <si>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</si>
  <si>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</si>
  <si>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</si>
  <si>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</si>
  <si>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</si>
  <si>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</si>
  <si>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</si>
  <si>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</si>
  <si>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</si>
  <si>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</si>
  <si>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</si>
  <si>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</si>
  <si>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</si>
  <si>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</si>
  <si>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</si>
  <si>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</si>
  <si>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</si>
  <si>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</si>
  <si>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</si>
  <si>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</si>
  <si>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</si>
  <si>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</si>
  <si>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</si>
  <si>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</si>
  <si>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</si>
  <si>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</si>
  <si>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</si>
  <si>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</si>
  <si>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</si>
  <si>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</si>
  <si>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</si>
  <si>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</si>
  <si>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</si>
  <si>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</si>
  <si>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</si>
  <si>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</si>
  <si>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</si>
  <si>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</si>
  <si>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</si>
  <si>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</si>
  <si>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</si>
  <si>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</si>
  <si>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</si>
  <si>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</si>
  <si>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</si>
  <si>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</si>
  <si>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</si>
  <si>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</si>
  <si>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</si>
  <si>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</si>
  <si>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</si>
  <si>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</si>
  <si>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</si>
  <si>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</si>
  <si>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</si>
  <si>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</si>
  <si>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</si>
  <si>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</si>
  <si>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</si>
  <si>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</si>
  <si>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</si>
  <si>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</si>
  <si>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</si>
  <si>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http://www4.uwsp.edu/psych/cw/</t>
  </si>
  <si>
    <t>Using this Module</t>
  </si>
  <si>
    <t>Sswithin</t>
  </si>
  <si>
    <t>Summary Data</t>
  </si>
  <si>
    <t>OneComp:</t>
  </si>
  <si>
    <t>EASE: Estimation Approach to Statistics with Excel</t>
  </si>
  <si>
    <t>Version: 2.20191030</t>
  </si>
  <si>
    <t>Input Method: Summary Statistics</t>
  </si>
  <si>
    <t>This module uses summary data (not raw data) as input.</t>
  </si>
  <si>
    <t>Data from Donohue (2002)</t>
  </si>
  <si>
    <t>This is the approximate full data from Donohue (2002) as used in Chap. 14 of Cumming and Calin-Jageman (2016) to demonstrate Repeated-Measures designs.</t>
  </si>
  <si>
    <t>A</t>
  </si>
  <si>
    <t>B</t>
  </si>
  <si>
    <t>Pretest</t>
  </si>
  <si>
    <t>Critical Thinking Pretest Score</t>
  </si>
  <si>
    <t>Posttest</t>
  </si>
  <si>
    <t>Critical Thinking Posttest Score</t>
  </si>
  <si>
    <t>Followup</t>
  </si>
  <si>
    <t>Critical Thinking Followup Score</t>
  </si>
  <si>
    <t>https://github.com/cwendorf/BASE/tree/master/EASE</t>
  </si>
  <si>
    <t>cwendorf@uwsp.edu</t>
  </si>
  <si>
    <t>How to Cite</t>
  </si>
  <si>
    <t>EASE: Estimation Approach to Statistics with Excel [Excel Spreadsheet].</t>
  </si>
  <si>
    <t>Retreived from https://github.com/cwendorf/BASE/tree/master/EASE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</si>
</sst>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9" applyNumberFormat="0" applyFont="0" applyAlignment="0" applyProtection="0"/>
    <xf numFmtId="0" fontId="14" fillId="0" borderId="0" applyNumberFormat="0" applyFill="0" applyBorder="0" applyAlignment="0" applyProtection="0"/>
  </cellStyleXfs>
  <cellXfs count="216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Border="1" applyProtection="1">
      <protection hidden="1"/>
    </xf>
    <xf numFmtId="0" fontId="0" fillId="0" borderId="0" xfId="0" applyFill="1" applyBorder="1" applyProtection="1"/>
    <xf numFmtId="0" fontId="3" fillId="0" borderId="0" xfId="0" applyFont="1" applyFill="1" applyBorder="1" applyProtection="1"/>
    <xf numFmtId="0" fontId="5" fillId="0" borderId="0" xfId="0" applyFont="1" applyBorder="1" applyProtection="1">
      <protection hidden="1"/>
    </xf>
    <xf numFmtId="0" fontId="5" fillId="0" borderId="0" xfId="0" applyFont="1" applyProtection="1">
      <protection hidden="1"/>
    </xf>
    <xf numFmtId="0" fontId="0" fillId="0" borderId="1" xfId="0" applyFill="1" applyBorder="1" applyProtection="1"/>
    <xf numFmtId="0" fontId="0" fillId="0" borderId="2" xfId="0" applyFill="1" applyBorder="1" applyProtection="1"/>
    <xf numFmtId="0" fontId="6" fillId="2" borderId="1" xfId="0" applyFont="1" applyFill="1" applyBorder="1" applyAlignment="1" applyProtection="1">
      <alignment horizontal="center"/>
    </xf>
    <xf numFmtId="0" fontId="5" fillId="0" borderId="0" xfId="0" applyFont="1" applyFill="1" applyBorder="1" applyProtection="1">
      <protection hidden="1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0" fillId="0" borderId="0" xfId="0" applyProtection="1"/>
    <xf numFmtId="0" fontId="0" fillId="0" borderId="0" xfId="0" applyBorder="1" applyProtection="1"/>
    <xf numFmtId="164" fontId="0" fillId="0" borderId="3" xfId="0" applyNumberForma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0" fontId="0" fillId="0" borderId="2" xfId="0" applyBorder="1" applyProtection="1"/>
    <xf numFmtId="0" fontId="0" fillId="3" borderId="8" xfId="0" applyFill="1" applyBorder="1" applyAlignment="1" applyProtection="1">
      <alignment horizontal="center"/>
      <protection locked="0" hidden="1"/>
    </xf>
    <xf numFmtId="0" fontId="0" fillId="0" borderId="0" xfId="0" applyFont="1" applyProtection="1"/>
    <xf numFmtId="0" fontId="8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 applyProtection="1"/>
    <xf numFmtId="0" fontId="0" fillId="3" borderId="4" xfId="0" applyFill="1" applyBorder="1" applyAlignment="1" applyProtection="1">
      <alignment horizontal="center"/>
      <protection locked="0"/>
    </xf>
    <xf numFmtId="0" fontId="0" fillId="0" borderId="0" xfId="0" applyProtection="1"/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8" fillId="0" borderId="0" xfId="5" applyFont="1" applyFill="1" applyBorder="1" applyAlignment="1" applyProtection="1">
      <alignment horizontal="center"/>
      <protection hidden="1"/>
    </xf>
    <xf numFmtId="0" fontId="0" fillId="0" borderId="2" xfId="0" applyFont="1" applyBorder="1" applyProtection="1">
      <protection hidden="1"/>
    </xf>
    <xf numFmtId="0" fontId="5" fillId="0" borderId="0" xfId="0" applyFont="1" applyProtection="1"/>
    <xf numFmtId="0" fontId="10" fillId="0" borderId="0" xfId="5" applyFont="1" applyFill="1" applyBorder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</xf>
    <xf numFmtId="0" fontId="5" fillId="0" borderId="0" xfId="0" applyFont="1" applyBorder="1" applyProtection="1"/>
    <xf numFmtId="0" fontId="6" fillId="0" borderId="1" xfId="0" applyFont="1" applyBorder="1" applyAlignment="1" applyProtection="1">
      <alignment horizontal="left"/>
    </xf>
    <xf numFmtId="0" fontId="0" fillId="0" borderId="3" xfId="0" applyFill="1" applyBorder="1" applyAlignment="1" applyProtection="1">
      <alignment horizontal="left"/>
    </xf>
    <xf numFmtId="0" fontId="0" fillId="0" borderId="3" xfId="0" applyBorder="1" applyAlignment="1" applyProtection="1">
      <alignment horizontal="center"/>
    </xf>
    <xf numFmtId="0" fontId="0" fillId="0" borderId="4" xfId="0" applyFill="1" applyBorder="1" applyAlignment="1" applyProtection="1">
      <alignment horizontal="left"/>
    </xf>
    <xf numFmtId="0" fontId="0" fillId="0" borderId="4" xfId="0" applyBorder="1" applyAlignment="1" applyProtection="1">
      <alignment horizontal="center"/>
    </xf>
    <xf numFmtId="0" fontId="0" fillId="0" borderId="5" xfId="0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164" fontId="0" fillId="0" borderId="5" xfId="0" applyNumberForma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64" fontId="6" fillId="0" borderId="1" xfId="0" applyNumberFormat="1" applyFont="1" applyBorder="1" applyAlignment="1" applyProtection="1">
      <alignment horizontal="center"/>
    </xf>
    <xf numFmtId="0" fontId="12" fillId="0" borderId="1" xfId="0" applyFont="1" applyFill="1" applyBorder="1" applyAlignment="1" applyProtection="1">
      <alignment horizontal="center"/>
      <protection hidden="1"/>
    </xf>
    <xf numFmtId="0" fontId="6" fillId="0" borderId="1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/>
    <xf numFmtId="164" fontId="0" fillId="0" borderId="3" xfId="0" applyNumberFormat="1" applyFill="1" applyBorder="1" applyAlignment="1" applyProtection="1">
      <alignment horizontal="center"/>
      <protection locked="0"/>
    </xf>
    <xf numFmtId="164" fontId="0" fillId="0" borderId="4" xfId="0" applyNumberForma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</xf>
    <xf numFmtId="0" fontId="9" fillId="0" borderId="0" xfId="0" applyFont="1" applyFill="1" applyBorder="1" applyProtection="1"/>
    <xf numFmtId="164" fontId="8" fillId="0" borderId="3" xfId="0" applyNumberFormat="1" applyFont="1" applyFill="1" applyBorder="1" applyAlignment="1" applyProtection="1">
      <alignment horizontal="center"/>
      <protection hidden="1"/>
    </xf>
    <xf numFmtId="0" fontId="8" fillId="0" borderId="3" xfId="0" applyFont="1" applyFill="1" applyBorder="1" applyAlignment="1" applyProtection="1">
      <alignment horizontal="center"/>
      <protection hidden="1"/>
    </xf>
    <xf numFmtId="0" fontId="13" fillId="0" borderId="3" xfId="0" applyFont="1" applyFill="1" applyBorder="1" applyAlignment="1" applyProtection="1">
      <alignment horizontal="center"/>
      <protection hidden="1"/>
    </xf>
    <xf numFmtId="164" fontId="8" fillId="0" borderId="4" xfId="0" applyNumberFormat="1" applyFont="1" applyFill="1" applyBorder="1" applyAlignment="1" applyProtection="1">
      <alignment horizontal="center"/>
      <protection hidden="1"/>
    </xf>
    <xf numFmtId="1" fontId="8" fillId="0" borderId="4" xfId="0" applyNumberFormat="1" applyFont="1" applyFill="1" applyBorder="1" applyAlignment="1" applyProtection="1">
      <alignment horizontal="center"/>
      <protection hidden="1"/>
    </xf>
    <xf numFmtId="164" fontId="0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Fill="1" applyBorder="1" applyAlignment="1" applyProtection="1">
      <alignment horizontal="center"/>
      <protection hidden="1"/>
    </xf>
    <xf numFmtId="1" fontId="8" fillId="0" borderId="4" xfId="5" applyNumberFormat="1" applyFont="1" applyFill="1" applyBorder="1" applyAlignment="1" applyProtection="1">
      <alignment horizontal="center"/>
      <protection hidden="1"/>
    </xf>
    <xf numFmtId="165" fontId="8" fillId="0" borderId="4" xfId="0" applyNumberFormat="1" applyFont="1" applyFill="1" applyBorder="1" applyAlignment="1" applyProtection="1">
      <alignment horizontal="center"/>
      <protection hidden="1"/>
    </xf>
    <xf numFmtId="0" fontId="0" fillId="0" borderId="4" xfId="0" applyFont="1" applyBorder="1" applyAlignment="1" applyProtection="1">
      <alignment horizontal="center"/>
      <protection hidden="1"/>
    </xf>
    <xf numFmtId="164" fontId="8" fillId="0" borderId="5" xfId="0" applyNumberFormat="1" applyFont="1" applyFill="1" applyBorder="1" applyAlignment="1" applyProtection="1">
      <alignment horizontal="center"/>
      <protection hidden="1"/>
    </xf>
    <xf numFmtId="1" fontId="8" fillId="0" borderId="5" xfId="0" applyNumberFormat="1" applyFont="1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7" xfId="0" applyBorder="1" applyProtection="1"/>
    <xf numFmtId="164" fontId="0" fillId="0" borderId="2" xfId="0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1" xfId="0" applyBorder="1" applyProtection="1"/>
    <xf numFmtId="164" fontId="0" fillId="0" borderId="6" xfId="0" applyNumberFormat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8" fillId="0" borderId="0" xfId="0" applyFont="1" applyProtection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/>
    <xf numFmtId="0" fontId="0" fillId="0" borderId="0" xfId="0" applyFill="1" applyProtection="1">
      <protection hidden="1"/>
    </xf>
    <xf numFmtId="0" fontId="0" fillId="0" borderId="0" xfId="0" applyFill="1" applyProtection="1"/>
    <xf numFmtId="0" fontId="0" fillId="0" borderId="0" xfId="0" applyFill="1" applyBorder="1" applyProtection="1">
      <protection hidden="1"/>
    </xf>
    <xf numFmtId="0" fontId="2" fillId="0" borderId="0" xfId="0" applyFont="1" applyFill="1" applyAlignment="1" applyProtection="1">
      <protection hidden="1"/>
    </xf>
    <xf numFmtId="0" fontId="0" fillId="0" borderId="0" xfId="0" applyFill="1" applyAlignment="1" applyProtection="1">
      <protection hidden="1"/>
    </xf>
    <xf numFmtId="164" fontId="0" fillId="0" borderId="0" xfId="0" applyNumberFormat="1" applyFont="1" applyBorder="1" applyAlignment="1" applyProtection="1">
      <alignment horizontal="left"/>
    </xf>
    <xf numFmtId="0" fontId="15" fillId="0" borderId="0" xfId="0" applyFont="1" applyFill="1" applyBorder="1" applyProtection="1">
      <protection hidden="1"/>
    </xf>
    <xf numFmtId="0" fontId="15" fillId="0" borderId="0" xfId="0" applyFont="1" applyFill="1" applyProtection="1"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  <protection hidden="1"/>
    </xf>
    <xf numFmtId="0" fontId="8" fillId="0" borderId="4" xfId="0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0" fillId="4" borderId="4" xfId="6" applyNumberFormat="1" applyFont="1" applyBorder="1" applyAlignment="1" applyProtection="1">
      <alignment horizontal="center"/>
      <protection locked="0"/>
    </xf>
    <xf numFmtId="164" fontId="0" fillId="4" borderId="5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horizontal="center"/>
    </xf>
    <xf numFmtId="0" fontId="8" fillId="0" borderId="0" xfId="0" applyFont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164" fontId="0" fillId="0" borderId="0" xfId="0" applyNumberFormat="1" applyProtection="1"/>
    <xf numFmtId="164" fontId="0" fillId="4" borderId="11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64" fontId="8" fillId="0" borderId="0" xfId="0" applyNumberFormat="1" applyFont="1" applyAlignment="1" applyProtection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  <protection hidden="1"/>
    </xf>
    <xf numFmtId="0" fontId="0" fillId="3" borderId="8" xfId="0" applyFont="1" applyFill="1" applyBorder="1" applyAlignment="1" applyProtection="1">
      <alignment horizontal="center"/>
      <protection locked="0" hidden="1"/>
    </xf>
    <xf numFmtId="0" fontId="0" fillId="0" borderId="0" xfId="0" applyFont="1" applyBorder="1" applyProtection="1"/>
    <xf numFmtId="164" fontId="0" fillId="0" borderId="3" xfId="0" applyNumberFormat="1" applyFont="1" applyBorder="1" applyAlignment="1" applyProtection="1">
      <alignment horizontal="center"/>
      <protection hidden="1"/>
    </xf>
    <xf numFmtId="1" fontId="0" fillId="0" borderId="3" xfId="0" applyNumberFormat="1" applyFont="1" applyBorder="1" applyAlignment="1" applyProtection="1">
      <alignment horizontal="center"/>
      <protection hidden="1"/>
    </xf>
    <xf numFmtId="164" fontId="0" fillId="0" borderId="3" xfId="0" applyNumberFormat="1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  <protection hidden="1"/>
    </xf>
    <xf numFmtId="1" fontId="0" fillId="0" borderId="7" xfId="0" applyNumberFormat="1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</xf>
    <xf numFmtId="0" fontId="0" fillId="0" borderId="10" xfId="0" applyFont="1" applyBorder="1" applyAlignment="1" applyProtection="1">
      <alignment horizontal="center"/>
      <protection hidden="1"/>
    </xf>
    <xf numFmtId="0" fontId="16" fillId="0" borderId="0" xfId="0" applyFont="1" applyBorder="1" applyProtection="1">
      <protection hidden="1"/>
    </xf>
    <xf numFmtId="0" fontId="0" fillId="0" borderId="0" xfId="0" applyFont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/>
    </xf>
    <xf numFmtId="164" fontId="0" fillId="0" borderId="4" xfId="0" applyNumberFormat="1" applyFont="1" applyBorder="1" applyAlignment="1" applyProtection="1">
      <alignment horizontal="center"/>
    </xf>
    <xf numFmtId="164" fontId="0" fillId="0" borderId="2" xfId="0" applyNumberFormat="1" applyFont="1" applyBorder="1" applyAlignment="1" applyProtection="1">
      <alignment horizontal="center"/>
    </xf>
    <xf numFmtId="164" fontId="8" fillId="0" borderId="0" xfId="0" applyNumberFormat="1" applyFont="1" applyProtection="1"/>
    <xf numFmtId="0" fontId="0" fillId="0" borderId="2" xfId="0" applyFont="1" applyBorder="1" applyProtection="1"/>
    <xf numFmtId="164" fontId="0" fillId="0" borderId="0" xfId="0" applyNumberFormat="1" applyFont="1" applyAlignment="1" applyProtection="1">
      <alignment horizontal="center"/>
    </xf>
    <xf numFmtId="0" fontId="0" fillId="0" borderId="0" xfId="0" applyFont="1" applyBorder="1" applyProtection="1">
      <protection hidden="1"/>
    </xf>
    <xf numFmtId="164" fontId="0" fillId="0" borderId="3" xfId="0" applyNumberFormat="1" applyFont="1" applyFill="1" applyBorder="1" applyAlignment="1" applyProtection="1">
      <alignment horizontal="center"/>
      <protection locked="0"/>
    </xf>
    <xf numFmtId="164" fontId="0" fillId="0" borderId="4" xfId="0" applyNumberFormat="1" applyFont="1" applyFill="1" applyBorder="1" applyAlignment="1" applyProtection="1">
      <alignment horizontal="center"/>
      <protection locked="0"/>
    </xf>
    <xf numFmtId="164" fontId="9" fillId="0" borderId="10" xfId="0" applyNumberFormat="1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0" fillId="4" borderId="3" xfId="6" applyFont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4" borderId="4" xfId="6" applyFont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5" xfId="0" applyFill="1" applyBorder="1" applyProtection="1"/>
    <xf numFmtId="166" fontId="0" fillId="0" borderId="0" xfId="0" applyNumberFormat="1" applyFill="1" applyBorder="1" applyProtection="1"/>
    <xf numFmtId="0" fontId="0" fillId="0" borderId="0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164" fontId="0" fillId="0" borderId="5" xfId="0" applyNumberFormat="1" applyFill="1" applyBorder="1" applyAlignment="1" applyProtection="1">
      <alignment horizontal="center"/>
      <protection locked="0"/>
    </xf>
    <xf numFmtId="0" fontId="14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0" xfId="6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Alignment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>
      <alignment horizontal="center"/>
    </xf>
    <xf numFmtId="0" fontId="15" fillId="0" borderId="0" xfId="0" applyFont="1" applyFill="1" applyAlignment="1" applyProtection="1">
      <alignment horizontal="center"/>
      <protection hidden="1"/>
    </xf>
    <xf numFmtId="0" fontId="17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Fill="1" applyBorder="1" applyProtection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2" fillId="0" borderId="0" xfId="0" applyFont="1" applyFill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Means!$B$7:$B$10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Means!$D$7:$D$10</c:f>
              <c:numCache>
                <c:formatCode>0.000</c:formatCode>
                <c:ptCount val="4"/>
                <c:pt idx="0">
                  <c:v>19.3</c:v>
                </c:pt>
                <c:pt idx="1">
                  <c:v>23.6</c:v>
                </c:pt>
                <c:pt idx="2">
                  <c:v>0</c:v>
                </c:pt>
                <c:pt idx="3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22.063157055503204</c:v>
                </c:pt>
                <c:pt idx="1">
                  <c:v>19.3</c:v>
                </c:pt>
                <c:pt idx="2">
                  <c:v>16.536842944496797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25.828684603371659</c:v>
                </c:pt>
                <c:pt idx="1">
                  <c:v>23.6</c:v>
                </c:pt>
                <c:pt idx="2">
                  <c:v>21.371315396628344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25.560354500034347</c:v>
                </c:pt>
                <c:pt idx="1">
                  <c:v>23.4</c:v>
                </c:pt>
                <c:pt idx="2">
                  <c:v>21.239645499965651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Means!$K$7:$K$10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Means!$M$7:$M$10</c:f>
              <c:numCache>
                <c:formatCode>0.000</c:formatCode>
                <c:ptCount val="4"/>
                <c:pt idx="0">
                  <c:v>-0.113821138211382</c:v>
                </c:pt>
                <c:pt idx="1">
                  <c:v>0.72574548509029846</c:v>
                </c:pt>
                <c:pt idx="2">
                  <c:v>0</c:v>
                </c:pt>
                <c:pt idx="3">
                  <c:v>0.70710571923743482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0.32284318590009647</c:v>
                </c:pt>
                <c:pt idx="1">
                  <c:v>-0.113821138211382</c:v>
                </c:pt>
                <c:pt idx="2">
                  <c:v>-0.5568723143781652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1.2473827082194537</c:v>
                </c:pt>
                <c:pt idx="1">
                  <c:v>0.72574548509029846</c:v>
                </c:pt>
                <c:pt idx="2">
                  <c:v>0.24925516679792026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1.2251744196493937</c:v>
                </c:pt>
                <c:pt idx="1">
                  <c:v>0.70710571923743482</c:v>
                </c:pt>
                <c:pt idx="2">
                  <c:v>0.23285389386374797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23.6</c:v>
                </c:pt>
                <c:pt idx="1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28.6</c:v>
                </c:pt>
                <c:pt idx="5">
                  <c:v>23.6</c:v>
                </c:pt>
                <c:pt idx="6">
                  <c:v>18.600000000000001</c:v>
                </c:pt>
                <c:pt idx="7">
                  <c:v>13.600000000000001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23.6</c:v>
                </c:pt>
                <c:pt idx="1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19.3</c:v>
                </c:pt>
                <c:pt idx="1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25.828684603371659</c:v>
                </c:pt>
                <c:pt idx="1">
                  <c:v>23.6</c:v>
                </c:pt>
                <c:pt idx="2">
                  <c:v>21.371315396628344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22.063157055503204</c:v>
                </c:pt>
                <c:pt idx="1">
                  <c:v>19.3</c:v>
                </c:pt>
                <c:pt idx="2">
                  <c:v>16.536842944496797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21.855402368824418</c:v>
                </c:pt>
                <c:pt idx="1">
                  <c:v>19.3</c:v>
                </c:pt>
                <c:pt idx="2">
                  <c:v>16.744597631175584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0.72574548509029846</c:v>
                </c:pt>
                <c:pt idx="1">
                  <c:v>-0.113821138211382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1.7257454850902985</c:v>
                </c:pt>
                <c:pt idx="4">
                  <c:v>1.2257454850902985</c:v>
                </c:pt>
                <c:pt idx="5">
                  <c:v>0.72574548509029846</c:v>
                </c:pt>
                <c:pt idx="6">
                  <c:v>0.22574548509029846</c:v>
                </c:pt>
                <c:pt idx="7">
                  <c:v>-0.27425451490970154</c:v>
                </c:pt>
                <c:pt idx="8">
                  <c:v>-0.77425451490970154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0.72574548509029846</c:v>
                </c:pt>
                <c:pt idx="1">
                  <c:v>0.72574548509029846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-0.113821138211382</c:v>
                </c:pt>
                <c:pt idx="1">
                  <c:v>-0.113821138211382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1.2473827082194537</c:v>
                </c:pt>
                <c:pt idx="1">
                  <c:v>0.72574548509029846</c:v>
                </c:pt>
                <c:pt idx="2">
                  <c:v>0.24925516679792026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0.32284318590009647</c:v>
                </c:pt>
                <c:pt idx="1">
                  <c:v>-0.113821138211382</c:v>
                </c:pt>
                <c:pt idx="2">
                  <c:v>-0.5568723143781652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0.38249477920722225</c:v>
                </c:pt>
                <c:pt idx="1">
                  <c:v>-0.113821138211382</c:v>
                </c:pt>
                <c:pt idx="2">
                  <c:v>-0.62532353292022624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Pairwise!$B$7:$B$12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-4.3000000000000007</c:v>
                </c:pt>
                <c:pt idx="1">
                  <c:v>0</c:v>
                </c:pt>
                <c:pt idx="2">
                  <c:v>0</c:v>
                </c:pt>
                <c:pt idx="3">
                  <c:v>-4.0999999999999979</c:v>
                </c:pt>
                <c:pt idx="4">
                  <c:v>0.20000000000000284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-1.7445976311755844</c:v>
                </c:pt>
                <c:pt idx="1">
                  <c:v>-4.3000000000000007</c:v>
                </c:pt>
                <c:pt idx="2">
                  <c:v>-6.855402368824417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-1.6703965368936373</c:v>
                </c:pt>
                <c:pt idx="1">
                  <c:v>-4.0999999999999979</c:v>
                </c:pt>
                <c:pt idx="2">
                  <c:v>-6.5296034631063584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1.7746269057832165</c:v>
                </c:pt>
                <c:pt idx="1">
                  <c:v>0.20000000000000284</c:v>
                </c:pt>
                <c:pt idx="2">
                  <c:v>-1.3746269057832108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Pairwise!$K$7:$K$12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-0.76964939148327915</c:v>
                </c:pt>
                <c:pt idx="1">
                  <c:v>0</c:v>
                </c:pt>
                <c:pt idx="2">
                  <c:v>0</c:v>
                </c:pt>
                <c:pt idx="3">
                  <c:v>-0.74274284032493221</c:v>
                </c:pt>
                <c:pt idx="4">
                  <c:v>4.0941935672069239E-2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-0.2733334740646749</c:v>
                </c:pt>
                <c:pt idx="1">
                  <c:v>-0.76964939148327915</c:v>
                </c:pt>
                <c:pt idx="2">
                  <c:v>-1.2811517861921233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-0.27520343190880298</c:v>
                </c:pt>
                <c:pt idx="1">
                  <c:v>-0.74274284032493221</c:v>
                </c:pt>
                <c:pt idx="2">
                  <c:v>-1.2837240193073953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0.49733092655662292</c:v>
                </c:pt>
                <c:pt idx="1">
                  <c:v>4.0941935672069239E-2</c:v>
                </c:pt>
                <c:pt idx="2">
                  <c:v>-0.37999533329460128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14</xdr:row>
      <xdr:rowOff>137158</xdr:rowOff>
    </xdr:from>
    <xdr:to>
      <xdr:col>8</xdr:col>
      <xdr:colOff>15240</xdr:colOff>
      <xdr:row>34</xdr:row>
      <xdr:rowOff>173353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</xdr:colOff>
      <xdr:row>14</xdr:row>
      <xdr:rowOff>179067</xdr:rowOff>
    </xdr:from>
    <xdr:to>
      <xdr:col>17</xdr:col>
      <xdr:colOff>22860</xdr:colOff>
      <xdr:row>35</xdr:row>
      <xdr:rowOff>24762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www4.uwsp.edu/psych/cw/" TargetMode="External"/><Relationship Id="rId1" Type="http://schemas.openxmlformats.org/officeDocument/2006/relationships/hyperlink" Target="https://github.com/cwendorf/BASE/tree/master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34"/>
  <sheetViews>
    <sheetView tabSelected="1" showRuler="0" zoomScaleNormal="100" workbookViewId="0">
      <selection activeCell="K33" sqref="K33:K34"/>
    </sheetView>
  </sheetViews>
  <sheetFormatPr defaultColWidth="11.140625" defaultRowHeight="15" customHeight="1" x14ac:dyDescent="0.25"/>
  <cols>
    <col min="1" max="1" width="4.5703125" style="3" customWidth="1"/>
    <col min="2" max="8" width="11.140625" style="29"/>
    <col min="9" max="10" width="4.5703125" style="29" customWidth="1"/>
    <col min="11" max="17" width="11.140625" style="29"/>
    <col min="18" max="19" width="4.5703125" style="29" customWidth="1"/>
    <col min="20" max="16384" width="11.140625" style="29"/>
  </cols>
  <sheetData>
    <row r="1" spans="1:17" s="119" customFormat="1" ht="15" customHeight="1" x14ac:dyDescent="0.25">
      <c r="A1" s="121"/>
    </row>
    <row r="2" spans="1:17" s="119" customFormat="1" ht="18" customHeight="1" x14ac:dyDescent="0.3">
      <c r="A2" s="121"/>
      <c r="B2" s="198" t="s">
        <v>121</v>
      </c>
      <c r="C2" s="198"/>
      <c r="D2" s="198"/>
      <c r="E2" s="198"/>
      <c r="F2" s="198"/>
      <c r="G2" s="198"/>
      <c r="H2" s="198"/>
      <c r="I2" s="122"/>
      <c r="J2" s="122"/>
      <c r="K2" s="199" t="s">
        <v>80</v>
      </c>
      <c r="L2" s="199"/>
      <c r="M2" s="199"/>
      <c r="N2" s="199"/>
      <c r="O2" s="199"/>
      <c r="P2" s="199"/>
      <c r="Q2" s="199"/>
    </row>
    <row r="3" spans="1:17" s="119" customFormat="1" ht="18" customHeight="1" x14ac:dyDescent="0.3">
      <c r="A3" s="121"/>
      <c r="B3" s="200" t="s">
        <v>62</v>
      </c>
      <c r="C3" s="200"/>
      <c r="D3" s="200"/>
      <c r="E3" s="200"/>
      <c r="F3" s="200"/>
      <c r="G3" s="200"/>
      <c r="H3" s="200"/>
      <c r="I3" s="197"/>
      <c r="J3" s="197"/>
      <c r="K3" s="200" t="s">
        <v>122</v>
      </c>
      <c r="L3" s="200"/>
      <c r="M3" s="200"/>
      <c r="N3" s="200"/>
      <c r="O3" s="200"/>
      <c r="P3" s="200"/>
      <c r="Q3" s="200"/>
    </row>
    <row r="4" spans="1:17" s="126" customFormat="1" ht="18" customHeight="1" x14ac:dyDescent="0.3">
      <c r="A4" s="125"/>
      <c r="B4" s="200" t="s">
        <v>123</v>
      </c>
      <c r="C4" s="200"/>
      <c r="D4" s="200"/>
      <c r="E4" s="200"/>
      <c r="F4" s="200"/>
      <c r="G4" s="200"/>
      <c r="H4" s="200"/>
      <c r="I4" s="197"/>
      <c r="J4" s="197"/>
      <c r="K4" s="201" t="s">
        <v>135</v>
      </c>
      <c r="L4" s="200"/>
      <c r="M4" s="200"/>
      <c r="N4" s="200"/>
      <c r="O4" s="200"/>
      <c r="P4" s="200"/>
      <c r="Q4" s="200"/>
    </row>
    <row r="5" spans="1:17" s="119" customFormat="1" ht="15" customHeight="1" x14ac:dyDescent="0.25">
      <c r="A5" s="121"/>
      <c r="I5" s="123"/>
      <c r="J5" s="123"/>
      <c r="K5" s="123"/>
      <c r="L5" s="123"/>
      <c r="M5" s="123"/>
      <c r="N5" s="123"/>
      <c r="O5" s="123"/>
      <c r="P5" s="123"/>
      <c r="Q5" s="123"/>
    </row>
    <row r="6" spans="1:17" s="119" customFormat="1" ht="15" customHeight="1" x14ac:dyDescent="0.25">
      <c r="A6" s="121"/>
      <c r="B6" s="7" t="s">
        <v>81</v>
      </c>
      <c r="K6" s="7" t="s">
        <v>82</v>
      </c>
    </row>
    <row r="8" spans="1:17" ht="15" customHeight="1" x14ac:dyDescent="0.25">
      <c r="B8" s="29" t="s">
        <v>96</v>
      </c>
      <c r="K8" s="26" t="s">
        <v>22</v>
      </c>
    </row>
    <row r="9" spans="1:17" ht="15" customHeight="1" x14ac:dyDescent="0.25">
      <c r="B9" s="29" t="s">
        <v>97</v>
      </c>
      <c r="K9" s="26" t="s">
        <v>30</v>
      </c>
    </row>
    <row r="10" spans="1:17" ht="15" customHeight="1" x14ac:dyDescent="0.25">
      <c r="B10" s="29" t="s">
        <v>110</v>
      </c>
      <c r="K10" s="26" t="s">
        <v>29</v>
      </c>
    </row>
    <row r="11" spans="1:17" ht="15" customHeight="1" x14ac:dyDescent="0.25">
      <c r="B11" s="29" t="s">
        <v>111</v>
      </c>
    </row>
    <row r="13" spans="1:17" ht="15" customHeight="1" x14ac:dyDescent="0.25">
      <c r="B13" s="7" t="s">
        <v>83</v>
      </c>
      <c r="K13" s="7" t="s">
        <v>84</v>
      </c>
    </row>
    <row r="14" spans="1:17" ht="15" customHeight="1" x14ac:dyDescent="0.25">
      <c r="K14"/>
    </row>
    <row r="15" spans="1:17" ht="15" customHeight="1" x14ac:dyDescent="0.25">
      <c r="B15" s="29" t="s">
        <v>63</v>
      </c>
      <c r="K15" s="52" t="s">
        <v>99</v>
      </c>
    </row>
    <row r="16" spans="1:17" ht="15" customHeight="1" x14ac:dyDescent="0.25">
      <c r="A16" s="29"/>
      <c r="B16" s="29" t="s">
        <v>124</v>
      </c>
      <c r="K16" s="40" t="s">
        <v>43</v>
      </c>
    </row>
    <row r="17" spans="1:17" ht="15" customHeight="1" x14ac:dyDescent="0.25">
      <c r="A17" s="29"/>
      <c r="B17" s="29" t="s">
        <v>94</v>
      </c>
      <c r="K17" s="40" t="s">
        <v>85</v>
      </c>
    </row>
    <row r="18" spans="1:17" ht="15" customHeight="1" x14ac:dyDescent="0.25">
      <c r="A18" s="29"/>
      <c r="B18" s="29" t="s">
        <v>95</v>
      </c>
      <c r="K18" s="124" t="s">
        <v>98</v>
      </c>
    </row>
    <row r="20" spans="1:17" ht="15" customHeight="1" x14ac:dyDescent="0.25">
      <c r="A20" s="29"/>
      <c r="B20" s="7" t="s">
        <v>86</v>
      </c>
      <c r="K20" s="8" t="s">
        <v>4</v>
      </c>
    </row>
    <row r="22" spans="1:17" ht="15" customHeight="1" x14ac:dyDescent="0.25">
      <c r="A22" s="29"/>
      <c r="B22" s="26" t="s">
        <v>87</v>
      </c>
      <c r="C22" s="29" t="s">
        <v>7</v>
      </c>
      <c r="K22" s="29" t="s">
        <v>67</v>
      </c>
      <c r="L22"/>
      <c r="M22"/>
      <c r="N22"/>
      <c r="O22"/>
      <c r="P22"/>
      <c r="Q22"/>
    </row>
    <row r="23" spans="1:17" ht="15" customHeight="1" x14ac:dyDescent="0.25">
      <c r="A23" s="29"/>
      <c r="B23" s="26" t="s">
        <v>88</v>
      </c>
      <c r="C23" s="29" t="s">
        <v>38</v>
      </c>
      <c r="K23" s="29" t="s">
        <v>5</v>
      </c>
      <c r="L23"/>
      <c r="M23"/>
      <c r="N23"/>
      <c r="O23"/>
      <c r="P23"/>
      <c r="Q23"/>
    </row>
    <row r="24" spans="1:17" ht="15" customHeight="1" x14ac:dyDescent="0.25">
      <c r="A24" s="29"/>
      <c r="B24" s="26" t="s">
        <v>89</v>
      </c>
      <c r="C24" s="29" t="s">
        <v>39</v>
      </c>
      <c r="K24" s="29" t="s">
        <v>6</v>
      </c>
      <c r="L24"/>
      <c r="M24"/>
      <c r="N24"/>
      <c r="O24"/>
      <c r="P24"/>
      <c r="Q24"/>
    </row>
    <row r="25" spans="1:17" ht="15" customHeight="1" x14ac:dyDescent="0.25">
      <c r="A25" s="29"/>
      <c r="B25" s="29" t="s">
        <v>120</v>
      </c>
      <c r="C25" s="29" t="s">
        <v>106</v>
      </c>
      <c r="K25" s="194" t="s">
        <v>136</v>
      </c>
      <c r="L25"/>
      <c r="M25"/>
      <c r="N25"/>
      <c r="O25"/>
      <c r="P25"/>
      <c r="Q25"/>
    </row>
    <row r="26" spans="1:17" ht="15" customHeight="1" x14ac:dyDescent="0.25">
      <c r="A26" s="29"/>
      <c r="B26" s="26" t="s">
        <v>90</v>
      </c>
      <c r="C26" s="29" t="s">
        <v>8</v>
      </c>
      <c r="K26" s="194" t="s">
        <v>116</v>
      </c>
      <c r="L26"/>
      <c r="M26"/>
      <c r="N26"/>
      <c r="O26"/>
      <c r="P26"/>
      <c r="Q26"/>
    </row>
    <row r="27" spans="1:17" ht="15" customHeight="1" x14ac:dyDescent="0.25">
      <c r="A27" s="29"/>
      <c r="L27"/>
      <c r="M27"/>
      <c r="N27"/>
      <c r="O27"/>
      <c r="P27"/>
      <c r="Q27"/>
    </row>
    <row r="28" spans="1:17" ht="15" customHeight="1" x14ac:dyDescent="0.25">
      <c r="A28" s="29"/>
      <c r="B28" s="7" t="s">
        <v>117</v>
      </c>
      <c r="K28" s="8" t="s">
        <v>137</v>
      </c>
      <c r="L28"/>
      <c r="M28"/>
      <c r="N28"/>
      <c r="O28"/>
      <c r="P28"/>
      <c r="Q28"/>
    </row>
    <row r="29" spans="1:17" ht="15" customHeight="1" x14ac:dyDescent="0.25">
      <c r="A29" s="29"/>
      <c r="B29" s="28"/>
      <c r="L29"/>
      <c r="M29"/>
      <c r="N29"/>
      <c r="O29"/>
      <c r="P29"/>
      <c r="Q29"/>
    </row>
    <row r="30" spans="1:17" ht="15" customHeight="1" x14ac:dyDescent="0.25">
      <c r="A30" s="29"/>
      <c r="B30" s="28" t="s">
        <v>91</v>
      </c>
      <c r="K30" s="29" t="s">
        <v>42</v>
      </c>
      <c r="L30"/>
      <c r="M30"/>
      <c r="N30"/>
      <c r="O30"/>
      <c r="P30"/>
      <c r="Q30"/>
    </row>
    <row r="31" spans="1:17" ht="15" customHeight="1" x14ac:dyDescent="0.25">
      <c r="A31" s="29"/>
      <c r="B31" s="28" t="s">
        <v>92</v>
      </c>
      <c r="K31" s="29" t="s">
        <v>138</v>
      </c>
      <c r="L31"/>
      <c r="M31"/>
      <c r="N31"/>
      <c r="O31"/>
      <c r="P31"/>
      <c r="Q31"/>
    </row>
    <row r="32" spans="1:17" ht="15" customHeight="1" x14ac:dyDescent="0.25">
      <c r="A32" s="29"/>
      <c r="B32" s="28" t="s">
        <v>93</v>
      </c>
      <c r="K32" s="29" t="s">
        <v>139</v>
      </c>
      <c r="L32"/>
      <c r="M32"/>
      <c r="N32"/>
      <c r="O32"/>
      <c r="P32"/>
      <c r="Q32"/>
    </row>
    <row r="33" spans="1:17" ht="15" customHeight="1" x14ac:dyDescent="0.25">
      <c r="A33" s="29"/>
      <c r="L33"/>
      <c r="M33"/>
      <c r="N33"/>
      <c r="O33"/>
      <c r="P33"/>
      <c r="Q33"/>
    </row>
    <row r="34" spans="1:17" ht="15" customHeight="1" x14ac:dyDescent="0.25">
      <c r="K34" s="194"/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4DEC45AC-8205-4124-9FFE-396603773871}"/>
    <hyperlink ref="K25" r:id="rId3" xr:uid="{8ED4693F-B13C-454D-B81F-7627600DE9C7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B43"/>
  <sheetViews>
    <sheetView showRuler="0" zoomScaleNormal="100" workbookViewId="0">
      <selection activeCell="Q24" sqref="Q24"/>
    </sheetView>
  </sheetViews>
  <sheetFormatPr defaultColWidth="11.140625" defaultRowHeight="15" x14ac:dyDescent="0.25"/>
  <cols>
    <col min="1" max="1" width="4.5703125" style="5" customWidth="1"/>
    <col min="2" max="5" width="11.140625" style="5"/>
    <col min="6" max="6" width="11.140625" style="42"/>
    <col min="7" max="8" width="11.140625" style="5"/>
    <col min="9" max="10" width="4.5703125" style="5" customWidth="1"/>
    <col min="11" max="15" width="11.140625" style="191"/>
    <col min="16" max="16" width="11.140625" style="89"/>
    <col min="17" max="17" width="11.140625" style="5"/>
    <col min="18" max="18" width="4.5703125" style="5" customWidth="1"/>
    <col min="19" max="19" width="4.5703125" style="5" hidden="1" customWidth="1"/>
    <col min="20" max="26" width="11.140625" style="5" hidden="1" customWidth="1"/>
    <col min="27" max="27" width="5.5703125" style="5" hidden="1" customWidth="1"/>
    <col min="28" max="28" width="0" style="5" hidden="1" customWidth="1"/>
    <col min="29" max="16384" width="11.140625" style="5"/>
  </cols>
  <sheetData>
    <row r="1" spans="2:28" x14ac:dyDescent="0.25">
      <c r="F1" s="5"/>
      <c r="K1" s="42"/>
      <c r="L1" s="5"/>
      <c r="M1" s="5"/>
      <c r="N1" s="5"/>
      <c r="O1" s="5"/>
    </row>
    <row r="2" spans="2:28" ht="15" customHeight="1" x14ac:dyDescent="0.25">
      <c r="B2" s="206" t="s">
        <v>28</v>
      </c>
      <c r="C2" s="206"/>
      <c r="D2" s="206"/>
      <c r="E2" s="206"/>
      <c r="F2" s="206"/>
      <c r="G2" s="206"/>
      <c r="H2" s="206"/>
      <c r="K2" s="206" t="s">
        <v>119</v>
      </c>
      <c r="L2" s="206"/>
      <c r="M2" s="206"/>
      <c r="N2" s="206"/>
      <c r="O2" s="206"/>
      <c r="P2" s="206"/>
      <c r="Q2" s="206"/>
      <c r="T2" s="206" t="s">
        <v>59</v>
      </c>
      <c r="U2" s="206"/>
      <c r="V2" s="206"/>
      <c r="W2" s="206"/>
      <c r="X2" s="206"/>
      <c r="Y2" s="206"/>
      <c r="Z2" s="206"/>
    </row>
    <row r="3" spans="2:28" ht="18.75" x14ac:dyDescent="0.3">
      <c r="E3" s="1"/>
      <c r="K3" s="5"/>
      <c r="L3" s="5"/>
      <c r="M3" s="5"/>
      <c r="N3" s="5"/>
      <c r="O3" s="5"/>
      <c r="T3"/>
      <c r="U3"/>
      <c r="V3"/>
      <c r="W3"/>
    </row>
    <row r="4" spans="2:28" ht="15.75" x14ac:dyDescent="0.25">
      <c r="B4" s="12" t="s">
        <v>28</v>
      </c>
      <c r="F4" s="5"/>
      <c r="K4" s="67" t="s">
        <v>54</v>
      </c>
      <c r="L4" s="52"/>
      <c r="M4" s="52"/>
      <c r="N4" s="52"/>
      <c r="O4" s="52"/>
      <c r="P4"/>
      <c r="Q4"/>
      <c r="T4" s="67" t="s">
        <v>54</v>
      </c>
      <c r="U4" s="52"/>
      <c r="V4" s="52"/>
      <c r="W4" s="52"/>
      <c r="X4" s="52"/>
      <c r="Y4"/>
      <c r="Z4"/>
    </row>
    <row r="5" spans="2:28" ht="15.75" thickBot="1" x14ac:dyDescent="0.3">
      <c r="K5" s="52"/>
      <c r="L5" s="52"/>
      <c r="M5" s="52"/>
      <c r="N5" s="52"/>
      <c r="O5" s="52"/>
      <c r="P5" s="52"/>
      <c r="Q5" s="52"/>
      <c r="S5" s="33"/>
      <c r="T5" s="52"/>
      <c r="U5" s="52"/>
      <c r="V5" s="52"/>
      <c r="W5" s="52"/>
      <c r="X5" s="52"/>
      <c r="Y5" s="52"/>
      <c r="Z5" s="52"/>
    </row>
    <row r="6" spans="2:28" ht="15.75" thickBot="1" x14ac:dyDescent="0.3">
      <c r="B6" s="205" t="s">
        <v>26</v>
      </c>
      <c r="C6" s="205"/>
      <c r="D6" s="205"/>
      <c r="E6" s="205"/>
      <c r="F6" s="205"/>
      <c r="G6" s="205"/>
      <c r="H6" s="205"/>
      <c r="K6" s="183" t="s">
        <v>55</v>
      </c>
      <c r="L6" s="68"/>
      <c r="M6" s="183" t="s">
        <v>61</v>
      </c>
      <c r="N6" s="183" t="s">
        <v>112</v>
      </c>
      <c r="O6" s="183" t="s">
        <v>1</v>
      </c>
      <c r="P6" s="183" t="s">
        <v>11</v>
      </c>
      <c r="Q6" s="183" t="s">
        <v>69</v>
      </c>
      <c r="S6" s="33"/>
      <c r="T6" s="183" t="s">
        <v>55</v>
      </c>
      <c r="U6" s="183" t="s">
        <v>61</v>
      </c>
      <c r="V6" s="183" t="s">
        <v>1</v>
      </c>
      <c r="W6" s="183" t="s">
        <v>11</v>
      </c>
      <c r="X6" s="183" t="s">
        <v>69</v>
      </c>
      <c r="Y6" s="183" t="s">
        <v>2</v>
      </c>
      <c r="Z6" s="88" t="s">
        <v>76</v>
      </c>
      <c r="AA6" s="184" t="s">
        <v>118</v>
      </c>
    </row>
    <row r="7" spans="2:28" x14ac:dyDescent="0.25">
      <c r="B7" s="211" t="s">
        <v>125</v>
      </c>
      <c r="C7" s="211"/>
      <c r="D7" s="211"/>
      <c r="E7" s="211"/>
      <c r="F7" s="211"/>
      <c r="G7" s="211"/>
      <c r="H7" s="211"/>
      <c r="K7" s="129" t="str">
        <f>IF($B$22="","",$B$22)</f>
        <v>Pretest</v>
      </c>
      <c r="L7" s="69"/>
      <c r="M7" s="70">
        <v>1</v>
      </c>
      <c r="N7" s="185" t="s">
        <v>127</v>
      </c>
      <c r="O7" s="185">
        <v>20</v>
      </c>
      <c r="P7" s="135">
        <v>19.3</v>
      </c>
      <c r="Q7" s="135">
        <v>5.9039999999999999</v>
      </c>
      <c r="S7" s="33"/>
      <c r="T7" s="129" t="str">
        <f>IF($B$22="","",$B$22)</f>
        <v>Pretest</v>
      </c>
      <c r="U7" s="70">
        <v>1</v>
      </c>
      <c r="V7" s="186">
        <f t="shared" ref="V7:X11" si="0">IF(O7="","",O7)</f>
        <v>20</v>
      </c>
      <c r="W7" s="86">
        <f t="shared" si="0"/>
        <v>19.3</v>
      </c>
      <c r="X7" s="86">
        <f t="shared" si="0"/>
        <v>5.9039999999999999</v>
      </c>
      <c r="Y7" s="20">
        <f>IFERROR(V7-1,"")</f>
        <v>19</v>
      </c>
      <c r="Z7" s="76">
        <f>IFERROR(X7/SQRT(V7),"")</f>
        <v>1.3201745339158757</v>
      </c>
      <c r="AA7" s="5">
        <f>IFERROR(X7^2*(V7-1),"")</f>
        <v>662.287104</v>
      </c>
    </row>
    <row r="8" spans="2:28" ht="15.75" thickBot="1" x14ac:dyDescent="0.3">
      <c r="B8" s="212"/>
      <c r="C8" s="212"/>
      <c r="D8" s="212"/>
      <c r="E8" s="212"/>
      <c r="F8" s="212"/>
      <c r="G8" s="212"/>
      <c r="H8" s="212"/>
      <c r="K8" s="130" t="str">
        <f>IF($B$23="","",$B$23)</f>
        <v>Posttest</v>
      </c>
      <c r="L8" s="71"/>
      <c r="M8" s="72">
        <v>2</v>
      </c>
      <c r="N8" s="187" t="s">
        <v>127</v>
      </c>
      <c r="O8" s="187">
        <v>20</v>
      </c>
      <c r="P8" s="136">
        <v>23.6</v>
      </c>
      <c r="Q8" s="136">
        <v>4.7619999999999996</v>
      </c>
      <c r="S8" s="33"/>
      <c r="T8" s="130" t="str">
        <f>IF($B$23="","",$B$23)</f>
        <v>Posttest</v>
      </c>
      <c r="U8" s="72">
        <v>2</v>
      </c>
      <c r="V8" s="188">
        <f t="shared" si="0"/>
        <v>20</v>
      </c>
      <c r="W8" s="87">
        <f t="shared" si="0"/>
        <v>23.6</v>
      </c>
      <c r="X8" s="87">
        <f t="shared" si="0"/>
        <v>4.7619999999999996</v>
      </c>
      <c r="Y8" s="22">
        <f>IFERROR(V8-1,"")</f>
        <v>19</v>
      </c>
      <c r="Z8" s="77">
        <f>IFERROR(X8/SQRT(V8),"")</f>
        <v>1.0648155708853997</v>
      </c>
      <c r="AA8" s="5">
        <f>IFERROR(X8^2*(V8-1),"")</f>
        <v>430.85623599999991</v>
      </c>
    </row>
    <row r="9" spans="2:28" ht="15.75" thickBot="1" x14ac:dyDescent="0.3">
      <c r="B9" s="9"/>
      <c r="C9" s="9"/>
      <c r="D9" s="9"/>
      <c r="E9" s="9"/>
      <c r="F9" s="43"/>
      <c r="G9" s="9"/>
      <c r="H9" s="9"/>
      <c r="K9" s="130" t="str">
        <f>IF($B$24="","",$B$24)</f>
        <v/>
      </c>
      <c r="L9" s="71"/>
      <c r="M9" s="72">
        <v>3</v>
      </c>
      <c r="N9" s="187"/>
      <c r="O9" s="187"/>
      <c r="P9" s="136"/>
      <c r="Q9" s="136"/>
      <c r="S9" s="33"/>
      <c r="T9" s="130" t="str">
        <f>IF($B$24="","",$B$24)</f>
        <v/>
      </c>
      <c r="U9" s="72">
        <v>3</v>
      </c>
      <c r="V9" s="188" t="str">
        <f t="shared" si="0"/>
        <v/>
      </c>
      <c r="W9" s="87" t="str">
        <f t="shared" si="0"/>
        <v/>
      </c>
      <c r="X9" s="87" t="str">
        <f t="shared" si="0"/>
        <v/>
      </c>
      <c r="Y9" s="22" t="str">
        <f>IFERROR(V9-1,"")</f>
        <v/>
      </c>
      <c r="Z9" s="77" t="str">
        <f>IFERROR(X9/SQRT(V9),"")</f>
        <v/>
      </c>
      <c r="AA9" s="5" t="str">
        <f>IFERROR(Y9^2*(W9-1),"")</f>
        <v/>
      </c>
    </row>
    <row r="10" spans="2:28" ht="15.75" thickBot="1" x14ac:dyDescent="0.3">
      <c r="B10" s="210" t="s">
        <v>27</v>
      </c>
      <c r="C10" s="210"/>
      <c r="D10" s="210"/>
      <c r="E10" s="210"/>
      <c r="F10" s="210"/>
      <c r="G10" s="210"/>
      <c r="H10" s="210"/>
      <c r="K10" s="130" t="str">
        <f>IF($B$25="","",$B$25)</f>
        <v>Followup</v>
      </c>
      <c r="L10" s="71"/>
      <c r="M10" s="72">
        <v>4</v>
      </c>
      <c r="N10" s="187" t="s">
        <v>128</v>
      </c>
      <c r="O10" s="187">
        <v>20</v>
      </c>
      <c r="P10" s="136">
        <v>23.4</v>
      </c>
      <c r="Q10" s="136">
        <v>4.6159999999999997</v>
      </c>
      <c r="T10" s="130" t="str">
        <f>IF($B$25="","",$B$25)</f>
        <v>Followup</v>
      </c>
      <c r="U10" s="72">
        <v>4</v>
      </c>
      <c r="V10" s="188">
        <f t="shared" si="0"/>
        <v>20</v>
      </c>
      <c r="W10" s="87">
        <f t="shared" si="0"/>
        <v>23.4</v>
      </c>
      <c r="X10" s="87">
        <f t="shared" si="0"/>
        <v>4.6159999999999997</v>
      </c>
      <c r="Y10" s="22">
        <f>IFERROR(V10-1,"")</f>
        <v>19</v>
      </c>
      <c r="Z10" s="77">
        <f>IFERROR(X10/SQRT(V10),"")</f>
        <v>1.0321689784139028</v>
      </c>
      <c r="AA10" s="5">
        <f>IFERROR(X10^2*(V10-1),"")</f>
        <v>404.84166399999998</v>
      </c>
    </row>
    <row r="11" spans="2:28" ht="15.75" thickBot="1" x14ac:dyDescent="0.3">
      <c r="B11" s="207" t="s">
        <v>126</v>
      </c>
      <c r="C11" s="207"/>
      <c r="D11" s="207"/>
      <c r="E11" s="207"/>
      <c r="F11" s="207"/>
      <c r="G11" s="207"/>
      <c r="H11" s="207"/>
      <c r="K11" s="79" t="s">
        <v>46</v>
      </c>
      <c r="L11" s="189"/>
      <c r="M11" s="79" t="s">
        <v>46</v>
      </c>
      <c r="N11" s="189"/>
      <c r="O11" s="24">
        <f>IFERROR(SUM(O7:O10),"")</f>
        <v>60</v>
      </c>
      <c r="P11" s="25">
        <f>IFERROR(SUMPRODUCT(O7:O10,P7:P10)/O11,"")</f>
        <v>22.1</v>
      </c>
      <c r="Q11" s="137">
        <v>5.42</v>
      </c>
      <c r="S11" s="33"/>
      <c r="T11" s="79" t="s">
        <v>46</v>
      </c>
      <c r="U11" s="79" t="s">
        <v>46</v>
      </c>
      <c r="V11" s="192">
        <f t="shared" si="0"/>
        <v>60</v>
      </c>
      <c r="W11" s="193">
        <f t="shared" si="0"/>
        <v>22.1</v>
      </c>
      <c r="X11" s="193">
        <f t="shared" si="0"/>
        <v>5.42</v>
      </c>
      <c r="Y11" s="24">
        <f>IFERROR(V11-1,"")</f>
        <v>59</v>
      </c>
      <c r="Z11" s="78">
        <f>IFERROR(X11/SQRT(V11),"")</f>
        <v>0.69971899121480663</v>
      </c>
      <c r="AA11" s="5">
        <f>SUM(AA7:AA10)</f>
        <v>1497.9850039999999</v>
      </c>
      <c r="AB11" s="190">
        <f>(X11^2)*(V11-1)</f>
        <v>1733.2076</v>
      </c>
    </row>
    <row r="12" spans="2:28" x14ac:dyDescent="0.25">
      <c r="B12" s="208"/>
      <c r="C12" s="208"/>
      <c r="D12" s="208"/>
      <c r="E12" s="208"/>
      <c r="F12" s="208"/>
      <c r="G12" s="208"/>
      <c r="H12" s="208"/>
      <c r="K12" s="38"/>
      <c r="L12" s="38"/>
      <c r="M12" s="38"/>
      <c r="N12" s="38"/>
      <c r="O12" s="38"/>
      <c r="P12" s="38"/>
      <c r="Q12" s="38"/>
      <c r="S12" s="33"/>
      <c r="T12" s="38"/>
      <c r="U12" s="38"/>
      <c r="V12" s="38"/>
      <c r="W12" s="38"/>
      <c r="X12" s="38"/>
      <c r="Y12" s="38"/>
      <c r="Z12" s="38"/>
    </row>
    <row r="13" spans="2:28" x14ac:dyDescent="0.25">
      <c r="B13" s="208"/>
      <c r="C13" s="208"/>
      <c r="D13" s="208"/>
      <c r="E13" s="208"/>
      <c r="F13" s="208"/>
      <c r="G13" s="208"/>
      <c r="H13" s="208"/>
      <c r="K13" s="52"/>
      <c r="L13" s="52"/>
      <c r="M13" s="52"/>
      <c r="N13" s="52"/>
      <c r="O13" s="52"/>
      <c r="P13" s="52"/>
      <c r="Q13" s="52"/>
      <c r="S13" s="52"/>
      <c r="T13" s="52" t="s">
        <v>56</v>
      </c>
      <c r="U13" s="52"/>
      <c r="V13" s="52"/>
      <c r="W13" s="52"/>
      <c r="X13" s="52"/>
      <c r="Y13" s="52"/>
      <c r="Z13" s="52"/>
    </row>
    <row r="14" spans="2:28" ht="15.75" thickBot="1" x14ac:dyDescent="0.3">
      <c r="B14" s="209"/>
      <c r="C14" s="209"/>
      <c r="D14" s="209"/>
      <c r="E14" s="209"/>
      <c r="F14" s="209"/>
      <c r="G14" s="209"/>
      <c r="H14" s="209"/>
      <c r="K14" s="52"/>
      <c r="L14" s="52"/>
      <c r="M14" s="52"/>
      <c r="N14" s="52"/>
      <c r="O14" s="52"/>
      <c r="P14" s="52"/>
      <c r="Q14" s="52"/>
      <c r="S14" s="52"/>
      <c r="T14" s="52"/>
      <c r="U14" s="52"/>
      <c r="V14" s="52"/>
      <c r="W14" s="52"/>
      <c r="X14" s="52"/>
      <c r="Y14" s="52"/>
      <c r="Z14" s="52"/>
    </row>
    <row r="15" spans="2:28" x14ac:dyDescent="0.25">
      <c r="K15" s="52"/>
      <c r="L15" s="52"/>
      <c r="M15" s="52"/>
      <c r="N15" s="52"/>
      <c r="O15" s="52"/>
      <c r="P15" s="52"/>
      <c r="Q15" s="52"/>
    </row>
    <row r="16" spans="2:28" x14ac:dyDescent="0.25">
      <c r="K16"/>
      <c r="L16" s="52"/>
      <c r="M16" s="52"/>
      <c r="N16" s="52"/>
      <c r="O16" s="52"/>
      <c r="P16" s="52"/>
      <c r="Q16" s="52"/>
    </row>
    <row r="17" spans="2:26" x14ac:dyDescent="0.25">
      <c r="K17" s="5"/>
      <c r="L17" s="5"/>
      <c r="M17" s="5"/>
      <c r="N17" s="5"/>
      <c r="O17" s="5"/>
      <c r="P17" s="5"/>
    </row>
    <row r="18" spans="2:26" x14ac:dyDescent="0.25">
      <c r="K18" s="5"/>
      <c r="L18" s="5"/>
      <c r="M18" s="5"/>
      <c r="N18" s="5"/>
      <c r="O18" s="5"/>
      <c r="P18" s="5"/>
    </row>
    <row r="19" spans="2:26" ht="15.75" x14ac:dyDescent="0.25">
      <c r="B19" s="12" t="s">
        <v>35</v>
      </c>
      <c r="C19" s="13"/>
      <c r="D19" s="14"/>
      <c r="E19" s="14"/>
      <c r="F19" s="14"/>
      <c r="G19" s="14"/>
      <c r="H19" s="15"/>
      <c r="K19" s="67" t="s">
        <v>57</v>
      </c>
      <c r="L19" s="52"/>
      <c r="M19" s="52"/>
      <c r="N19" s="52"/>
      <c r="O19" s="5"/>
      <c r="P19" s="56"/>
      <c r="Q19" s="75"/>
      <c r="T19" s="67" t="s">
        <v>57</v>
      </c>
      <c r="U19" s="52"/>
      <c r="V19" s="52"/>
      <c r="W19" s="52"/>
      <c r="Y19" s="56"/>
      <c r="Z19" s="75"/>
    </row>
    <row r="20" spans="2:26" ht="15.75" thickBot="1" x14ac:dyDescent="0.3">
      <c r="B20" s="13"/>
      <c r="C20" s="13"/>
      <c r="D20" s="14"/>
      <c r="E20" s="14"/>
      <c r="F20" s="14"/>
      <c r="G20" s="14"/>
      <c r="H20" s="14"/>
      <c r="K20" s="52"/>
      <c r="L20" s="52"/>
      <c r="M20" s="52"/>
      <c r="N20" s="52"/>
      <c r="O20" s="52"/>
      <c r="P20" s="52"/>
      <c r="Q20" s="52"/>
      <c r="S20" s="33"/>
      <c r="T20" s="52"/>
      <c r="U20" s="52"/>
      <c r="V20" s="52"/>
      <c r="W20" s="52"/>
      <c r="X20" s="52"/>
      <c r="Y20" s="52"/>
      <c r="Z20" s="52"/>
    </row>
    <row r="21" spans="2:26" ht="15.75" thickBot="1" x14ac:dyDescent="0.3">
      <c r="B21" s="205" t="s">
        <v>61</v>
      </c>
      <c r="C21" s="205"/>
      <c r="D21" s="205" t="s">
        <v>24</v>
      </c>
      <c r="E21" s="205"/>
      <c r="F21" s="205"/>
      <c r="G21" s="205"/>
      <c r="H21" s="11" t="s">
        <v>25</v>
      </c>
      <c r="K21" s="183" t="s">
        <v>55</v>
      </c>
      <c r="L21" s="68"/>
      <c r="M21" s="183" t="s">
        <v>61</v>
      </c>
      <c r="N21" s="183">
        <v>1</v>
      </c>
      <c r="O21" s="183">
        <v>2</v>
      </c>
      <c r="P21" s="183">
        <v>3</v>
      </c>
      <c r="Q21" s="183">
        <v>4</v>
      </c>
      <c r="S21" s="33"/>
      <c r="T21" s="183" t="s">
        <v>55</v>
      </c>
      <c r="U21" s="68"/>
      <c r="V21" s="183" t="s">
        <v>61</v>
      </c>
      <c r="W21" s="183">
        <v>1</v>
      </c>
      <c r="X21" s="183">
        <v>2</v>
      </c>
      <c r="Y21" s="183">
        <v>3</v>
      </c>
      <c r="Z21" s="183">
        <v>4</v>
      </c>
    </row>
    <row r="22" spans="2:26" x14ac:dyDescent="0.25">
      <c r="B22" s="203" t="s">
        <v>129</v>
      </c>
      <c r="C22" s="203"/>
      <c r="D22" s="203" t="s">
        <v>130</v>
      </c>
      <c r="E22" s="203"/>
      <c r="F22" s="203"/>
      <c r="G22" s="203"/>
      <c r="H22" s="111">
        <v>1</v>
      </c>
      <c r="K22" s="129" t="str">
        <f>IF($B$22="","",$B$22)</f>
        <v>Pretest</v>
      </c>
      <c r="L22" s="69"/>
      <c r="M22" s="70">
        <v>1</v>
      </c>
      <c r="N22" s="76">
        <v>1</v>
      </c>
      <c r="O22" s="135">
        <v>0.49299999999999999</v>
      </c>
      <c r="P22" s="135"/>
      <c r="Q22" s="135">
        <v>0.53600000000000003</v>
      </c>
      <c r="S22" s="33"/>
      <c r="T22" s="129" t="str">
        <f>IF($B$22="","",$B$22)</f>
        <v>Pretest</v>
      </c>
      <c r="U22" s="69"/>
      <c r="V22" s="70">
        <v>1</v>
      </c>
      <c r="W22" s="76">
        <v>1</v>
      </c>
      <c r="X22" s="86">
        <f>IF(O22="","",O22)</f>
        <v>0.49299999999999999</v>
      </c>
      <c r="Y22" s="86" t="str">
        <f>IF(P22="","",P22)</f>
        <v/>
      </c>
      <c r="Z22" s="86">
        <f>IF(Q22="","",Q22)</f>
        <v>0.53600000000000003</v>
      </c>
    </row>
    <row r="23" spans="2:26" x14ac:dyDescent="0.25">
      <c r="B23" s="204" t="s">
        <v>131</v>
      </c>
      <c r="C23" s="204"/>
      <c r="D23" s="204" t="s">
        <v>132</v>
      </c>
      <c r="E23" s="204"/>
      <c r="F23" s="204"/>
      <c r="G23" s="204"/>
      <c r="H23" s="51">
        <v>2</v>
      </c>
      <c r="K23" s="130" t="str">
        <f>IF($B$23="","",$B$23)</f>
        <v>Posttest</v>
      </c>
      <c r="L23" s="71"/>
      <c r="M23" s="72">
        <v>2</v>
      </c>
      <c r="N23" s="77"/>
      <c r="O23" s="77">
        <v>1</v>
      </c>
      <c r="P23" s="136"/>
      <c r="Q23" s="136">
        <v>0.74299999999999999</v>
      </c>
      <c r="S23" s="33"/>
      <c r="T23" s="130" t="str">
        <f>IF($B$23="","",$B$23)</f>
        <v>Posttest</v>
      </c>
      <c r="U23" s="71"/>
      <c r="V23" s="72">
        <v>2</v>
      </c>
      <c r="W23" s="77"/>
      <c r="X23" s="77">
        <v>1</v>
      </c>
      <c r="Y23" s="87" t="str">
        <f>IF(P23="","",P23)</f>
        <v/>
      </c>
      <c r="Z23" s="87">
        <f>IF(Q23="","",Q23)</f>
        <v>0.74299999999999999</v>
      </c>
    </row>
    <row r="24" spans="2:26" x14ac:dyDescent="0.25">
      <c r="B24" s="204"/>
      <c r="C24" s="204"/>
      <c r="D24" s="204"/>
      <c r="E24" s="204"/>
      <c r="F24" s="204"/>
      <c r="G24" s="204"/>
      <c r="H24" s="51"/>
      <c r="K24" s="130" t="str">
        <f>IF($B$24="","",$B$24)</f>
        <v/>
      </c>
      <c r="L24" s="71"/>
      <c r="M24" s="72">
        <v>3</v>
      </c>
      <c r="N24" s="77"/>
      <c r="O24" s="77"/>
      <c r="P24" s="77">
        <v>1</v>
      </c>
      <c r="Q24" s="136"/>
      <c r="S24" s="33"/>
      <c r="T24" s="130" t="str">
        <f>IF($B$24="","",$B$24)</f>
        <v/>
      </c>
      <c r="U24" s="71"/>
      <c r="V24" s="72">
        <v>3</v>
      </c>
      <c r="W24" s="77"/>
      <c r="X24" s="77"/>
      <c r="Y24" s="77">
        <v>1</v>
      </c>
      <c r="Z24" s="87" t="str">
        <f>IF(Q24="","",Q24)</f>
        <v/>
      </c>
    </row>
    <row r="25" spans="2:26" ht="15.75" thickBot="1" x14ac:dyDescent="0.3">
      <c r="B25" s="202" t="s">
        <v>133</v>
      </c>
      <c r="C25" s="202"/>
      <c r="D25" s="202" t="s">
        <v>134</v>
      </c>
      <c r="E25" s="202"/>
      <c r="F25" s="202"/>
      <c r="G25" s="202"/>
      <c r="H25" s="112">
        <v>4</v>
      </c>
      <c r="K25" s="79" t="str">
        <f>IF($B$25="","",$B$25)</f>
        <v>Followup</v>
      </c>
      <c r="L25" s="73"/>
      <c r="M25" s="74">
        <v>4</v>
      </c>
      <c r="N25" s="78"/>
      <c r="O25" s="78"/>
      <c r="P25" s="78"/>
      <c r="Q25" s="78">
        <v>1</v>
      </c>
      <c r="S25" s="33"/>
      <c r="T25" s="130" t="str">
        <f>IF($B$25="","",$B$25)</f>
        <v>Followup</v>
      </c>
      <c r="U25" s="73"/>
      <c r="V25" s="74">
        <v>4</v>
      </c>
      <c r="W25" s="78"/>
      <c r="X25" s="78"/>
      <c r="Y25" s="78"/>
      <c r="Z25" s="78">
        <v>1</v>
      </c>
    </row>
    <row r="26" spans="2:26" x14ac:dyDescent="0.25">
      <c r="B26" s="85"/>
      <c r="C26" s="85"/>
      <c r="D26" s="85"/>
      <c r="E26" s="85"/>
      <c r="F26" s="85"/>
      <c r="G26" s="85"/>
      <c r="H26" s="10"/>
      <c r="K26" s="38"/>
      <c r="L26" s="38"/>
      <c r="M26" s="38"/>
      <c r="N26" s="38"/>
      <c r="O26" s="38"/>
      <c r="P26" s="38"/>
      <c r="Q26" s="38"/>
      <c r="S26" s="33"/>
      <c r="T26" s="38"/>
      <c r="U26" s="38"/>
      <c r="V26" s="38"/>
      <c r="W26" s="38"/>
      <c r="X26" s="38"/>
      <c r="Y26" s="38"/>
      <c r="Z26" s="38"/>
    </row>
    <row r="27" spans="2:26" x14ac:dyDescent="0.25">
      <c r="S27" s="52"/>
      <c r="T27" s="52" t="s">
        <v>58</v>
      </c>
      <c r="U27" s="52"/>
      <c r="V27" s="52"/>
      <c r="W27" s="52"/>
      <c r="X27" s="52"/>
      <c r="Y27" s="52"/>
      <c r="Z27" s="52"/>
    </row>
    <row r="28" spans="2:26" x14ac:dyDescent="0.25">
      <c r="B28" s="44"/>
      <c r="C28" s="44"/>
      <c r="E28" s="6"/>
      <c r="F28" s="5"/>
      <c r="S28" s="52"/>
      <c r="T28"/>
      <c r="U28" s="52"/>
      <c r="V28" s="52"/>
      <c r="W28" s="52"/>
      <c r="X28" s="52"/>
      <c r="Y28" s="52"/>
      <c r="Z28" s="52"/>
    </row>
    <row r="29" spans="2:26" ht="15.75" x14ac:dyDescent="0.25">
      <c r="B29" s="44"/>
      <c r="C29" s="44"/>
      <c r="E29" s="44"/>
      <c r="F29" s="44"/>
      <c r="T29" s="60" t="s">
        <v>49</v>
      </c>
      <c r="U29" s="57"/>
      <c r="V29" s="57"/>
      <c r="W29" s="57"/>
      <c r="X29" s="57"/>
      <c r="Y29" s="57"/>
      <c r="Z29" s="26"/>
    </row>
    <row r="30" spans="2:26" ht="15.75" thickBot="1" x14ac:dyDescent="0.3">
      <c r="B30" s="44"/>
      <c r="C30" s="44"/>
      <c r="E30" s="44"/>
      <c r="F30" s="44"/>
      <c r="S30" s="26"/>
      <c r="T30" s="57"/>
      <c r="U30" s="57"/>
      <c r="V30" s="57"/>
      <c r="W30" s="57"/>
      <c r="X30" s="57"/>
      <c r="Y30" s="57"/>
      <c r="Z30" s="26"/>
    </row>
    <row r="31" spans="2:26" ht="15.75" thickBot="1" x14ac:dyDescent="0.3">
      <c r="B31" s="44"/>
      <c r="C31" s="44"/>
      <c r="E31" s="44"/>
      <c r="F31" s="44"/>
      <c r="S31" s="26"/>
      <c r="T31" s="83" t="s">
        <v>50</v>
      </c>
      <c r="U31" s="83" t="s">
        <v>51</v>
      </c>
      <c r="V31" s="83" t="s">
        <v>2</v>
      </c>
      <c r="W31" s="83" t="s">
        <v>52</v>
      </c>
      <c r="X31" s="83" t="s">
        <v>45</v>
      </c>
      <c r="Y31" s="83" t="s">
        <v>47</v>
      </c>
      <c r="Z31" s="83" t="s">
        <v>53</v>
      </c>
    </row>
    <row r="32" spans="2:26" x14ac:dyDescent="0.25">
      <c r="B32" s="44"/>
      <c r="C32" s="44"/>
      <c r="E32" s="44"/>
      <c r="F32" s="44"/>
      <c r="S32" s="26"/>
      <c r="T32" s="131" t="s">
        <v>65</v>
      </c>
      <c r="U32" s="90"/>
      <c r="V32" s="91">
        <f>IFERROR(V7-1,"")</f>
        <v>19</v>
      </c>
      <c r="W32" s="90">
        <f>IFERROR(U32/V32,"")</f>
        <v>0</v>
      </c>
      <c r="X32" s="92"/>
      <c r="Y32" s="92"/>
      <c r="Z32" s="91"/>
    </row>
    <row r="33" spans="2:26" x14ac:dyDescent="0.25">
      <c r="B33" s="44"/>
      <c r="C33" s="44"/>
      <c r="E33" s="44"/>
      <c r="F33" s="44"/>
      <c r="S33" s="26"/>
      <c r="T33" s="132" t="s">
        <v>64</v>
      </c>
      <c r="U33" s="93">
        <f>IFERROR(DEVSQ(W7:W10)*(V32+1),"")</f>
        <v>235.59999999999997</v>
      </c>
      <c r="V33" s="94">
        <f>IFERROR(COUNT(X7:X10)-1,"")</f>
        <v>2</v>
      </c>
      <c r="W33" s="93">
        <f>IFERROR(U33/V33,"")</f>
        <v>117.79999999999998</v>
      </c>
      <c r="X33" s="93" t="str">
        <f>IFERROR(W33/W34,"")</f>
        <v/>
      </c>
      <c r="Y33" s="93" t="str">
        <f>IFERROR(IF(FDIST(X33,V33,V34)&lt;0.001,"&lt; 0.001",FDIST(X33,V33,V34)),"")</f>
        <v/>
      </c>
      <c r="Z33" s="95">
        <f>IFERROR(U33/(U33+U34),"")</f>
        <v>1</v>
      </c>
    </row>
    <row r="34" spans="2:26" x14ac:dyDescent="0.25">
      <c r="B34" s="44"/>
      <c r="C34" s="44"/>
      <c r="E34" s="44"/>
      <c r="F34" s="44"/>
      <c r="S34" s="26"/>
      <c r="T34" s="132" t="s">
        <v>66</v>
      </c>
      <c r="U34" s="96"/>
      <c r="V34" s="97">
        <f>IFERROR(V35-V33-V32,"")</f>
        <v>38</v>
      </c>
      <c r="W34" s="96">
        <f>IFERROR(U34/V34,"")</f>
        <v>0</v>
      </c>
      <c r="X34" s="93"/>
      <c r="Y34" s="98"/>
      <c r="Z34" s="99"/>
    </row>
    <row r="35" spans="2:26" ht="15.75" thickBot="1" x14ac:dyDescent="0.3">
      <c r="B35" s="44"/>
      <c r="C35" s="44"/>
      <c r="E35" s="44"/>
      <c r="F35" s="44"/>
      <c r="S35" s="26"/>
      <c r="T35" s="133" t="s">
        <v>44</v>
      </c>
      <c r="U35" s="100">
        <f>IFERROR(X11^2*V35,"")</f>
        <v>1733.2076</v>
      </c>
      <c r="V35" s="101">
        <f>IFERROR(V11-1,"")</f>
        <v>59</v>
      </c>
      <c r="W35" s="100">
        <f>IFERROR(U35/V35,"")</f>
        <v>29.3764</v>
      </c>
      <c r="X35" s="100"/>
      <c r="Y35" s="100"/>
      <c r="Z35" s="102"/>
    </row>
    <row r="36" spans="2:26" x14ac:dyDescent="0.25">
      <c r="B36" s="44"/>
      <c r="C36" s="44"/>
      <c r="E36" s="44"/>
      <c r="F36" s="44"/>
      <c r="S36" s="26"/>
      <c r="T36" s="58"/>
      <c r="U36" s="58"/>
      <c r="V36" s="58"/>
      <c r="W36" s="58"/>
      <c r="X36" s="58"/>
      <c r="Y36" s="58"/>
      <c r="Z36" s="58"/>
    </row>
    <row r="37" spans="2:26" x14ac:dyDescent="0.25">
      <c r="B37" s="44"/>
      <c r="C37" s="44"/>
      <c r="E37" s="44"/>
      <c r="F37" s="44"/>
    </row>
    <row r="38" spans="2:26" x14ac:dyDescent="0.25">
      <c r="B38" s="44"/>
      <c r="C38" s="44"/>
    </row>
    <row r="39" spans="2:26" x14ac:dyDescent="0.25">
      <c r="B39" s="44"/>
      <c r="C39" s="44"/>
    </row>
    <row r="40" spans="2:26" x14ac:dyDescent="0.25">
      <c r="B40" s="44"/>
      <c r="C40" s="44"/>
    </row>
    <row r="41" spans="2:26" x14ac:dyDescent="0.25">
      <c r="B41" s="44"/>
      <c r="C41" s="44"/>
    </row>
    <row r="42" spans="2:26" x14ac:dyDescent="0.25">
      <c r="B42" s="44"/>
      <c r="C42" s="44"/>
    </row>
    <row r="43" spans="2:26" x14ac:dyDescent="0.25">
      <c r="B43" s="44"/>
      <c r="C43" s="44"/>
    </row>
  </sheetData>
  <sheetProtection sheet="1" selectLockedCells="1" sort="0" autoFilter="0"/>
  <mergeCells count="17">
    <mergeCell ref="B21:C21"/>
    <mergeCell ref="D21:G21"/>
    <mergeCell ref="T2:Z2"/>
    <mergeCell ref="B11:H14"/>
    <mergeCell ref="B10:H10"/>
    <mergeCell ref="B7:H8"/>
    <mergeCell ref="B2:H2"/>
    <mergeCell ref="B6:H6"/>
    <mergeCell ref="K2:Q2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44"/>
  <sheetViews>
    <sheetView showRuler="0" zoomScaleNormal="100" workbookViewId="0">
      <selection activeCell="Q4" sqref="Q4"/>
    </sheetView>
  </sheetViews>
  <sheetFormatPr defaultColWidth="11.140625" defaultRowHeight="15" x14ac:dyDescent="0.25"/>
  <cols>
    <col min="1" max="1" width="4.5703125" style="33" customWidth="1"/>
    <col min="2" max="8" width="11.140625" style="32"/>
    <col min="9" max="9" width="4.5703125" style="32" customWidth="1"/>
    <col min="10" max="10" width="4.5703125" style="33" customWidth="1"/>
    <col min="11" max="17" width="11.140625" style="32"/>
    <col min="18" max="18" width="4.5703125" style="33" customWidth="1"/>
    <col min="19" max="19" width="4.5703125" style="32" hidden="1" customWidth="1"/>
    <col min="20" max="26" width="0" style="32" hidden="1" customWidth="1"/>
    <col min="27" max="27" width="4.5703125" style="32" hidden="1" customWidth="1"/>
    <col min="28" max="16384" width="11.140625" style="32"/>
  </cols>
  <sheetData>
    <row r="1" spans="1:26" s="120" customFormat="1" x14ac:dyDescent="0.25">
      <c r="A1" s="5"/>
      <c r="J1" s="5"/>
      <c r="R1" s="5"/>
    </row>
    <row r="2" spans="1:26" s="120" customFormat="1" ht="15" customHeight="1" x14ac:dyDescent="0.25">
      <c r="A2" s="5"/>
      <c r="B2" s="213" t="s">
        <v>36</v>
      </c>
      <c r="C2" s="213"/>
      <c r="D2" s="213"/>
      <c r="E2" s="213"/>
      <c r="F2" s="213"/>
      <c r="G2" s="213"/>
      <c r="H2" s="213"/>
      <c r="I2" s="5"/>
      <c r="J2" s="5"/>
      <c r="K2" s="213" t="s">
        <v>37</v>
      </c>
      <c r="L2" s="213"/>
      <c r="M2" s="213"/>
      <c r="N2" s="213"/>
      <c r="O2" s="213"/>
      <c r="P2" s="213"/>
      <c r="Q2" s="213"/>
      <c r="R2" s="5"/>
      <c r="T2" s="213" t="s">
        <v>59</v>
      </c>
      <c r="U2" s="213"/>
      <c r="V2" s="213"/>
      <c r="W2" s="213"/>
      <c r="X2" s="213"/>
      <c r="Y2" s="213"/>
      <c r="Z2" s="213"/>
    </row>
    <row r="3" spans="1:26" x14ac:dyDescent="0.25">
      <c r="A3" s="3"/>
      <c r="B3" s="29"/>
      <c r="C3" s="29"/>
      <c r="D3" s="29"/>
      <c r="E3" s="29"/>
      <c r="F3" s="29"/>
      <c r="G3" s="29"/>
      <c r="H3" s="29"/>
      <c r="I3" s="29"/>
      <c r="J3" s="3"/>
      <c r="K3" s="29"/>
      <c r="L3" s="29"/>
      <c r="M3" s="29"/>
      <c r="N3" s="29"/>
      <c r="O3" s="29"/>
      <c r="P3" s="29"/>
      <c r="Q3" s="29"/>
    </row>
    <row r="4" spans="1:26" ht="15.75" x14ac:dyDescent="0.25">
      <c r="A4" s="32"/>
      <c r="B4" s="7" t="s">
        <v>107</v>
      </c>
      <c r="C4" s="29"/>
      <c r="D4" s="29"/>
      <c r="E4" s="29"/>
      <c r="F4" s="29"/>
      <c r="G4" s="30" t="s">
        <v>33</v>
      </c>
      <c r="H4" s="39">
        <v>95</v>
      </c>
      <c r="I4" s="29"/>
      <c r="J4" s="32"/>
      <c r="K4" s="7" t="s">
        <v>107</v>
      </c>
      <c r="L4" s="29"/>
      <c r="M4" s="29"/>
      <c r="N4" s="29"/>
      <c r="O4" s="29"/>
      <c r="P4" s="30" t="s">
        <v>33</v>
      </c>
      <c r="Q4" s="39">
        <v>95</v>
      </c>
    </row>
    <row r="5" spans="1:26" ht="15.75" thickBot="1" x14ac:dyDescent="0.3">
      <c r="A5" s="3"/>
      <c r="B5" s="29"/>
      <c r="C5" s="29"/>
      <c r="D5" s="29"/>
      <c r="E5" s="29"/>
      <c r="F5" s="29"/>
      <c r="G5" s="29"/>
      <c r="H5" s="29"/>
      <c r="I5" s="29"/>
      <c r="J5" s="3"/>
      <c r="K5" s="29"/>
      <c r="L5" s="29"/>
      <c r="M5" s="29"/>
      <c r="N5" s="29"/>
      <c r="O5" s="29"/>
      <c r="P5" s="29"/>
      <c r="Q5" s="29"/>
      <c r="S5" s="52"/>
    </row>
    <row r="6" spans="1:26" ht="15.75" thickBot="1" x14ac:dyDescent="0.3">
      <c r="A6" s="3"/>
      <c r="B6" s="127" t="s">
        <v>61</v>
      </c>
      <c r="C6" s="61" t="s">
        <v>1</v>
      </c>
      <c r="D6" s="61" t="s">
        <v>11</v>
      </c>
      <c r="E6" s="61" t="s">
        <v>69</v>
      </c>
      <c r="F6" s="153" t="s">
        <v>76</v>
      </c>
      <c r="G6" s="214" t="s">
        <v>79</v>
      </c>
      <c r="H6" s="214"/>
      <c r="J6" s="3"/>
      <c r="K6" s="127" t="s">
        <v>61</v>
      </c>
      <c r="L6" s="113" t="s">
        <v>3</v>
      </c>
      <c r="M6" s="113" t="s">
        <v>23</v>
      </c>
      <c r="N6" s="152" t="s">
        <v>2</v>
      </c>
      <c r="O6" s="62" t="s">
        <v>76</v>
      </c>
      <c r="P6" s="214" t="s">
        <v>60</v>
      </c>
      <c r="Q6" s="214"/>
      <c r="S6" s="52"/>
    </row>
    <row r="7" spans="1:26" x14ac:dyDescent="0.25">
      <c r="A7" s="3"/>
      <c r="B7" s="20" t="str">
        <f>Data!T7</f>
        <v>Pretest</v>
      </c>
      <c r="C7" s="80">
        <f>Data!V7</f>
        <v>20</v>
      </c>
      <c r="D7" s="34">
        <f>Data!W7</f>
        <v>19.3</v>
      </c>
      <c r="E7" s="34">
        <f>Data!X7</f>
        <v>5.9039999999999999</v>
      </c>
      <c r="F7" s="34">
        <f>Data!Z7</f>
        <v>1.3201745339158757</v>
      </c>
      <c r="G7" s="21">
        <f>IFERROR(D7-TINV(1-$H$4/100,Data!Y7)*Data!Z7,"")</f>
        <v>16.536842944496797</v>
      </c>
      <c r="H7" s="21">
        <f>IFERROR(D7+TINV(1-$H$4/100,Data!Y7)*Data!Z7,"")</f>
        <v>22.063157055503204</v>
      </c>
      <c r="J7" s="3"/>
      <c r="K7" s="20" t="str">
        <f t="shared" ref="K7:K10" si="0">B7</f>
        <v>Pretest</v>
      </c>
      <c r="L7" s="21">
        <f>IFERROR((D7-C40)/E7,"")</f>
        <v>-0.11856368563685625</v>
      </c>
      <c r="M7" s="21">
        <f>IFERROR((1-3/(4*G40-1))*L7,"")</f>
        <v>-0.113821138211382</v>
      </c>
      <c r="N7" s="53">
        <f>Data!Y7</f>
        <v>19</v>
      </c>
      <c r="O7" s="21">
        <f>IFERROR(SQRT((N7+2)/(Data!V7*Data!V7)+((L7^2)/(2*(N7+2)))),"")</f>
        <v>0.22985799692687053</v>
      </c>
      <c r="P7" s="34">
        <f>IFERROR(Y17*SQRT(1/C7),"")</f>
        <v>-0.5568723143781652</v>
      </c>
      <c r="Q7" s="34">
        <f>IFERROR(Z17*SQRT(1/C7),"")</f>
        <v>0.32284318590009647</v>
      </c>
    </row>
    <row r="8" spans="1:26" x14ac:dyDescent="0.25">
      <c r="A8" s="3"/>
      <c r="B8" s="22" t="str">
        <f>Data!T8</f>
        <v>Posttest</v>
      </c>
      <c r="C8" s="81">
        <f>Data!V8</f>
        <v>20</v>
      </c>
      <c r="D8" s="36">
        <f>Data!W8</f>
        <v>23.6</v>
      </c>
      <c r="E8" s="36">
        <f>Data!X8</f>
        <v>4.7619999999999996</v>
      </c>
      <c r="F8" s="36">
        <f>Data!Z8</f>
        <v>1.0648155708853997</v>
      </c>
      <c r="G8" s="23">
        <f>IFERROR(D8-TINV(1-$H$4/100,Data!Y8)*Data!Z8,"")</f>
        <v>21.371315396628344</v>
      </c>
      <c r="H8" s="23">
        <f>IFERROR(D8+TINV(1-$H$4/100,Data!Y8)*Data!Z8,"")</f>
        <v>25.828684603371659</v>
      </c>
      <c r="J8" s="3"/>
      <c r="K8" s="22" t="str">
        <f t="shared" si="0"/>
        <v>Posttest</v>
      </c>
      <c r="L8" s="23">
        <f>IFERROR((D8-C41)/E8,"")</f>
        <v>0.7559848803023943</v>
      </c>
      <c r="M8" s="23">
        <f>IFERROR((1-3/(4*G41-1))*L8,"")</f>
        <v>0.72574548509029846</v>
      </c>
      <c r="N8" s="54">
        <f>Data!Y8</f>
        <v>19</v>
      </c>
      <c r="O8" s="23">
        <f>IFERROR(SQRT((G41+2)/(Data!V8*Data!V8)+((L8^2)/(2*(G41+2)))),"")</f>
        <v>0.25711370188367866</v>
      </c>
      <c r="P8" s="36">
        <f>IFERROR(Y18*SQRT(1/C8),"")</f>
        <v>0.24925516679792026</v>
      </c>
      <c r="Q8" s="36">
        <f>IFERROR(Z18*SQRT(1/C8),"")</f>
        <v>1.2473827082194537</v>
      </c>
    </row>
    <row r="9" spans="1:26" x14ac:dyDescent="0.25">
      <c r="A9" s="3"/>
      <c r="B9" s="22" t="str">
        <f>Data!T9</f>
        <v/>
      </c>
      <c r="C9" s="81" t="str">
        <f>Data!V9</f>
        <v/>
      </c>
      <c r="D9" s="36" t="str">
        <f>Data!W9</f>
        <v/>
      </c>
      <c r="E9" s="36" t="str">
        <f>Data!X9</f>
        <v/>
      </c>
      <c r="F9" s="36" t="str">
        <f>Data!Z9</f>
        <v/>
      </c>
      <c r="G9" s="23" t="str">
        <f>IFERROR(D9-TINV(1-$H$4/100,Data!Y9)*Data!Z9,"")</f>
        <v/>
      </c>
      <c r="H9" s="23" t="str">
        <f>IFERROR(D9+TINV(1-$H$4/100,Data!Y9)*Data!Z9,"")</f>
        <v/>
      </c>
      <c r="J9" s="3"/>
      <c r="K9" s="22" t="str">
        <f t="shared" si="0"/>
        <v/>
      </c>
      <c r="L9" s="23" t="str">
        <f>IFERROR((D9-C42)/E9,"")</f>
        <v/>
      </c>
      <c r="M9" s="23" t="str">
        <f>IFERROR((1-3/(4*G42-1))*L9,"")</f>
        <v/>
      </c>
      <c r="N9" s="54" t="str">
        <f>Data!Y9</f>
        <v/>
      </c>
      <c r="O9" s="23" t="str">
        <f>IFERROR(SQRT((G42+2)/(Data!V9*Data!V9)+((L9^2)/(2*(G42+2)))),"")</f>
        <v/>
      </c>
      <c r="P9" s="36" t="str">
        <f>IFERROR(Y19*SQRT(1/C9),"")</f>
        <v/>
      </c>
      <c r="Q9" s="36" t="str">
        <f>IFERROR(Z19*SQRT(1/C9),"")</f>
        <v/>
      </c>
    </row>
    <row r="10" spans="1:26" ht="15.75" thickBot="1" x14ac:dyDescent="0.3">
      <c r="A10" s="3"/>
      <c r="B10" s="22" t="str">
        <f>Data!T10</f>
        <v>Followup</v>
      </c>
      <c r="C10" s="81">
        <f>Data!V10</f>
        <v>20</v>
      </c>
      <c r="D10" s="36">
        <f>Data!W10</f>
        <v>23.4</v>
      </c>
      <c r="E10" s="36">
        <f>Data!X10</f>
        <v>4.6159999999999997</v>
      </c>
      <c r="F10" s="66">
        <f>Data!Z10</f>
        <v>1.0321689784139028</v>
      </c>
      <c r="G10" s="23">
        <f>IFERROR(D10-TINV(1-$H$4/100,Data!Y10)*Data!Z10,"")</f>
        <v>21.239645499965651</v>
      </c>
      <c r="H10" s="23">
        <f>IFERROR(D10+TINV(1-$H$4/100,Data!Y10)*Data!Z10,"")</f>
        <v>25.560354500034347</v>
      </c>
      <c r="J10" s="3"/>
      <c r="K10" s="134" t="str">
        <f t="shared" si="0"/>
        <v>Followup</v>
      </c>
      <c r="L10" s="63">
        <f>IFERROR((D10-C43)/E10,"")</f>
        <v>0.73656845753899458</v>
      </c>
      <c r="M10" s="63">
        <f>IFERROR((1-3/(4*G43-1))*L10,"")</f>
        <v>0.70710571923743482</v>
      </c>
      <c r="N10" s="54">
        <f>Data!Y10</f>
        <v>19</v>
      </c>
      <c r="O10" s="23">
        <f>IFERROR(SQRT((G43+2)/(Data!V10*Data!V10)+((L10^2)/(2*(G43+2)))),"")</f>
        <v>0.25576836119172242</v>
      </c>
      <c r="P10" s="36">
        <f>IFERROR(Y20*SQRT(1/C10),"")</f>
        <v>0.23285389386374797</v>
      </c>
      <c r="Q10" s="36">
        <f>IFERROR(Z20*SQRT(1/C10),"")</f>
        <v>1.2251744196493937</v>
      </c>
    </row>
    <row r="11" spans="1:26" x14ac:dyDescent="0.25">
      <c r="A11" s="3"/>
      <c r="B11" s="2"/>
      <c r="C11" s="2"/>
      <c r="D11" s="2"/>
      <c r="E11" s="2"/>
      <c r="F11" s="38"/>
      <c r="G11" s="2"/>
      <c r="H11" s="2"/>
      <c r="I11" s="29"/>
      <c r="J11" s="3"/>
      <c r="K11" s="2"/>
      <c r="L11" s="2"/>
      <c r="M11" s="2"/>
      <c r="N11" s="2"/>
      <c r="O11" s="2"/>
      <c r="P11" s="2"/>
      <c r="Q11" s="2"/>
    </row>
    <row r="12" spans="1:26" s="52" customFormat="1" x14ac:dyDescent="0.25">
      <c r="A12" s="3"/>
      <c r="R12" s="33"/>
      <c r="T12" s="105"/>
      <c r="U12" s="105"/>
      <c r="V12" s="105"/>
      <c r="W12" s="33"/>
      <c r="X12" s="33"/>
      <c r="Y12" s="33"/>
      <c r="Z12" s="33"/>
    </row>
    <row r="13" spans="1:26" s="52" customFormat="1" x14ac:dyDescent="0.25">
      <c r="A13" s="3"/>
      <c r="R13" s="33"/>
      <c r="T13" s="105"/>
      <c r="U13" s="105"/>
      <c r="V13" s="105"/>
      <c r="W13" s="33"/>
      <c r="X13" s="33"/>
      <c r="Y13" s="33"/>
      <c r="Z13" s="33"/>
    </row>
    <row r="14" spans="1:26" ht="15.75" x14ac:dyDescent="0.25">
      <c r="A14" s="32"/>
      <c r="B14" s="7" t="s">
        <v>109</v>
      </c>
      <c r="C14" s="29"/>
      <c r="D14" s="29"/>
      <c r="E14" s="29"/>
      <c r="F14" s="29"/>
      <c r="G14" s="29"/>
      <c r="H14" s="29"/>
      <c r="I14" s="29"/>
      <c r="J14" s="32"/>
      <c r="K14" s="7" t="s">
        <v>109</v>
      </c>
      <c r="L14" s="29"/>
      <c r="M14" s="29"/>
      <c r="N14" s="29"/>
      <c r="O14" s="29"/>
      <c r="P14" s="29"/>
      <c r="Q14" s="29"/>
      <c r="T14" s="8" t="s">
        <v>21</v>
      </c>
      <c r="U14" s="52"/>
      <c r="V14" s="52"/>
      <c r="W14" s="52"/>
      <c r="X14" s="52"/>
      <c r="Y14" s="52"/>
      <c r="Z14" s="52"/>
    </row>
    <row r="15" spans="1:26" ht="15.75" thickBot="1" x14ac:dyDescent="0.3">
      <c r="A15" s="27"/>
      <c r="B15" s="28"/>
      <c r="C15" s="28"/>
      <c r="D15" s="28"/>
      <c r="E15" s="28"/>
      <c r="F15" s="28"/>
      <c r="G15" s="28"/>
      <c r="H15" s="28"/>
      <c r="I15" s="28"/>
      <c r="J15" s="3"/>
      <c r="K15" s="29"/>
      <c r="L15" s="29"/>
      <c r="M15" s="29"/>
      <c r="N15" s="29"/>
      <c r="O15" s="29"/>
      <c r="P15" s="29"/>
      <c r="Q15" s="29"/>
      <c r="S15" s="52"/>
      <c r="T15" s="52"/>
      <c r="U15" s="52"/>
      <c r="V15" s="52"/>
      <c r="W15" s="52"/>
      <c r="X15" s="52"/>
      <c r="Y15" s="52"/>
      <c r="Z15" s="52"/>
    </row>
    <row r="16" spans="1:26" ht="15.75" thickBot="1" x14ac:dyDescent="0.3">
      <c r="A16" s="27"/>
      <c r="B16" s="117" t="s">
        <v>74</v>
      </c>
      <c r="C16" s="50"/>
      <c r="D16" s="50"/>
      <c r="E16" s="50"/>
      <c r="F16" s="50"/>
      <c r="G16" s="118" t="s">
        <v>72</v>
      </c>
      <c r="H16" s="118"/>
      <c r="I16" s="28"/>
      <c r="J16" s="3"/>
      <c r="K16" s="117" t="s">
        <v>74</v>
      </c>
      <c r="L16" s="50"/>
      <c r="M16" s="50"/>
      <c r="N16" s="45"/>
      <c r="O16" s="49"/>
      <c r="P16" s="117" t="s">
        <v>72</v>
      </c>
      <c r="Q16" s="50"/>
      <c r="S16" s="52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1:26" ht="15.75" x14ac:dyDescent="0.25">
      <c r="A17" s="27"/>
      <c r="B17" s="45" t="s">
        <v>0</v>
      </c>
      <c r="C17" s="46" t="s">
        <v>73</v>
      </c>
      <c r="D17" s="45" t="s">
        <v>75</v>
      </c>
      <c r="E17" s="45"/>
      <c r="F17" s="45"/>
      <c r="G17" s="46" t="s">
        <v>31</v>
      </c>
      <c r="H17" s="46" t="s">
        <v>73</v>
      </c>
      <c r="I17" s="28"/>
      <c r="J17" s="3"/>
      <c r="K17" s="46" t="s">
        <v>0</v>
      </c>
      <c r="L17" s="46" t="s">
        <v>73</v>
      </c>
      <c r="M17" s="46" t="s">
        <v>75</v>
      </c>
      <c r="N17" s="50"/>
      <c r="O17" s="49"/>
      <c r="P17" s="46" t="s">
        <v>31</v>
      </c>
      <c r="Q17" s="46" t="s">
        <v>73</v>
      </c>
      <c r="S17" s="4"/>
      <c r="T17" s="34">
        <f>EXP(((LN(2)-LN(G40))/2)+GAMMALN((G40+1)/2)-GAMMALN(G40/2))</f>
        <v>0.98693426752465663</v>
      </c>
      <c r="U17" s="34">
        <f>T17*F40</f>
        <v>-0.52330503999199363</v>
      </c>
      <c r="V17" s="34">
        <f>1+(F40^2)*(1-T17^2)</f>
        <v>1.0072987861548834</v>
      </c>
      <c r="W17" s="34">
        <f>(2*U17^3)-((2*G40-1)/G40)*(F40^2*U17)</f>
        <v>-1.0447033630778257E-4</v>
      </c>
      <c r="X17" s="56">
        <f>W17/SQRT(V17)^3</f>
        <v>-1.0333692328221801E-4</v>
      </c>
      <c r="Y17" s="105">
        <f t="shared" ref="Y17:Z20" si="1">IF($X17&lt;0.001,Y29,Y23)</f>
        <v>-2.4904086994744219</v>
      </c>
      <c r="Z17" s="105">
        <f t="shared" si="1"/>
        <v>1.4437986194904346</v>
      </c>
    </row>
    <row r="18" spans="1:26" x14ac:dyDescent="0.25">
      <c r="A18" s="27"/>
      <c r="B18" s="45">
        <v>1.1000000000000001</v>
      </c>
      <c r="C18" s="48">
        <f>IF(H7="",NA(),H7)</f>
        <v>22.063157055503204</v>
      </c>
      <c r="D18" s="48">
        <f t="shared" ref="D18:D29" si="2">C18</f>
        <v>22.063157055503204</v>
      </c>
      <c r="E18" s="48"/>
      <c r="F18" s="48"/>
      <c r="G18" s="47">
        <v>0.5</v>
      </c>
      <c r="H18" s="47">
        <f>$C$40</f>
        <v>20</v>
      </c>
      <c r="I18" s="28"/>
      <c r="J18" s="3"/>
      <c r="K18" s="45">
        <v>1.1000000000000001</v>
      </c>
      <c r="L18" s="48">
        <f>IF(Q7="",NA(),Q7)</f>
        <v>0.32284318590009647</v>
      </c>
      <c r="M18" s="48">
        <f t="shared" ref="M18:M29" si="3">L18</f>
        <v>0.32284318590009647</v>
      </c>
      <c r="N18" s="50"/>
      <c r="O18" s="49"/>
      <c r="P18" s="47">
        <v>0.5</v>
      </c>
      <c r="Q18" s="47">
        <f>L$40</f>
        <v>0.2</v>
      </c>
      <c r="S18" s="52"/>
      <c r="T18" s="36">
        <f>EXP(((LN(2)-LN(G41))/2)+GAMMALN((G41+1)/2)-GAMMALN(G41/2))</f>
        <v>0.98693426752465663</v>
      </c>
      <c r="U18" s="36">
        <f>T18*F41</f>
        <v>3.3366936587285791</v>
      </c>
      <c r="V18" s="36">
        <f>1+(F41^2)*(1-T18^2)</f>
        <v>1.2967382127169977</v>
      </c>
      <c r="W18" s="36">
        <f>(2*U18^3)-((2*G41-1)/G41)*(F41^2*U18)</f>
        <v>2.708178265118022E-2</v>
      </c>
      <c r="X18" s="56">
        <f>W18/SQRT(V18)^3</f>
        <v>1.8339976921029566E-2</v>
      </c>
      <c r="Y18" s="105">
        <f t="shared" si="1"/>
        <v>1.1147029934063966</v>
      </c>
      <c r="Z18" s="105">
        <f t="shared" si="1"/>
        <v>5.5784650590729683</v>
      </c>
    </row>
    <row r="19" spans="1:26" x14ac:dyDescent="0.25">
      <c r="A19" s="27"/>
      <c r="B19" s="45">
        <v>1.1000000000000001</v>
      </c>
      <c r="C19" s="47">
        <f>IF(D7="",NA(),D7)</f>
        <v>19.3</v>
      </c>
      <c r="D19" s="48">
        <f t="shared" si="2"/>
        <v>19.3</v>
      </c>
      <c r="E19" s="48"/>
      <c r="F19" s="48"/>
      <c r="G19" s="47">
        <v>1</v>
      </c>
      <c r="H19" s="47">
        <f>$C$40</f>
        <v>20</v>
      </c>
      <c r="I19" s="28"/>
      <c r="J19" s="3"/>
      <c r="K19" s="45">
        <v>1.1000000000000001</v>
      </c>
      <c r="L19" s="47">
        <f>IF(M7="",NA(),M7)</f>
        <v>-0.113821138211382</v>
      </c>
      <c r="M19" s="48">
        <f t="shared" si="3"/>
        <v>-0.113821138211382</v>
      </c>
      <c r="N19" s="50"/>
      <c r="O19" s="49"/>
      <c r="P19" s="47">
        <v>1</v>
      </c>
      <c r="Q19" s="47">
        <f>L$40</f>
        <v>0.2</v>
      </c>
      <c r="S19" s="52"/>
      <c r="T19" s="36" t="e">
        <f>EXP(((LN(2)-LN(G42))/2)+GAMMALN((G42+1)/2)-GAMMALN(G42/2))</f>
        <v>#VALUE!</v>
      </c>
      <c r="U19" s="36" t="e">
        <f>T19*F42</f>
        <v>#VALUE!</v>
      </c>
      <c r="V19" s="36" t="e">
        <f>1+(F42^2)*(1-T19^2)</f>
        <v>#VALUE!</v>
      </c>
      <c r="W19" s="36" t="e">
        <f>(2*U19^3)-((2*G42-1)/G42)*(F42^2*U19)</f>
        <v>#VALUE!</v>
      </c>
      <c r="X19" s="56" t="e">
        <f>W19/SQRT(V19)^3</f>
        <v>#VALUE!</v>
      </c>
      <c r="Y19" s="105" t="e">
        <f t="shared" si="1"/>
        <v>#VALUE!</v>
      </c>
      <c r="Z19" s="105" t="e">
        <f t="shared" si="1"/>
        <v>#VALUE!</v>
      </c>
    </row>
    <row r="20" spans="1:26" ht="15.75" thickBot="1" x14ac:dyDescent="0.3">
      <c r="A20" s="27"/>
      <c r="B20" s="45">
        <v>1.1000000000000001</v>
      </c>
      <c r="C20" s="48">
        <f>IF(G7="",NA(),G7)</f>
        <v>16.536842944496797</v>
      </c>
      <c r="D20" s="48">
        <f t="shared" si="2"/>
        <v>16.536842944496797</v>
      </c>
      <c r="E20" s="48"/>
      <c r="F20" s="48"/>
      <c r="G20" s="47">
        <v>1.5</v>
      </c>
      <c r="H20" s="47">
        <f>$C$40</f>
        <v>20</v>
      </c>
      <c r="I20" s="28"/>
      <c r="J20" s="3"/>
      <c r="K20" s="45">
        <v>1.1000000000000001</v>
      </c>
      <c r="L20" s="48">
        <f>IF(P7="",NA(),P7)</f>
        <v>-0.5568723143781652</v>
      </c>
      <c r="M20" s="48">
        <f t="shared" si="3"/>
        <v>-0.5568723143781652</v>
      </c>
      <c r="N20" s="50"/>
      <c r="O20" s="49"/>
      <c r="P20" s="47">
        <v>1.5</v>
      </c>
      <c r="Q20" s="47">
        <f>L$40</f>
        <v>0.2</v>
      </c>
      <c r="S20" s="52"/>
      <c r="T20" s="36">
        <f>EXP(((LN(2)-LN(G43))/2)+GAMMALN((G43+1)/2)-GAMMALN(G43/2))</f>
        <v>0.98693426752465663</v>
      </c>
      <c r="U20" s="36">
        <f>T20*F43</f>
        <v>3.2509953115818555</v>
      </c>
      <c r="V20" s="36">
        <f>1+(F43^2)*(1-T20^2)</f>
        <v>1.2816913369002698</v>
      </c>
      <c r="W20" s="36">
        <f>(2*U20^3)-((2*G43-1)/G43)*(F43^2*U20)</f>
        <v>2.5048243116529534E-2</v>
      </c>
      <c r="X20" s="56">
        <f>W20/SQRT(V20)^3</f>
        <v>1.7262436599712626E-2</v>
      </c>
      <c r="Y20" s="105">
        <f t="shared" si="1"/>
        <v>1.0413542710097232</v>
      </c>
      <c r="Z20" s="105">
        <f t="shared" si="1"/>
        <v>5.479146573259797</v>
      </c>
    </row>
    <row r="21" spans="1:26" ht="15.75" thickBot="1" x14ac:dyDescent="0.3">
      <c r="A21" s="27"/>
      <c r="B21" s="45">
        <v>2.1</v>
      </c>
      <c r="C21" s="48">
        <f>IF(H8="",NA(),H8)</f>
        <v>25.828684603371659</v>
      </c>
      <c r="D21" s="48">
        <f t="shared" si="2"/>
        <v>25.828684603371659</v>
      </c>
      <c r="E21" s="48"/>
      <c r="F21" s="48"/>
      <c r="G21" s="47">
        <v>1.5</v>
      </c>
      <c r="H21" s="47">
        <f>$C$41</f>
        <v>20</v>
      </c>
      <c r="I21" s="28"/>
      <c r="J21" s="3"/>
      <c r="K21" s="45">
        <v>2.1</v>
      </c>
      <c r="L21" s="48">
        <f>IF(Q8="",NA(),Q8)</f>
        <v>1.2473827082194537</v>
      </c>
      <c r="M21" s="48">
        <f t="shared" si="3"/>
        <v>1.2473827082194537</v>
      </c>
      <c r="N21" s="49"/>
      <c r="O21" s="49"/>
      <c r="P21" s="47">
        <v>1.5</v>
      </c>
      <c r="Q21" s="47">
        <f>L$41</f>
        <v>0.5</v>
      </c>
      <c r="S21" s="52"/>
      <c r="T21" s="107"/>
      <c r="U21" s="107"/>
      <c r="V21" s="107"/>
      <c r="W21" s="107"/>
      <c r="X21" s="107"/>
      <c r="Y21" s="107"/>
      <c r="Z21" s="107"/>
    </row>
    <row r="22" spans="1:26" ht="15.75" thickBot="1" x14ac:dyDescent="0.3">
      <c r="A22" s="27"/>
      <c r="B22" s="45">
        <v>2.1</v>
      </c>
      <c r="C22" s="47">
        <f>IF(D8="",NA(),D8)</f>
        <v>23.6</v>
      </c>
      <c r="D22" s="48">
        <f t="shared" si="2"/>
        <v>23.6</v>
      </c>
      <c r="E22" s="48"/>
      <c r="F22" s="48"/>
      <c r="G22" s="47">
        <v>2</v>
      </c>
      <c r="H22" s="47">
        <f>$C$41</f>
        <v>20</v>
      </c>
      <c r="I22" s="28"/>
      <c r="J22" s="3"/>
      <c r="K22" s="45">
        <v>2.1</v>
      </c>
      <c r="L22" s="47">
        <f>IF(M8="",NA(),M8)</f>
        <v>0.72574548509029846</v>
      </c>
      <c r="M22" s="48">
        <f t="shared" si="3"/>
        <v>0.72574548509029846</v>
      </c>
      <c r="N22" s="49"/>
      <c r="O22" s="49"/>
      <c r="P22" s="47">
        <v>2</v>
      </c>
      <c r="Q22" s="47">
        <f>L$41</f>
        <v>0.5</v>
      </c>
      <c r="S22" s="52"/>
      <c r="T22" s="82" t="s">
        <v>14</v>
      </c>
      <c r="U22" s="82" t="s">
        <v>15</v>
      </c>
      <c r="V22" s="82" t="s">
        <v>16</v>
      </c>
      <c r="W22" s="82" t="s">
        <v>17</v>
      </c>
      <c r="X22" s="82" t="s">
        <v>18</v>
      </c>
      <c r="Y22" s="82" t="s">
        <v>19</v>
      </c>
      <c r="Z22" s="82" t="s">
        <v>20</v>
      </c>
    </row>
    <row r="23" spans="1:26" x14ac:dyDescent="0.25">
      <c r="A23" s="27"/>
      <c r="B23" s="45">
        <v>2.1</v>
      </c>
      <c r="C23" s="48">
        <f>IF(G8="",NA(),G8)</f>
        <v>21.371315396628344</v>
      </c>
      <c r="D23" s="48">
        <f t="shared" si="2"/>
        <v>21.371315396628344</v>
      </c>
      <c r="E23" s="48"/>
      <c r="F23" s="48"/>
      <c r="G23" s="47">
        <v>2.5</v>
      </c>
      <c r="H23" s="47">
        <f>$C$41</f>
        <v>20</v>
      </c>
      <c r="I23" s="28"/>
      <c r="J23" s="3"/>
      <c r="K23" s="45">
        <v>2.1</v>
      </c>
      <c r="L23" s="48">
        <f>IF(P8="",NA(),P8)</f>
        <v>0.24925516679792026</v>
      </c>
      <c r="M23" s="48">
        <f t="shared" si="3"/>
        <v>0.24925516679792026</v>
      </c>
      <c r="N23" s="49"/>
      <c r="O23" s="49"/>
      <c r="P23" s="47">
        <v>2.5</v>
      </c>
      <c r="Q23" s="47">
        <f>L$41</f>
        <v>0.5</v>
      </c>
      <c r="S23" s="52"/>
      <c r="T23" s="34">
        <f>W17/(4*V17)</f>
        <v>-2.5928338677586545E-5</v>
      </c>
      <c r="U23" s="34">
        <f>V17/(2*T23^2)</f>
        <v>749167507.73376596</v>
      </c>
      <c r="V23" s="34">
        <f>U17-(U23*T23)</f>
        <v>19424.14556172453</v>
      </c>
      <c r="W23" s="34">
        <f>2*GAMMAINV((1-$Q$4/100)/2,U23/2,1)</f>
        <v>749091642.69022119</v>
      </c>
      <c r="X23" s="34">
        <f>2*GAMMAINV(1-(1-$Q$4/100)/2,U23/2,1)</f>
        <v>749243376.56592238</v>
      </c>
      <c r="Y23" s="34">
        <f>IF(F40&gt;0,V23+(T23*W23),V23+(T23*X23))</f>
        <v>-2.4904578152163594</v>
      </c>
      <c r="Z23" s="34">
        <f>IF(F40&gt;0,V23+(T23*X23),V23+(T23*W23))</f>
        <v>1.4437495028287231</v>
      </c>
    </row>
    <row r="24" spans="1:26" x14ac:dyDescent="0.25">
      <c r="A24" s="27"/>
      <c r="B24" s="45">
        <v>3.1</v>
      </c>
      <c r="C24" s="48" t="e">
        <f>IF(H9="",NA(),H9)</f>
        <v>#N/A</v>
      </c>
      <c r="D24" s="48" t="e">
        <f t="shared" si="2"/>
        <v>#N/A</v>
      </c>
      <c r="E24" s="48"/>
      <c r="F24" s="48"/>
      <c r="G24" s="47">
        <v>2.5</v>
      </c>
      <c r="H24" s="47">
        <f>$C$42</f>
        <v>0</v>
      </c>
      <c r="I24" s="28"/>
      <c r="J24" s="3"/>
      <c r="K24" s="45">
        <v>3.1</v>
      </c>
      <c r="L24" s="48" t="e">
        <f>IF(Q9="",NA(),Q9)</f>
        <v>#N/A</v>
      </c>
      <c r="M24" s="48" t="e">
        <f t="shared" si="3"/>
        <v>#N/A</v>
      </c>
      <c r="N24" s="49"/>
      <c r="O24" s="49"/>
      <c r="P24" s="47">
        <v>2.5</v>
      </c>
      <c r="Q24" s="47">
        <f>L$42</f>
        <v>0</v>
      </c>
      <c r="S24" s="52"/>
      <c r="T24" s="36">
        <f>W18/(4*V18)</f>
        <v>5.2211353042563944E-3</v>
      </c>
      <c r="U24" s="36">
        <f>V18/(2*T24^2)</f>
        <v>23784.41189729964</v>
      </c>
      <c r="V24" s="36">
        <f>U18-(U24*T24)</f>
        <v>-120.84493898923839</v>
      </c>
      <c r="W24" s="36">
        <f>2*GAMMAINV((1-$Q$4/100)/2,U24/2,1)</f>
        <v>23358.835746551209</v>
      </c>
      <c r="X24" s="36">
        <f>2*GAMMAINV(1-(1-$Q$4/100)/2,U24/2,1)</f>
        <v>24213.776636902701</v>
      </c>
      <c r="Y24" s="36">
        <f>IF(F41&gt;0,V24+(T24*W24),V24+(T24*X24))</f>
        <v>1.1147029934063966</v>
      </c>
      <c r="Z24" s="36">
        <f>IF(F41&gt;0,V24+(T24*X24),V24+(T24*W24))</f>
        <v>5.5784650590729683</v>
      </c>
    </row>
    <row r="25" spans="1:26" x14ac:dyDescent="0.25">
      <c r="A25" s="27"/>
      <c r="B25" s="45">
        <v>3.1</v>
      </c>
      <c r="C25" s="47" t="e">
        <f>IF(D9="",NA(),D9)</f>
        <v>#N/A</v>
      </c>
      <c r="D25" s="48" t="e">
        <f t="shared" si="2"/>
        <v>#N/A</v>
      </c>
      <c r="E25" s="48"/>
      <c r="F25" s="48"/>
      <c r="G25" s="47">
        <v>3</v>
      </c>
      <c r="H25" s="47">
        <f>$C$42</f>
        <v>0</v>
      </c>
      <c r="I25" s="28"/>
      <c r="J25" s="3"/>
      <c r="K25" s="45">
        <v>3.1</v>
      </c>
      <c r="L25" s="47" t="e">
        <f>IF(M9="",NA(),M9)</f>
        <v>#N/A</v>
      </c>
      <c r="M25" s="48" t="e">
        <f t="shared" si="3"/>
        <v>#N/A</v>
      </c>
      <c r="N25" s="49"/>
      <c r="O25" s="49"/>
      <c r="P25" s="47">
        <v>3</v>
      </c>
      <c r="Q25" s="47">
        <f>L$42</f>
        <v>0</v>
      </c>
      <c r="S25" s="52"/>
      <c r="T25" s="36" t="e">
        <f>W19/(4*V19)</f>
        <v>#VALUE!</v>
      </c>
      <c r="U25" s="36" t="e">
        <f>V19/(2*T25^2)</f>
        <v>#VALUE!</v>
      </c>
      <c r="V25" s="36" t="e">
        <f>U19-(U25*T25)</f>
        <v>#VALUE!</v>
      </c>
      <c r="W25" s="36" t="e">
        <f>2*GAMMAINV((1-$Q$4/100)/2,U25/2,1)</f>
        <v>#VALUE!</v>
      </c>
      <c r="X25" s="36" t="e">
        <f>2*GAMMAINV(1-(1-$Q$4/100)/2,U25/2,1)</f>
        <v>#VALUE!</v>
      </c>
      <c r="Y25" s="36" t="e">
        <f>IF(F42&gt;0,V25+(T25*W25),V25+(T25*X25))</f>
        <v>#VALUE!</v>
      </c>
      <c r="Z25" s="36" t="e">
        <f>IF(F42&gt;0,V25+(T25*X25),V25+(T25*W25))</f>
        <v>#VALUE!</v>
      </c>
    </row>
    <row r="26" spans="1:26" ht="15.75" thickBot="1" x14ac:dyDescent="0.3">
      <c r="A26" s="27"/>
      <c r="B26" s="45">
        <v>3.1</v>
      </c>
      <c r="C26" s="48" t="e">
        <f>IF(G9="",NA(),G9)</f>
        <v>#N/A</v>
      </c>
      <c r="D26" s="48" t="e">
        <f t="shared" si="2"/>
        <v>#N/A</v>
      </c>
      <c r="E26" s="48"/>
      <c r="F26" s="48"/>
      <c r="G26" s="47">
        <v>3.5</v>
      </c>
      <c r="H26" s="47">
        <f>$C$42</f>
        <v>0</v>
      </c>
      <c r="I26" s="28"/>
      <c r="J26" s="3"/>
      <c r="K26" s="45">
        <v>3.1</v>
      </c>
      <c r="L26" s="48" t="e">
        <f>IF(P9="",NA(),P9)</f>
        <v>#N/A</v>
      </c>
      <c r="M26" s="48" t="e">
        <f t="shared" si="3"/>
        <v>#N/A</v>
      </c>
      <c r="N26" s="49"/>
      <c r="O26" s="49"/>
      <c r="P26" s="47">
        <v>3.5</v>
      </c>
      <c r="Q26" s="47">
        <f>L$42</f>
        <v>0</v>
      </c>
      <c r="S26" s="52"/>
      <c r="T26" s="66">
        <f>W20/(4*V20)</f>
        <v>4.8857791254772621E-3</v>
      </c>
      <c r="U26" s="66">
        <f>V20/(2*T26^2)</f>
        <v>26846.383754886432</v>
      </c>
      <c r="V26" s="66">
        <f>U20-(U26*T26)</f>
        <v>-127.91450603259416</v>
      </c>
      <c r="W26" s="66">
        <f>2*GAMMAINV((1-$Q$4/100)/2,U26/2,1)</f>
        <v>26394.124046900495</v>
      </c>
      <c r="X26" s="66">
        <f>2*GAMMAINV(1-(1-$Q$4/100)/2,U26/2,1)</f>
        <v>27302.432054339653</v>
      </c>
      <c r="Y26" s="66">
        <f>IF(F43&gt;0,V26+(T26*W26),V26+(T26*X26))</f>
        <v>1.0413542710097232</v>
      </c>
      <c r="Z26" s="66">
        <f>IF(F43&gt;0,V26+(T26*X26),V26+(T26*W26))</f>
        <v>5.479146573259797</v>
      </c>
    </row>
    <row r="27" spans="1:26" ht="15.75" thickBot="1" x14ac:dyDescent="0.3">
      <c r="A27" s="27"/>
      <c r="B27" s="45">
        <v>4.0999999999999996</v>
      </c>
      <c r="C27" s="48">
        <f>IF(H10="",NA(),H10)</f>
        <v>25.560354500034347</v>
      </c>
      <c r="D27" s="48">
        <f t="shared" si="2"/>
        <v>25.560354500034347</v>
      </c>
      <c r="E27" s="48"/>
      <c r="F27" s="48"/>
      <c r="G27" s="47">
        <v>3.5</v>
      </c>
      <c r="H27" s="47">
        <f>$C$43</f>
        <v>20</v>
      </c>
      <c r="I27" s="28"/>
      <c r="J27" s="3"/>
      <c r="K27" s="45">
        <v>4.0999999999999996</v>
      </c>
      <c r="L27" s="48">
        <f>IF(Q10="",NA(),Q10)</f>
        <v>1.2251744196493937</v>
      </c>
      <c r="M27" s="48">
        <f t="shared" si="3"/>
        <v>1.2251744196493937</v>
      </c>
      <c r="N27" s="49"/>
      <c r="O27" s="49"/>
      <c r="P27" s="47">
        <v>3.5</v>
      </c>
      <c r="Q27" s="47">
        <f>L$43</f>
        <v>0.5</v>
      </c>
      <c r="S27" s="52"/>
      <c r="T27" s="38"/>
      <c r="U27" s="38"/>
      <c r="V27" s="38"/>
      <c r="W27" s="38"/>
      <c r="X27" s="38"/>
      <c r="Y27" s="38"/>
      <c r="Z27" s="38"/>
    </row>
    <row r="28" spans="1:26" ht="15.75" thickBot="1" x14ac:dyDescent="0.3">
      <c r="A28" s="27"/>
      <c r="B28" s="46">
        <v>4.0999999999999996</v>
      </c>
      <c r="C28" s="47">
        <f>IF(D10="",NA(),D10)</f>
        <v>23.4</v>
      </c>
      <c r="D28" s="48">
        <f t="shared" si="2"/>
        <v>23.4</v>
      </c>
      <c r="E28" s="48"/>
      <c r="F28" s="48"/>
      <c r="G28" s="47">
        <v>4</v>
      </c>
      <c r="H28" s="47">
        <f>$C$43</f>
        <v>20</v>
      </c>
      <c r="I28" s="28"/>
      <c r="J28" s="3"/>
      <c r="K28" s="46">
        <v>4.0999999999999996</v>
      </c>
      <c r="L28" s="47">
        <f>IF(M10="",NA(),M10)</f>
        <v>0.70710571923743482</v>
      </c>
      <c r="M28" s="48">
        <f t="shared" si="3"/>
        <v>0.70710571923743482</v>
      </c>
      <c r="N28" s="49"/>
      <c r="O28" s="49"/>
      <c r="P28" s="47">
        <v>4</v>
      </c>
      <c r="Q28" s="47">
        <f>L$43</f>
        <v>0.5</v>
      </c>
      <c r="S28" s="52"/>
      <c r="V28" s="82" t="s">
        <v>69</v>
      </c>
      <c r="W28" s="82" t="s">
        <v>70</v>
      </c>
      <c r="X28" s="82" t="s">
        <v>71</v>
      </c>
      <c r="Y28" s="82" t="s">
        <v>19</v>
      </c>
      <c r="Z28" s="82" t="s">
        <v>20</v>
      </c>
    </row>
    <row r="29" spans="1:26" x14ac:dyDescent="0.25">
      <c r="A29" s="27"/>
      <c r="B29" s="46">
        <v>4.0999999999999996</v>
      </c>
      <c r="C29" s="48">
        <f>IF(G10="",NA(),G10)</f>
        <v>21.239645499965651</v>
      </c>
      <c r="D29" s="48">
        <f t="shared" si="2"/>
        <v>21.239645499965651</v>
      </c>
      <c r="E29" s="48"/>
      <c r="F29" s="48"/>
      <c r="G29" s="47">
        <v>4.5</v>
      </c>
      <c r="H29" s="47">
        <f>$C$43</f>
        <v>20</v>
      </c>
      <c r="I29" s="28"/>
      <c r="J29" s="3"/>
      <c r="K29" s="46">
        <v>4.0999999999999996</v>
      </c>
      <c r="L29" s="48">
        <f>IF(P10="",NA(),P10)</f>
        <v>0.23285389386374797</v>
      </c>
      <c r="M29" s="47">
        <f t="shared" si="3"/>
        <v>0.23285389386374797</v>
      </c>
      <c r="N29" s="49"/>
      <c r="O29" s="49"/>
      <c r="P29" s="47">
        <v>4.5</v>
      </c>
      <c r="Q29" s="47">
        <f>L$43</f>
        <v>0.5</v>
      </c>
      <c r="S29" s="52"/>
      <c r="V29" s="35">
        <f>SQRT(V17)</f>
        <v>1.0036427582336673</v>
      </c>
      <c r="W29" s="35">
        <f>NORMINV((1-$Q$4/100)/2,0,1)</f>
        <v>-1.9599639845400536</v>
      </c>
      <c r="X29" s="35">
        <f>NORMINV(1-(1-$Q$4/100)/2,0,1)</f>
        <v>1.9599639845400536</v>
      </c>
      <c r="Y29" s="35">
        <f>U17+W29*V29</f>
        <v>-2.4904086994744219</v>
      </c>
      <c r="Z29" s="35">
        <f>U17+X29*V29</f>
        <v>1.4437986194904346</v>
      </c>
    </row>
    <row r="30" spans="1:26" x14ac:dyDescent="0.25">
      <c r="A30" s="27"/>
      <c r="B30" s="45"/>
      <c r="C30" s="45"/>
      <c r="D30" s="45"/>
      <c r="E30" s="45"/>
      <c r="F30" s="45"/>
      <c r="G30" s="45"/>
      <c r="H30" s="45"/>
      <c r="I30" s="28"/>
      <c r="J30" s="3"/>
      <c r="K30" s="28"/>
      <c r="L30" s="28"/>
      <c r="M30" s="28"/>
      <c r="N30" s="28"/>
      <c r="O30" s="28"/>
      <c r="P30" s="28"/>
      <c r="Q30" s="28"/>
      <c r="S30" s="52"/>
      <c r="V30" s="35">
        <f>SQRT(V18)</f>
        <v>1.1387441383897428</v>
      </c>
      <c r="W30" s="35">
        <f>NORMINV((1-$Q$4/100)/2,0,1)</f>
        <v>-1.9599639845400536</v>
      </c>
      <c r="X30" s="35">
        <f>NORMINV(1-(1-$Q$4/100)/2,0,1)</f>
        <v>1.9599639845400536</v>
      </c>
      <c r="Y30" s="35">
        <f>U18+W30*V30</f>
        <v>1.1047961598785889</v>
      </c>
      <c r="Z30" s="35">
        <f>U18+X30*V30</f>
        <v>5.5685911575785694</v>
      </c>
    </row>
    <row r="31" spans="1:26" x14ac:dyDescent="0.25">
      <c r="A31" s="27"/>
      <c r="B31" s="31"/>
      <c r="C31" s="31"/>
      <c r="D31" s="31"/>
      <c r="E31" s="31"/>
      <c r="F31" s="31"/>
      <c r="G31" s="31"/>
      <c r="H31" s="31"/>
      <c r="I31" s="28"/>
      <c r="J31" s="3"/>
      <c r="K31" s="28"/>
      <c r="L31" s="28"/>
      <c r="M31" s="28"/>
      <c r="N31" s="28"/>
      <c r="O31" s="28"/>
      <c r="P31" s="28"/>
      <c r="Q31" s="28"/>
      <c r="S31" s="52"/>
      <c r="V31" s="35" t="e">
        <f>SQRT(V19)</f>
        <v>#VALUE!</v>
      </c>
      <c r="W31" s="35">
        <f>NORMINV((1-$Q$4/100)/2,0,1)</f>
        <v>-1.9599639845400536</v>
      </c>
      <c r="X31" s="35">
        <f>NORMINV(1-(1-$Q$4/100)/2,0,1)</f>
        <v>1.9599639845400536</v>
      </c>
      <c r="Y31" s="35" t="e">
        <f>U19+W31*V31</f>
        <v>#VALUE!</v>
      </c>
      <c r="Z31" s="35" t="e">
        <f>U19+X31*V31</f>
        <v>#VALUE!</v>
      </c>
    </row>
    <row r="32" spans="1:26" ht="15.75" thickBot="1" x14ac:dyDescent="0.3">
      <c r="A32" s="27"/>
      <c r="B32" s="41"/>
      <c r="C32" s="31"/>
      <c r="D32" s="31"/>
      <c r="E32" s="31"/>
      <c r="F32" s="31"/>
      <c r="G32" s="31"/>
      <c r="H32" s="31"/>
      <c r="I32" s="28"/>
      <c r="K32" s="115"/>
      <c r="L32" s="115"/>
      <c r="M32" s="115"/>
      <c r="N32" s="115"/>
      <c r="O32" s="115"/>
      <c r="P32" s="115"/>
      <c r="Q32" s="115"/>
      <c r="S32" s="52"/>
      <c r="V32" s="35">
        <f>SQRT(V20)</f>
        <v>1.13211807551168</v>
      </c>
      <c r="W32" s="35">
        <f>NORMINV((1-$Q$4/100)/2,0,1)</f>
        <v>-1.9599639845400536</v>
      </c>
      <c r="X32" s="35">
        <f>NORMINV(1-(1-$Q$4/100)/2,0,1)</f>
        <v>1.9599639845400536</v>
      </c>
      <c r="Y32" s="35">
        <f>U20+W32*V32</f>
        <v>1.0320846573321658</v>
      </c>
      <c r="Z32" s="35">
        <f>U20+X32*V32</f>
        <v>5.4699059658315452</v>
      </c>
    </row>
    <row r="33" spans="1:26" ht="15.75" x14ac:dyDescent="0.25">
      <c r="A33" s="4"/>
      <c r="B33" s="41"/>
      <c r="C33" s="31"/>
      <c r="D33" s="31"/>
      <c r="E33" s="31"/>
      <c r="F33" s="31"/>
      <c r="G33" s="31"/>
      <c r="H33" s="31"/>
      <c r="I33" s="29"/>
      <c r="J33" s="4"/>
      <c r="K33" s="115"/>
      <c r="L33" s="115"/>
      <c r="M33" s="115"/>
      <c r="N33" s="115"/>
      <c r="O33" s="115"/>
      <c r="P33" s="115"/>
      <c r="Q33" s="115"/>
      <c r="S33" s="52"/>
      <c r="V33" s="38"/>
      <c r="W33" s="38"/>
      <c r="X33" s="38"/>
      <c r="Y33" s="38"/>
      <c r="Z33" s="38"/>
    </row>
    <row r="34" spans="1:26" x14ac:dyDescent="0.25">
      <c r="A34" s="3"/>
      <c r="B34" s="115"/>
      <c r="C34" s="28"/>
      <c r="D34" s="28"/>
      <c r="E34" s="28"/>
      <c r="F34" s="28"/>
      <c r="G34" s="28"/>
      <c r="H34" s="28"/>
      <c r="I34" s="29"/>
      <c r="K34" s="50"/>
      <c r="L34" s="50"/>
      <c r="M34" s="50"/>
      <c r="N34" s="50"/>
      <c r="O34" s="50"/>
      <c r="P34" s="50"/>
      <c r="Q34" s="50"/>
      <c r="S34" s="52"/>
      <c r="Y34" s="52"/>
      <c r="Z34" s="52"/>
    </row>
    <row r="35" spans="1:26" x14ac:dyDescent="0.25">
      <c r="A35" s="3"/>
      <c r="B35" s="115"/>
      <c r="C35" s="28"/>
      <c r="D35" s="28"/>
      <c r="E35" s="28"/>
      <c r="F35" s="28"/>
      <c r="G35" s="28"/>
      <c r="H35" s="28"/>
      <c r="I35" s="29"/>
      <c r="K35" s="50"/>
      <c r="L35" s="50"/>
      <c r="M35" s="50"/>
      <c r="N35" s="50"/>
      <c r="O35" s="50"/>
      <c r="P35" s="50"/>
      <c r="Q35" s="50"/>
      <c r="S35" s="52"/>
      <c r="Y35" s="52"/>
      <c r="Z35" s="52"/>
    </row>
    <row r="36" spans="1:26" x14ac:dyDescent="0.25">
      <c r="S36" s="52"/>
      <c r="Y36" s="52"/>
      <c r="Z36" s="52"/>
    </row>
    <row r="37" spans="1:26" ht="15.75" x14ac:dyDescent="0.25">
      <c r="B37" s="59" t="s">
        <v>108</v>
      </c>
      <c r="C37" s="52"/>
      <c r="D37" s="52"/>
      <c r="E37" s="52"/>
      <c r="I37" s="29"/>
      <c r="J37" s="3"/>
      <c r="K37" s="59" t="s">
        <v>113</v>
      </c>
      <c r="L37" s="3"/>
      <c r="M37" s="3"/>
      <c r="N37" s="3"/>
      <c r="O37" s="3"/>
      <c r="P37" s="3"/>
      <c r="Q37" s="3"/>
      <c r="S37" s="52"/>
      <c r="Y37" s="52"/>
      <c r="Z37" s="52"/>
    </row>
    <row r="38" spans="1:26" ht="15.75" thickBot="1" x14ac:dyDescent="0.3">
      <c r="B38" s="52"/>
      <c r="C38" s="52"/>
      <c r="D38" s="52"/>
      <c r="E38" s="52"/>
      <c r="I38" s="29"/>
      <c r="J38" s="3"/>
      <c r="K38" s="3"/>
      <c r="L38" s="3"/>
      <c r="M38" s="3"/>
      <c r="N38" s="3"/>
      <c r="O38" s="3"/>
      <c r="P38" s="3"/>
      <c r="Q38" s="3"/>
      <c r="S38" s="52"/>
      <c r="Y38" s="52"/>
      <c r="Z38" s="52"/>
    </row>
    <row r="39" spans="1:26" ht="15.75" thickBot="1" x14ac:dyDescent="0.3">
      <c r="B39" s="128" t="s">
        <v>61</v>
      </c>
      <c r="C39" s="150" t="s">
        <v>32</v>
      </c>
      <c r="D39" s="104" t="s">
        <v>48</v>
      </c>
      <c r="E39" s="104" t="s">
        <v>76</v>
      </c>
      <c r="F39" s="82" t="s">
        <v>9</v>
      </c>
      <c r="G39" s="114" t="s">
        <v>2</v>
      </c>
      <c r="H39" s="82" t="s">
        <v>47</v>
      </c>
      <c r="I39" s="29"/>
      <c r="J39" s="3"/>
      <c r="K39" s="157" t="s">
        <v>61</v>
      </c>
      <c r="L39" s="61" t="s">
        <v>34</v>
      </c>
      <c r="M39" s="3"/>
      <c r="N39" s="3"/>
      <c r="O39" s="3"/>
      <c r="P39" s="3"/>
      <c r="Q39" s="3"/>
    </row>
    <row r="40" spans="1:26" x14ac:dyDescent="0.25">
      <c r="B40" s="20" t="str">
        <f>B7</f>
        <v>Pretest</v>
      </c>
      <c r="C40" s="16">
        <v>20</v>
      </c>
      <c r="D40" s="34">
        <f>IFERROR(D7-C40,"")</f>
        <v>-0.69999999999999929</v>
      </c>
      <c r="E40" s="34">
        <f>Data!Z7</f>
        <v>1.3201745339158757</v>
      </c>
      <c r="F40" s="34">
        <f>IFERROR(D40/E40,"")</f>
        <v>-0.53023292149385204</v>
      </c>
      <c r="G40" s="53">
        <f>Data!Y7</f>
        <v>19</v>
      </c>
      <c r="H40" s="34">
        <f>IFERROR(IF(TDIST(ABS(F40),G40,2)&lt;0.001,"&lt; 0.001",TDIST(ABS(F40),G40,2)),"")</f>
        <v>0.60209292242601187</v>
      </c>
      <c r="I40" s="29"/>
      <c r="J40" s="3"/>
      <c r="K40" s="20" t="str">
        <f>K7</f>
        <v>Pretest</v>
      </c>
      <c r="L40" s="16">
        <v>0.2</v>
      </c>
      <c r="M40" s="3"/>
      <c r="N40" s="3"/>
      <c r="O40" s="3"/>
      <c r="P40" s="3"/>
      <c r="Q40" s="3"/>
    </row>
    <row r="41" spans="1:26" x14ac:dyDescent="0.25">
      <c r="B41" s="22" t="str">
        <f>B8</f>
        <v>Posttest</v>
      </c>
      <c r="C41" s="17">
        <v>20</v>
      </c>
      <c r="D41" s="36">
        <f>IFERROR(D8-C41,"")</f>
        <v>3.6000000000000014</v>
      </c>
      <c r="E41" s="36">
        <f>Data!Z8</f>
        <v>1.0648155708853997</v>
      </c>
      <c r="F41" s="36">
        <f>IFERROR(D41/E41,"")</f>
        <v>3.380867164636391</v>
      </c>
      <c r="G41" s="54">
        <f>Data!Y8</f>
        <v>19</v>
      </c>
      <c r="H41" s="36">
        <f>IFERROR(IF(TDIST(ABS(F41),G41,2)&lt;0.001,"&lt; 0.001",TDIST(ABS(F41),G41,2)),"")</f>
        <v>3.1372928643839228E-3</v>
      </c>
      <c r="I41" s="29"/>
      <c r="J41" s="3"/>
      <c r="K41" s="22" t="str">
        <f>K8</f>
        <v>Posttest</v>
      </c>
      <c r="L41" s="17">
        <v>0.5</v>
      </c>
      <c r="M41" s="3"/>
      <c r="N41" s="3"/>
      <c r="O41" s="3"/>
      <c r="P41" s="3"/>
      <c r="Q41" s="3"/>
    </row>
    <row r="42" spans="1:26" x14ac:dyDescent="0.25">
      <c r="B42" s="22" t="str">
        <f>B9</f>
        <v/>
      </c>
      <c r="C42" s="17"/>
      <c r="D42" s="36" t="str">
        <f>IFERROR(D9-C42,"")</f>
        <v/>
      </c>
      <c r="E42" s="36" t="str">
        <f>Data!Z9</f>
        <v/>
      </c>
      <c r="F42" s="36" t="str">
        <f>IFERROR(D42/E42,"")</f>
        <v/>
      </c>
      <c r="G42" s="54" t="str">
        <f>Data!Y9</f>
        <v/>
      </c>
      <c r="H42" s="36" t="str">
        <f>IFERROR(IF(TDIST(ABS(F42),G42,2)&lt;0.001,"&lt; 0.001",TDIST(ABS(F42),G42,2)),"")</f>
        <v/>
      </c>
      <c r="I42" s="29"/>
      <c r="J42" s="3"/>
      <c r="K42" s="22" t="str">
        <f>K9</f>
        <v/>
      </c>
      <c r="L42" s="17"/>
      <c r="M42" s="3"/>
      <c r="N42" s="3"/>
      <c r="O42" s="3"/>
      <c r="P42" s="3"/>
      <c r="Q42" s="3"/>
    </row>
    <row r="43" spans="1:26" ht="15.75" thickBot="1" x14ac:dyDescent="0.3">
      <c r="B43" s="134" t="str">
        <f>B10</f>
        <v>Followup</v>
      </c>
      <c r="C43" s="17">
        <v>20</v>
      </c>
      <c r="D43" s="66">
        <f>IFERROR(D10-C43,"")</f>
        <v>3.3999999999999986</v>
      </c>
      <c r="E43" s="66">
        <f>Data!Z10</f>
        <v>1.0321689784139028</v>
      </c>
      <c r="F43" s="66">
        <f>IFERROR(D43/E43,"")</f>
        <v>3.294034282278719</v>
      </c>
      <c r="G43" s="65">
        <f>Data!Y10</f>
        <v>19</v>
      </c>
      <c r="H43" s="66">
        <f>IFERROR(IF(TDIST(ABS(F43),G43,2)&lt;0.001,"&lt; 0.001",TDIST(ABS(F43),G43,2)),"")</f>
        <v>3.8162875962535286E-3</v>
      </c>
      <c r="I43" s="29"/>
      <c r="J43" s="3"/>
      <c r="K43" s="134" t="str">
        <f>K10</f>
        <v>Followup</v>
      </c>
      <c r="L43" s="64">
        <v>0.5</v>
      </c>
      <c r="M43" s="3"/>
      <c r="N43" s="3"/>
      <c r="O43" s="3"/>
      <c r="P43" s="3"/>
      <c r="Q43" s="3"/>
    </row>
    <row r="44" spans="1:26" x14ac:dyDescent="0.25">
      <c r="B44" s="107"/>
      <c r="C44" s="2"/>
      <c r="D44" s="107"/>
      <c r="E44" s="38"/>
      <c r="F44" s="38"/>
      <c r="G44" s="38"/>
      <c r="H44" s="38"/>
      <c r="I44" s="29"/>
      <c r="J44" s="3"/>
      <c r="K44" s="107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zoomScaleNormal="100" workbookViewId="0">
      <selection activeCell="C45" sqref="C45"/>
    </sheetView>
  </sheetViews>
  <sheetFormatPr defaultColWidth="11.140625" defaultRowHeight="15" x14ac:dyDescent="0.25"/>
  <cols>
    <col min="1" max="1" width="4.5703125" style="52" customWidth="1"/>
    <col min="2" max="8" width="11.140625" style="52"/>
    <col min="9" max="10" width="4.5703125" style="52" customWidth="1"/>
    <col min="11" max="17" width="11.140625" style="52"/>
    <col min="18" max="18" width="4.7109375" style="52" customWidth="1"/>
    <col min="19" max="19" width="4.7109375" style="52" hidden="1" customWidth="1"/>
    <col min="20" max="26" width="0" style="52" hidden="1" customWidth="1"/>
    <col min="27" max="27" width="4.5703125" style="52" hidden="1" customWidth="1"/>
    <col min="28" max="16384" width="11.140625" style="52"/>
  </cols>
  <sheetData>
    <row r="1" spans="2:26" s="120" customFormat="1" ht="15" customHeight="1" x14ac:dyDescent="0.25"/>
    <row r="2" spans="2:26" s="120" customFormat="1" ht="15" customHeight="1" x14ac:dyDescent="0.25">
      <c r="B2" s="213" t="s">
        <v>100</v>
      </c>
      <c r="C2" s="213"/>
      <c r="D2" s="213"/>
      <c r="E2" s="213"/>
      <c r="F2" s="213"/>
      <c r="G2" s="213"/>
      <c r="H2" s="213"/>
      <c r="K2" s="213" t="s">
        <v>114</v>
      </c>
      <c r="L2" s="213"/>
      <c r="M2" s="213"/>
      <c r="N2" s="213"/>
      <c r="O2" s="213"/>
      <c r="P2" s="213"/>
      <c r="Q2" s="213"/>
    </row>
    <row r="4" spans="2:26" ht="15.75" x14ac:dyDescent="0.25">
      <c r="B4" s="59" t="s">
        <v>107</v>
      </c>
      <c r="G4" s="56" t="s">
        <v>33</v>
      </c>
      <c r="H4" s="19">
        <v>95</v>
      </c>
      <c r="K4" s="59" t="s">
        <v>107</v>
      </c>
      <c r="L4" s="26"/>
      <c r="M4" s="26"/>
      <c r="N4" s="26"/>
      <c r="O4" s="26"/>
      <c r="P4" s="160" t="s">
        <v>33</v>
      </c>
      <c r="Q4" s="161">
        <v>95</v>
      </c>
      <c r="R4" s="162"/>
      <c r="S4" s="40"/>
      <c r="T4" s="40"/>
      <c r="U4" s="40"/>
      <c r="V4" s="40"/>
      <c r="W4" s="40"/>
      <c r="X4" s="40"/>
      <c r="Y4" s="40"/>
      <c r="Z4" s="40"/>
    </row>
    <row r="5" spans="2:26" ht="15.75" thickBot="1" x14ac:dyDescent="0.3">
      <c r="K5" s="26"/>
      <c r="L5" s="26"/>
      <c r="M5" s="26"/>
      <c r="N5" s="26"/>
      <c r="O5" s="26"/>
      <c r="P5" s="26"/>
      <c r="Q5" s="26"/>
      <c r="R5" s="162"/>
      <c r="S5" s="40"/>
      <c r="T5" s="40"/>
      <c r="U5" s="40"/>
      <c r="V5" s="40"/>
      <c r="W5" s="40"/>
      <c r="X5" s="40"/>
      <c r="Y5" s="40"/>
      <c r="Z5" s="40"/>
    </row>
    <row r="6" spans="2:26" ht="15.75" thickBot="1" x14ac:dyDescent="0.3">
      <c r="B6" s="140" t="s">
        <v>61</v>
      </c>
      <c r="C6" s="140" t="s">
        <v>1</v>
      </c>
      <c r="D6" s="140" t="s">
        <v>11</v>
      </c>
      <c r="E6" s="140" t="s">
        <v>69</v>
      </c>
      <c r="F6" s="140" t="s">
        <v>76</v>
      </c>
      <c r="G6" s="215" t="s">
        <v>79</v>
      </c>
      <c r="H6" s="215"/>
      <c r="K6" s="158" t="s">
        <v>61</v>
      </c>
      <c r="L6" s="158" t="s">
        <v>3</v>
      </c>
      <c r="M6" s="158" t="s">
        <v>23</v>
      </c>
      <c r="N6" s="158" t="str">
        <f t="shared" ref="N6:N8" si="0">G39</f>
        <v>df</v>
      </c>
      <c r="O6" s="158" t="s">
        <v>76</v>
      </c>
      <c r="P6" s="214" t="s">
        <v>60</v>
      </c>
      <c r="Q6" s="214"/>
      <c r="R6" s="162"/>
      <c r="S6" s="40"/>
      <c r="T6" s="40"/>
      <c r="U6" s="40"/>
      <c r="V6" s="40"/>
      <c r="W6" s="40"/>
      <c r="X6" s="40"/>
      <c r="Y6" s="40"/>
      <c r="Z6" s="40"/>
    </row>
    <row r="7" spans="2:26" x14ac:dyDescent="0.25">
      <c r="B7" s="111">
        <v>2</v>
      </c>
      <c r="C7" s="70">
        <f>IF(B7="","",VLOOKUP($B7,Data!$U$7:$X$10,2,FALSE))</f>
        <v>20</v>
      </c>
      <c r="D7" s="34">
        <f>IF(B7="","",VLOOKUP($B7,Data!$U$7:$X$10,3,FALSE))</f>
        <v>23.6</v>
      </c>
      <c r="E7" s="34">
        <f>IF(B7="","",VLOOKUP($B7,Data!$U$7:$X$10,4,FALSE))</f>
        <v>4.7619999999999996</v>
      </c>
      <c r="F7" s="34">
        <f>IFERROR(E7/SQRT(C7),"")</f>
        <v>1.0648155708853997</v>
      </c>
      <c r="G7" s="34">
        <f>IFERROR(D7-TINV(1-$H$4/100,C7-1)*F7,"")</f>
        <v>21.371315396628344</v>
      </c>
      <c r="H7" s="34">
        <f>IFERROR(D7+TINV(1-$H$4/100,C7-1)*F7,"")</f>
        <v>25.828684603371659</v>
      </c>
      <c r="K7" s="131">
        <f>IF(B7="","",B7)</f>
        <v>2</v>
      </c>
      <c r="L7" s="163">
        <f>IFERROR((D7-C40)/E7,"")</f>
        <v>0.7559848803023943</v>
      </c>
      <c r="M7" s="163">
        <f>IFERROR((1-3/(4*G40-1))*L7,"")</f>
        <v>0.72574548509029846</v>
      </c>
      <c r="N7" s="164">
        <f t="shared" si="0"/>
        <v>19</v>
      </c>
      <c r="O7" s="163">
        <f>IFERROR(SQRT((N7+2)/(Data!V7*Data!V7)+((L7^2)/(2*(N7+2)))),"")</f>
        <v>0.25711370188367866</v>
      </c>
      <c r="P7" s="165">
        <f>IFERROR(Y17*SQRT(1/C7),"")</f>
        <v>0.24925516679792026</v>
      </c>
      <c r="Q7" s="165">
        <f>IFERROR(Z17*SQRT(1/C7),"")</f>
        <v>1.2473827082194537</v>
      </c>
      <c r="R7" s="162"/>
      <c r="S7" s="40"/>
      <c r="T7" s="40"/>
      <c r="U7" s="40"/>
      <c r="V7" s="40"/>
      <c r="W7" s="40"/>
      <c r="X7" s="40"/>
      <c r="Y7" s="40"/>
      <c r="Z7" s="40"/>
    </row>
    <row r="8" spans="2:26" ht="15.75" thickBot="1" x14ac:dyDescent="0.3">
      <c r="B8" s="195">
        <v>1</v>
      </c>
      <c r="C8" s="74">
        <f>IF(B8="","",VLOOKUP($B8,Data!$U$7:$X$10,2,FALSE))</f>
        <v>20</v>
      </c>
      <c r="D8" s="37">
        <f>IF(B8="","",VLOOKUP($B8,Data!$U$7:$X$10,3,FALSE))</f>
        <v>19.3</v>
      </c>
      <c r="E8" s="37">
        <f>IF(B8="","",VLOOKUP($B8,Data!$U$7:$X$10,4,FALSE))</f>
        <v>5.9039999999999999</v>
      </c>
      <c r="F8" s="66">
        <f>IFERROR(E8/SQRT(C8),"")</f>
        <v>1.3201745339158757</v>
      </c>
      <c r="G8" s="66">
        <f>IFERROR(D8-TINV(1-$H$4/100,C8-1)*F8,"")</f>
        <v>16.536842944496797</v>
      </c>
      <c r="H8" s="66">
        <f>IFERROR(D8+TINV(1-$H$4/100,C8-1)*F8,"")</f>
        <v>22.063157055503204</v>
      </c>
      <c r="K8" s="166">
        <f>IF(B8="","",B8)</f>
        <v>1</v>
      </c>
      <c r="L8" s="167">
        <f>IFERROR((D8-C41)/E8,"")</f>
        <v>-0.11856368563685625</v>
      </c>
      <c r="M8" s="167">
        <f>IFERROR((1-3/(4*G41-1))*L8,"")</f>
        <v>-0.113821138211382</v>
      </c>
      <c r="N8" s="168">
        <f t="shared" si="0"/>
        <v>19</v>
      </c>
      <c r="O8" s="167">
        <f>IFERROR(SQRT((N8+2)/(Data!V8*Data!V8)+((L8^2)/(2*(N8+2)))),"")</f>
        <v>0.22985799692687053</v>
      </c>
      <c r="P8" s="169">
        <f>IFERROR(Y18*SQRT(1/C8),"")</f>
        <v>-0.5568723143781652</v>
      </c>
      <c r="Q8" s="169">
        <f>IFERROR(Z18*SQRT(1/C8),"")</f>
        <v>0.32284318590009647</v>
      </c>
      <c r="R8" s="162"/>
      <c r="S8" s="40"/>
      <c r="T8" s="40"/>
      <c r="U8" s="40"/>
      <c r="V8" s="40"/>
      <c r="W8" s="40"/>
      <c r="X8" s="40"/>
      <c r="Y8" s="40"/>
      <c r="Z8" s="40"/>
    </row>
    <row r="9" spans="2:26" ht="15.75" thickBot="1" x14ac:dyDescent="0.3">
      <c r="B9" s="109"/>
      <c r="C9" s="109"/>
      <c r="D9" s="109"/>
      <c r="E9" s="109"/>
      <c r="F9" s="109"/>
      <c r="G9" s="109"/>
      <c r="H9" s="109"/>
      <c r="K9" s="109"/>
      <c r="L9" s="109"/>
      <c r="M9" s="109"/>
      <c r="N9" s="109"/>
      <c r="O9" s="109"/>
      <c r="P9" s="109"/>
      <c r="Q9" s="109"/>
      <c r="R9" s="162"/>
      <c r="S9" s="40"/>
      <c r="T9" s="40"/>
      <c r="U9" s="40"/>
      <c r="V9" s="40"/>
      <c r="W9" s="40"/>
      <c r="X9" s="40"/>
      <c r="Y9" s="40"/>
      <c r="Z9" s="40"/>
    </row>
    <row r="10" spans="2:26" ht="15.75" thickBot="1" x14ac:dyDescent="0.3">
      <c r="B10" s="154" t="s">
        <v>112</v>
      </c>
      <c r="C10" s="154"/>
      <c r="D10" s="154" t="s">
        <v>77</v>
      </c>
      <c r="E10" s="155" t="s">
        <v>69</v>
      </c>
      <c r="F10" s="154" t="s">
        <v>76</v>
      </c>
      <c r="G10" s="214" t="s">
        <v>78</v>
      </c>
      <c r="H10" s="214"/>
      <c r="K10" s="158" t="s">
        <v>112</v>
      </c>
      <c r="L10" s="158" t="s">
        <v>3</v>
      </c>
      <c r="M10" s="158" t="s">
        <v>23</v>
      </c>
      <c r="N10" s="158" t="str">
        <f t="shared" ref="N10" si="1">G43</f>
        <v>df</v>
      </c>
      <c r="O10" s="158" t="s">
        <v>76</v>
      </c>
      <c r="P10" s="214" t="s">
        <v>60</v>
      </c>
      <c r="Q10" s="214"/>
      <c r="R10" s="162"/>
      <c r="S10" s="40"/>
      <c r="T10" s="40"/>
      <c r="U10" s="40"/>
      <c r="V10" s="40"/>
      <c r="W10" s="40"/>
      <c r="X10" s="40"/>
      <c r="Y10" s="40"/>
      <c r="Z10" s="40"/>
    </row>
    <row r="11" spans="2:26" ht="15.75" thickBot="1" x14ac:dyDescent="0.3">
      <c r="B11" s="142" t="s">
        <v>101</v>
      </c>
      <c r="C11" s="182">
        <f>VLOOKUP(SMALL(B7:B8,1),Data!V22:Z25,MATCH(LARGE(B7:B8,1),Data!V21:Z21,0),FALSE)</f>
        <v>0.49299999999999999</v>
      </c>
      <c r="D11" s="143">
        <f>IFERROR(D8-D7,"")</f>
        <v>-4.3000000000000007</v>
      </c>
      <c r="E11" s="143">
        <f>IFERROR(F11*SQRT(C7),"")</f>
        <v>5.4600933940730361</v>
      </c>
      <c r="F11" s="143">
        <f>IFERROR(SQRT(F7^2+F8^2-2*C11*F7*F8),"")</f>
        <v>1.2209139992644855</v>
      </c>
      <c r="G11" s="143">
        <f>IFERROR(D11-TINV(1-$H$4/100,G44)*F11,"")</f>
        <v>-6.855402368824417</v>
      </c>
      <c r="H11" s="143">
        <f>IFERROR(D11+TINV(1-$H$4/100,G44)*F11,"")</f>
        <v>-1.7445976311755844</v>
      </c>
      <c r="K11" s="170" t="str">
        <f>B11</f>
        <v>Difference</v>
      </c>
      <c r="L11" s="23">
        <f>IFERROR(D11/SQRT((E7^2+E8^2)/2),"")</f>
        <v>-0.80171811612841581</v>
      </c>
      <c r="M11" s="23">
        <f>IFERROR((1-3/(4*N11-1))*L11,"")</f>
        <v>-0.76964939148327915</v>
      </c>
      <c r="N11" s="54">
        <f>G44</f>
        <v>19</v>
      </c>
      <c r="O11" s="36">
        <f>IFERROR(SQRT((1/C7)+((L11^2)/(2*C7))*2*(1-C11)),"")</f>
        <v>0.2574757495792902</v>
      </c>
      <c r="P11" s="36">
        <f>IFERROR(Y19*SQRT(1/C7),"")</f>
        <v>-1.2811517861921233</v>
      </c>
      <c r="Q11" s="36">
        <f>IFERROR(Z19*SQRT(1/C7),"")</f>
        <v>-0.2733334740646749</v>
      </c>
      <c r="R11" s="162"/>
      <c r="S11" s="40"/>
      <c r="T11" s="40"/>
      <c r="U11" s="40"/>
      <c r="V11" s="40"/>
      <c r="W11" s="40"/>
      <c r="X11" s="40"/>
      <c r="Y11" s="40"/>
      <c r="Z11" s="40"/>
    </row>
    <row r="12" spans="2:26" x14ac:dyDescent="0.25">
      <c r="B12" s="38"/>
      <c r="C12" s="38"/>
      <c r="D12" s="38"/>
      <c r="E12" s="38"/>
      <c r="F12" s="38"/>
      <c r="G12" s="38"/>
      <c r="H12" s="38"/>
      <c r="K12" s="58"/>
      <c r="L12" s="58"/>
      <c r="M12" s="58"/>
      <c r="N12" s="58"/>
      <c r="O12" s="58"/>
      <c r="P12" s="58"/>
      <c r="Q12" s="58"/>
      <c r="R12" s="162"/>
      <c r="S12" s="40"/>
      <c r="T12" s="40"/>
      <c r="U12" s="40"/>
      <c r="V12" s="40"/>
      <c r="W12" s="40"/>
      <c r="X12" s="40"/>
      <c r="Y12" s="40"/>
      <c r="Z12" s="40"/>
    </row>
    <row r="13" spans="2:26" x14ac:dyDescent="0.25">
      <c r="R13" s="162"/>
      <c r="S13" s="40"/>
      <c r="T13" s="40"/>
      <c r="U13" s="40"/>
      <c r="V13" s="40"/>
      <c r="W13" s="40"/>
      <c r="X13" s="40"/>
      <c r="Y13" s="40"/>
      <c r="Z13" s="40"/>
    </row>
    <row r="14" spans="2:26" ht="15.75" x14ac:dyDescent="0.25">
      <c r="B14" s="59" t="s">
        <v>109</v>
      </c>
      <c r="G14" s="56" t="s">
        <v>105</v>
      </c>
      <c r="H14" s="149">
        <v>5</v>
      </c>
      <c r="K14" s="59" t="s">
        <v>109</v>
      </c>
      <c r="P14" s="56" t="s">
        <v>105</v>
      </c>
      <c r="Q14" s="149">
        <v>0.5</v>
      </c>
      <c r="S14" s="40"/>
      <c r="T14" s="8" t="s">
        <v>21</v>
      </c>
      <c r="U14" s="40"/>
      <c r="V14" s="40"/>
      <c r="W14" s="40"/>
      <c r="X14" s="40"/>
      <c r="Y14" s="40"/>
      <c r="Z14" s="40"/>
    </row>
    <row r="15" spans="2:26" ht="15.75" thickBot="1" x14ac:dyDescent="0.3">
      <c r="B15" s="35"/>
      <c r="C15" s="35"/>
      <c r="D15" s="35"/>
      <c r="E15" s="35"/>
      <c r="K15" s="35"/>
      <c r="L15" s="35"/>
      <c r="M15" s="35"/>
      <c r="N15" s="35"/>
      <c r="S15" s="40"/>
      <c r="T15" s="40"/>
      <c r="U15" s="40"/>
      <c r="V15" s="40"/>
      <c r="W15" s="40"/>
      <c r="X15" s="40"/>
      <c r="Y15" s="40"/>
      <c r="Z15" s="40"/>
    </row>
    <row r="16" spans="2:26" ht="15.75" thickBot="1" x14ac:dyDescent="0.3">
      <c r="B16" s="139" t="s">
        <v>74</v>
      </c>
      <c r="C16" s="115"/>
      <c r="D16" s="115"/>
      <c r="E16" s="115"/>
      <c r="F16" s="139" t="s">
        <v>102</v>
      </c>
      <c r="G16" s="115"/>
      <c r="H16" s="138">
        <f>IF(H14="",H32,H14)</f>
        <v>5</v>
      </c>
      <c r="J16" s="138"/>
      <c r="K16" s="139" t="s">
        <v>74</v>
      </c>
      <c r="L16" s="115"/>
      <c r="M16" s="115"/>
      <c r="N16" s="115"/>
      <c r="O16" s="139" t="s">
        <v>102</v>
      </c>
      <c r="P16" s="115"/>
      <c r="Q16" s="138">
        <f>IF(Q14="",Q32,Q14)</f>
        <v>0.5</v>
      </c>
      <c r="S16" s="40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2:26" x14ac:dyDescent="0.25">
      <c r="B17" s="41" t="s">
        <v>0</v>
      </c>
      <c r="C17" s="41" t="s">
        <v>73</v>
      </c>
      <c r="D17" s="41" t="s">
        <v>75</v>
      </c>
      <c r="E17" s="115"/>
      <c r="F17" s="138" t="s">
        <v>31</v>
      </c>
      <c r="G17" s="138" t="s">
        <v>73</v>
      </c>
      <c r="H17" s="138" t="s">
        <v>75</v>
      </c>
      <c r="J17" s="138"/>
      <c r="K17" s="41" t="s">
        <v>0</v>
      </c>
      <c r="L17" s="41" t="s">
        <v>73</v>
      </c>
      <c r="M17" s="41" t="s">
        <v>75</v>
      </c>
      <c r="N17" s="115"/>
      <c r="O17" s="138" t="s">
        <v>31</v>
      </c>
      <c r="P17" s="138" t="s">
        <v>73</v>
      </c>
      <c r="Q17" s="138" t="s">
        <v>75</v>
      </c>
      <c r="S17" s="171"/>
      <c r="T17" s="165">
        <f>EXP(((LN(2)-LN(G40))/2)+GAMMALN((G40+1)/2)-GAMMALN(G40/2))</f>
        <v>0.98693426752465663</v>
      </c>
      <c r="U17" s="165">
        <f>T17*F40</f>
        <v>3.3366936587285791</v>
      </c>
      <c r="V17" s="165">
        <f>1+(F40^2)*(1-T17^2)</f>
        <v>1.2967382127169977</v>
      </c>
      <c r="W17" s="165">
        <f>(2*U17^3)-((2*G40-1)/G40)*(F40^2*U17)</f>
        <v>2.708178265118022E-2</v>
      </c>
      <c r="X17" s="172">
        <f>W17/SQRT(V17)^3</f>
        <v>1.8339976921029566E-2</v>
      </c>
      <c r="Y17" s="173">
        <f t="shared" ref="Y17:Z19" si="2">IF($X17&lt;0.001,Y27,Y22)</f>
        <v>1.1147029934063966</v>
      </c>
      <c r="Z17" s="173">
        <f t="shared" si="2"/>
        <v>5.5784650590729683</v>
      </c>
    </row>
    <row r="18" spans="2:26" x14ac:dyDescent="0.25">
      <c r="B18" s="41">
        <v>1.1000000000000001</v>
      </c>
      <c r="C18" s="138">
        <f>IF(H7="",NA(),H7)</f>
        <v>25.828684603371659</v>
      </c>
      <c r="D18" s="138">
        <f t="shared" ref="D18:D23" si="3">C18</f>
        <v>25.828684603371659</v>
      </c>
      <c r="E18" s="115"/>
      <c r="F18" s="138">
        <v>3.15</v>
      </c>
      <c r="G18" s="138" t="e">
        <f>IF(G19&gt;$F$31,NA(),G19+$H$16)</f>
        <v>#N/A</v>
      </c>
      <c r="H18" s="138" t="e">
        <f t="shared" ref="H18:H21" si="4">G18-$G$23</f>
        <v>#N/A</v>
      </c>
      <c r="I18" s="144"/>
      <c r="J18" s="138"/>
      <c r="K18" s="41">
        <v>1.1000000000000001</v>
      </c>
      <c r="L18" s="138">
        <f>IF(Q7="",NA(),Q7)</f>
        <v>1.2473827082194537</v>
      </c>
      <c r="M18" s="138">
        <f t="shared" ref="M18:M23" si="5">L18</f>
        <v>1.2473827082194537</v>
      </c>
      <c r="N18" s="115"/>
      <c r="O18" s="138">
        <v>3.15</v>
      </c>
      <c r="P18" s="138" t="e">
        <f>IF(P19&gt;$O$31,NA(),P19+$Q$16)</f>
        <v>#N/A</v>
      </c>
      <c r="Q18" s="138" t="e">
        <f t="shared" ref="Q18:Q28" si="6">P18-$P$23</f>
        <v>#N/A</v>
      </c>
      <c r="R18" s="144"/>
      <c r="S18" s="40"/>
      <c r="T18" s="174">
        <f>EXP(((LN(2)-LN(G41))/2)+GAMMALN((G41+1)/2)-GAMMALN(G41/2))</f>
        <v>0.98693426752465663</v>
      </c>
      <c r="U18" s="174">
        <f>T18*F41</f>
        <v>-0.52330503999199363</v>
      </c>
      <c r="V18" s="174">
        <f>1+(F41^2)*(1-T18^2)</f>
        <v>1.0072987861548834</v>
      </c>
      <c r="W18" s="174">
        <f>(2*U18^3)-((2*G41-1)/G41)*(F41^2*U18)</f>
        <v>-1.0447033630778257E-4</v>
      </c>
      <c r="X18" s="172">
        <f>W18/SQRT(V18)^3</f>
        <v>-1.0333692328221801E-4</v>
      </c>
      <c r="Y18" s="173">
        <f t="shared" si="2"/>
        <v>-2.4904086994744219</v>
      </c>
      <c r="Z18" s="173">
        <f t="shared" si="2"/>
        <v>1.4437986194904346</v>
      </c>
    </row>
    <row r="19" spans="2:26" ht="15.75" thickBot="1" x14ac:dyDescent="0.3">
      <c r="B19" s="41">
        <v>1.1000000000000001</v>
      </c>
      <c r="C19" s="138">
        <f>IF(D7="",NA(),D7)</f>
        <v>23.6</v>
      </c>
      <c r="D19" s="138">
        <f t="shared" si="3"/>
        <v>23.6</v>
      </c>
      <c r="E19" s="115"/>
      <c r="F19" s="138">
        <v>3.15</v>
      </c>
      <c r="G19" s="138" t="e">
        <f>IF(G20&gt;$F$31,NA(),G20+$H$16)</f>
        <v>#N/A</v>
      </c>
      <c r="H19" s="138" t="e">
        <f t="shared" si="4"/>
        <v>#N/A</v>
      </c>
      <c r="I19" s="144"/>
      <c r="J19" s="138"/>
      <c r="K19" s="41">
        <v>1.1000000000000001</v>
      </c>
      <c r="L19" s="138">
        <f>IF(M7="",NA(),M7)</f>
        <v>0.72574548509029846</v>
      </c>
      <c r="M19" s="138">
        <f t="shared" si="5"/>
        <v>0.72574548509029846</v>
      </c>
      <c r="N19" s="115"/>
      <c r="O19" s="138">
        <v>3.15</v>
      </c>
      <c r="P19" s="138" t="e">
        <f>IF(P20&gt;$O$31,NA(),P20+$Q$16)</f>
        <v>#N/A</v>
      </c>
      <c r="Q19" s="138" t="e">
        <f t="shared" si="6"/>
        <v>#N/A</v>
      </c>
      <c r="R19" s="144"/>
      <c r="S19" s="40"/>
      <c r="T19" s="174">
        <f>EXP(((LN(2)-LN(G44))/2)+GAMMALN((G44+1)/2)-GAMMALN(G44/2))</f>
        <v>0.98693426752465663</v>
      </c>
      <c r="U19" s="174">
        <f>T19*F44</f>
        <v>-3.4759347119556532</v>
      </c>
      <c r="V19" s="174">
        <f>1+(F44^2)*(1-T19^2)</f>
        <v>1.3220208749704752</v>
      </c>
      <c r="W19" s="174">
        <f>(2*U19^3)-((2*G44-1)/G44)*(F44^2*U19)</f>
        <v>-3.0615620929523857E-2</v>
      </c>
      <c r="X19" s="172">
        <f>W19/SQRT(V19)^3</f>
        <v>-2.0141212095488033E-2</v>
      </c>
      <c r="Y19" s="173">
        <f t="shared" si="2"/>
        <v>-5.7294849668417287</v>
      </c>
      <c r="Z19" s="173">
        <f t="shared" si="2"/>
        <v>-1.2223844570695777</v>
      </c>
    </row>
    <row r="20" spans="2:26" ht="15.75" thickBot="1" x14ac:dyDescent="0.3">
      <c r="B20" s="41">
        <v>1.1000000000000001</v>
      </c>
      <c r="C20" s="138">
        <f>IF(G7="",NA(),G7)</f>
        <v>21.371315396628344</v>
      </c>
      <c r="D20" s="138">
        <f t="shared" si="3"/>
        <v>21.371315396628344</v>
      </c>
      <c r="E20" s="115"/>
      <c r="F20" s="138">
        <v>3.15</v>
      </c>
      <c r="G20" s="138" t="e">
        <f t="shared" ref="G20:G22" si="7">IF(G21&gt;$F$31,NA(),G21+$H$16)</f>
        <v>#N/A</v>
      </c>
      <c r="H20" s="138" t="e">
        <f t="shared" si="4"/>
        <v>#N/A</v>
      </c>
      <c r="I20" s="138"/>
      <c r="J20" s="138"/>
      <c r="K20" s="41">
        <v>1.1000000000000001</v>
      </c>
      <c r="L20" s="138">
        <f>IF(P7="",NA(),P7)</f>
        <v>0.24925516679792026</v>
      </c>
      <c r="M20" s="138">
        <f t="shared" si="5"/>
        <v>0.24925516679792026</v>
      </c>
      <c r="N20" s="115"/>
      <c r="O20" s="138">
        <v>3.15</v>
      </c>
      <c r="P20" s="138" t="e">
        <f>IF(P21&gt;$O$31,NA(),P21+$Q$16)</f>
        <v>#N/A</v>
      </c>
      <c r="Q20" s="138" t="e">
        <f t="shared" si="6"/>
        <v>#N/A</v>
      </c>
      <c r="R20" s="138"/>
      <c r="S20" s="40"/>
      <c r="T20" s="175"/>
      <c r="U20" s="175"/>
      <c r="V20" s="175"/>
      <c r="W20" s="175"/>
      <c r="X20" s="175"/>
      <c r="Y20" s="175"/>
      <c r="Z20" s="175"/>
    </row>
    <row r="21" spans="2:26" ht="15.75" thickBot="1" x14ac:dyDescent="0.3">
      <c r="B21" s="41">
        <v>2.1</v>
      </c>
      <c r="C21" s="138">
        <f>IF(H8="",NA(),H8)</f>
        <v>22.063157055503204</v>
      </c>
      <c r="D21" s="138">
        <f t="shared" si="3"/>
        <v>22.063157055503204</v>
      </c>
      <c r="E21" s="115"/>
      <c r="F21" s="138">
        <v>3.15</v>
      </c>
      <c r="G21" s="138" t="e">
        <f t="shared" si="7"/>
        <v>#N/A</v>
      </c>
      <c r="H21" s="138" t="e">
        <f t="shared" si="4"/>
        <v>#N/A</v>
      </c>
      <c r="I21" s="138"/>
      <c r="J21" s="138"/>
      <c r="K21" s="41">
        <v>2.1</v>
      </c>
      <c r="L21" s="138">
        <f>IF(Q8="",NA(),Q8)</f>
        <v>0.32284318590009647</v>
      </c>
      <c r="M21" s="138">
        <f t="shared" si="5"/>
        <v>0.32284318590009647</v>
      </c>
      <c r="N21" s="115"/>
      <c r="O21" s="138">
        <v>3.15</v>
      </c>
      <c r="P21" s="138">
        <f>IF(P22&gt;$O$31,NA(),P22+$Q$16)</f>
        <v>1.7257454850902985</v>
      </c>
      <c r="Q21" s="138">
        <f t="shared" si="6"/>
        <v>1</v>
      </c>
      <c r="R21" s="138"/>
      <c r="S21" s="40"/>
      <c r="T21" s="82" t="s">
        <v>14</v>
      </c>
      <c r="U21" s="82" t="s">
        <v>15</v>
      </c>
      <c r="V21" s="82" t="s">
        <v>16</v>
      </c>
      <c r="W21" s="82" t="s">
        <v>17</v>
      </c>
      <c r="X21" s="82" t="s">
        <v>18</v>
      </c>
      <c r="Y21" s="82" t="s">
        <v>19</v>
      </c>
      <c r="Z21" s="82" t="s">
        <v>20</v>
      </c>
    </row>
    <row r="22" spans="2:26" x14ac:dyDescent="0.25">
      <c r="B22" s="41">
        <v>2.1</v>
      </c>
      <c r="C22" s="138">
        <f>IF(D8="",NA(),D8)</f>
        <v>19.3</v>
      </c>
      <c r="D22" s="138">
        <f t="shared" si="3"/>
        <v>19.3</v>
      </c>
      <c r="E22" s="115"/>
      <c r="F22" s="138">
        <v>3.15</v>
      </c>
      <c r="G22" s="138">
        <f t="shared" si="7"/>
        <v>28.6</v>
      </c>
      <c r="H22" s="138">
        <f>G22-$G$23</f>
        <v>5</v>
      </c>
      <c r="I22" s="138"/>
      <c r="J22" s="138"/>
      <c r="K22" s="41">
        <v>2.1</v>
      </c>
      <c r="L22" s="138">
        <f>IF(M8="",NA(),M8)</f>
        <v>-0.113821138211382</v>
      </c>
      <c r="M22" s="138">
        <f t="shared" si="5"/>
        <v>-0.113821138211382</v>
      </c>
      <c r="N22" s="115"/>
      <c r="O22" s="138">
        <v>3.15</v>
      </c>
      <c r="P22" s="138">
        <f>IF(P23&gt;$O$31,NA(),P23+$Q$16)</f>
        <v>1.2257454850902985</v>
      </c>
      <c r="Q22" s="138">
        <f t="shared" si="6"/>
        <v>0.5</v>
      </c>
      <c r="R22" s="138"/>
      <c r="S22" s="40"/>
      <c r="T22" s="165">
        <f>W17/(4*V17)</f>
        <v>5.2211353042563944E-3</v>
      </c>
      <c r="U22" s="165">
        <f>V17/(2*T22^2)</f>
        <v>23784.41189729964</v>
      </c>
      <c r="V22" s="165">
        <f>U17-(U22*T22)</f>
        <v>-120.84493898923839</v>
      </c>
      <c r="W22" s="165">
        <f>2*GAMMAINV((1-$Q$4/100)/2,U22/2,1)</f>
        <v>23358.835746551209</v>
      </c>
      <c r="X22" s="165">
        <f>2*GAMMAINV(1-(1-$Q$4/100)/2,U22/2,1)</f>
        <v>24213.776636902701</v>
      </c>
      <c r="Y22" s="165">
        <f>IF(F40&gt;0,V22+(T22*W22),V22+(T22*X22))</f>
        <v>1.1147029934063966</v>
      </c>
      <c r="Z22" s="165">
        <f>IF(F40&gt;0,V22+(T22*X22),V22+(T22*W22))</f>
        <v>5.5784650590729683</v>
      </c>
    </row>
    <row r="23" spans="2:26" x14ac:dyDescent="0.25">
      <c r="B23" s="41">
        <v>2.1</v>
      </c>
      <c r="C23" s="138">
        <f>IF(G8="",NA(),G8)</f>
        <v>16.536842944496797</v>
      </c>
      <c r="D23" s="138">
        <f t="shared" si="3"/>
        <v>16.536842944496797</v>
      </c>
      <c r="E23" s="115"/>
      <c r="F23" s="138">
        <v>3.15</v>
      </c>
      <c r="G23" s="138">
        <f>C19</f>
        <v>23.6</v>
      </c>
      <c r="H23" s="138">
        <f>G23-$G$23</f>
        <v>0</v>
      </c>
      <c r="K23" s="41">
        <v>2.1</v>
      </c>
      <c r="L23" s="138">
        <f>IF(P8="",NA(),P8)</f>
        <v>-0.5568723143781652</v>
      </c>
      <c r="M23" s="138">
        <f t="shared" si="5"/>
        <v>-0.5568723143781652</v>
      </c>
      <c r="N23" s="115"/>
      <c r="O23" s="138">
        <v>3.15</v>
      </c>
      <c r="P23" s="138">
        <f>L19</f>
        <v>0.72574548509029846</v>
      </c>
      <c r="Q23" s="138">
        <f t="shared" si="6"/>
        <v>0</v>
      </c>
      <c r="S23" s="40"/>
      <c r="T23" s="174">
        <f>W18/(4*V18)</f>
        <v>-2.5928338677586545E-5</v>
      </c>
      <c r="U23" s="174">
        <f>V18/(2*T23^2)</f>
        <v>749167507.73376596</v>
      </c>
      <c r="V23" s="174">
        <f>U18-(U23*T23)</f>
        <v>19424.14556172453</v>
      </c>
      <c r="W23" s="174">
        <f>2*GAMMAINV((1-$Q$4/100)/2,U23/2,1)</f>
        <v>749091642.69022119</v>
      </c>
      <c r="X23" s="174">
        <f>2*GAMMAINV(1-(1-$Q$4/100)/2,U23/2,1)</f>
        <v>749243376.56592238</v>
      </c>
      <c r="Y23" s="174">
        <f>IF(F41&gt;0,V23+(T23*W23),V23+(T23*X23))</f>
        <v>-2.4904578152163594</v>
      </c>
      <c r="Z23" s="174">
        <f>IF(F41&gt;0,V23+(T23*X23),V23+(T23*W23))</f>
        <v>1.4437495028287231</v>
      </c>
    </row>
    <row r="24" spans="2:26" ht="15.75" thickBot="1" x14ac:dyDescent="0.3">
      <c r="B24" s="41">
        <v>2.75</v>
      </c>
      <c r="C24" s="138">
        <f>IF(H11="",NA(),H11+C25-$D$11)</f>
        <v>21.855402368824418</v>
      </c>
      <c r="D24" s="138">
        <f>H11</f>
        <v>-1.7445976311755844</v>
      </c>
      <c r="E24" s="115"/>
      <c r="F24" s="138">
        <v>3.15</v>
      </c>
      <c r="G24" s="138">
        <f>IF(G23&lt;$F$32,NA(),G23-$H$16)</f>
        <v>18.600000000000001</v>
      </c>
      <c r="H24" s="138">
        <f>G24-$G$23</f>
        <v>-5</v>
      </c>
      <c r="K24" s="41">
        <v>2.75</v>
      </c>
      <c r="L24" s="138">
        <f>IF(Q11="",NA(),Q11+L25-M11)</f>
        <v>0.38249477920722225</v>
      </c>
      <c r="M24" s="138">
        <f>Q11</f>
        <v>-0.2733334740646749</v>
      </c>
      <c r="N24" s="176"/>
      <c r="O24" s="138">
        <v>3.15</v>
      </c>
      <c r="P24" s="138">
        <f>IF(P23&lt;$O$32,NA(),P23-$Q$16)</f>
        <v>0.22574548509029846</v>
      </c>
      <c r="Q24" s="138">
        <f t="shared" si="6"/>
        <v>-0.5</v>
      </c>
      <c r="S24" s="40"/>
      <c r="T24" s="174">
        <f>W19/(4*V19)</f>
        <v>-5.7895494521233637E-3</v>
      </c>
      <c r="U24" s="174">
        <f>V19/(2*T24^2)</f>
        <v>19720.53902494537</v>
      </c>
      <c r="V24" s="174">
        <f>U19-(U24*T24)</f>
        <v>110.69710119549423</v>
      </c>
      <c r="W24" s="174">
        <f>2*GAMMAINV((1-$Q$4/100)/2,U24/2,1)</f>
        <v>19333.192285096728</v>
      </c>
      <c r="X24" s="174">
        <f>2*GAMMAINV(1-(1-$Q$4/100)/2,U24/2,1)</f>
        <v>20111.6743489281</v>
      </c>
      <c r="Y24" s="174">
        <f>IF(F44&gt;0,V24+(T24*W24),V24+(T24*X24))</f>
        <v>-5.7404320126259591</v>
      </c>
      <c r="Z24" s="174">
        <f>IF(F44&gt;0,V24+(T24*X24),V24+(T24*W24))</f>
        <v>-1.2333716064831748</v>
      </c>
    </row>
    <row r="25" spans="2:26" ht="15.75" thickBot="1" x14ac:dyDescent="0.3">
      <c r="B25" s="41">
        <v>2.75</v>
      </c>
      <c r="C25" s="138">
        <f>IF(D11="",NA(),C22)</f>
        <v>19.3</v>
      </c>
      <c r="D25" s="138">
        <f>D11</f>
        <v>-4.3000000000000007</v>
      </c>
      <c r="E25" s="115"/>
      <c r="F25" s="138">
        <v>3.15</v>
      </c>
      <c r="G25" s="138">
        <f t="shared" ref="G25:G28" si="8">IF(G24&lt;$F$32,NA(),G24-$H$16)</f>
        <v>13.600000000000001</v>
      </c>
      <c r="H25" s="138">
        <f t="shared" ref="H25:H28" si="9">G25-$G$23</f>
        <v>-10</v>
      </c>
      <c r="K25" s="41">
        <v>2.75</v>
      </c>
      <c r="L25" s="138">
        <f>IF(M11="",NA(),L22)</f>
        <v>-0.113821138211382</v>
      </c>
      <c r="M25" s="138">
        <f>M11</f>
        <v>-0.76964939148327915</v>
      </c>
      <c r="N25" s="176"/>
      <c r="O25" s="138">
        <v>3.15</v>
      </c>
      <c r="P25" s="138">
        <f>IF(P24&lt;$O$32,NA(),P24-$Q$16)</f>
        <v>-0.27425451490970154</v>
      </c>
      <c r="Q25" s="138">
        <f t="shared" si="6"/>
        <v>-1</v>
      </c>
      <c r="S25" s="40"/>
      <c r="T25" s="177"/>
      <c r="U25" s="177"/>
      <c r="V25" s="177"/>
      <c r="W25" s="177"/>
      <c r="X25" s="177"/>
      <c r="Y25" s="177"/>
      <c r="Z25" s="177"/>
    </row>
    <row r="26" spans="2:26" ht="15.75" thickBot="1" x14ac:dyDescent="0.3">
      <c r="B26" s="41">
        <v>2.75</v>
      </c>
      <c r="C26" s="138">
        <f>IF(G11="",NA(),G11+C25-$D$11)</f>
        <v>16.744597631175584</v>
      </c>
      <c r="D26" s="138">
        <f>G11</f>
        <v>-6.855402368824417</v>
      </c>
      <c r="E26" s="115"/>
      <c r="F26" s="138">
        <v>3.15</v>
      </c>
      <c r="G26" s="138" t="e">
        <f t="shared" si="8"/>
        <v>#N/A</v>
      </c>
      <c r="H26" s="138" t="e">
        <f t="shared" si="9"/>
        <v>#N/A</v>
      </c>
      <c r="K26" s="41">
        <v>2.75</v>
      </c>
      <c r="L26" s="138">
        <f>IF(P11="",NA(),P11+L25-M11)</f>
        <v>-0.62532353292022624</v>
      </c>
      <c r="M26" s="138">
        <f>P11</f>
        <v>-1.2811517861921233</v>
      </c>
      <c r="N26" s="115"/>
      <c r="O26" s="138">
        <v>3.15</v>
      </c>
      <c r="P26" s="138">
        <f>IF(P25&lt;$O$32,NA(),P25-$Q$16)</f>
        <v>-0.77425451490970154</v>
      </c>
      <c r="Q26" s="138">
        <f t="shared" si="6"/>
        <v>-1.5</v>
      </c>
      <c r="S26" s="40"/>
      <c r="T26" s="40"/>
      <c r="U26" s="40"/>
      <c r="V26" s="82" t="s">
        <v>69</v>
      </c>
      <c r="W26" s="82" t="s">
        <v>70</v>
      </c>
      <c r="X26" s="82" t="s">
        <v>71</v>
      </c>
      <c r="Y26" s="82" t="s">
        <v>19</v>
      </c>
      <c r="Z26" s="82" t="s">
        <v>20</v>
      </c>
    </row>
    <row r="27" spans="2:26" x14ac:dyDescent="0.25">
      <c r="B27" s="115"/>
      <c r="C27" s="138"/>
      <c r="D27" s="138"/>
      <c r="E27" s="115"/>
      <c r="F27" s="138">
        <v>3.15</v>
      </c>
      <c r="G27" s="138" t="e">
        <f t="shared" si="8"/>
        <v>#N/A</v>
      </c>
      <c r="H27" s="138" t="e">
        <f t="shared" si="9"/>
        <v>#N/A</v>
      </c>
      <c r="K27" s="115"/>
      <c r="L27" s="138"/>
      <c r="M27" s="138"/>
      <c r="N27" s="115"/>
      <c r="O27" s="138">
        <v>3.15</v>
      </c>
      <c r="P27" s="138" t="e">
        <f>IF(P26&lt;$O$32,NA(),P26-$Q$16)</f>
        <v>#N/A</v>
      </c>
      <c r="Q27" s="138" t="e">
        <f t="shared" si="6"/>
        <v>#N/A</v>
      </c>
      <c r="S27" s="40"/>
      <c r="T27" s="40"/>
      <c r="U27" s="40"/>
      <c r="V27" s="178">
        <f>SQRT(V17)</f>
        <v>1.1387441383897428</v>
      </c>
      <c r="W27" s="178">
        <f>NORMINV((1-$Q$4/100)/2,0,1)</f>
        <v>-1.9599639845400536</v>
      </c>
      <c r="X27" s="178">
        <f>NORMINV(1-(1-$Q$4/100)/2,0,1)</f>
        <v>1.9599639845400536</v>
      </c>
      <c r="Y27" s="178">
        <f>U17+W27*V27</f>
        <v>1.1047961598785889</v>
      </c>
      <c r="Z27" s="178">
        <f>U17+X27*V27</f>
        <v>5.5685911575785694</v>
      </c>
    </row>
    <row r="28" spans="2:26" x14ac:dyDescent="0.25">
      <c r="B28" s="115"/>
      <c r="C28" s="115"/>
      <c r="D28" s="138"/>
      <c r="E28" s="115"/>
      <c r="F28" s="138">
        <v>3.15</v>
      </c>
      <c r="G28" s="138" t="e">
        <f t="shared" si="8"/>
        <v>#N/A</v>
      </c>
      <c r="H28" s="138" t="e">
        <f t="shared" si="9"/>
        <v>#N/A</v>
      </c>
      <c r="I28" s="138"/>
      <c r="J28" s="138"/>
      <c r="K28" s="115"/>
      <c r="L28" s="115"/>
      <c r="M28" s="138"/>
      <c r="N28" s="115"/>
      <c r="O28" s="138">
        <v>3.15</v>
      </c>
      <c r="P28" s="138" t="e">
        <f>IF(P27&lt;$O$32,NA(),P27-$Q$16)</f>
        <v>#N/A</v>
      </c>
      <c r="Q28" s="138" t="e">
        <f t="shared" si="6"/>
        <v>#N/A</v>
      </c>
      <c r="R28" s="138"/>
      <c r="S28" s="40"/>
      <c r="T28" s="40"/>
      <c r="U28" s="40"/>
      <c r="V28" s="178">
        <f>SQRT(V18)</f>
        <v>1.0036427582336673</v>
      </c>
      <c r="W28" s="178">
        <f>NORMINV((1-$Q$4/100)/2,0,1)</f>
        <v>-1.9599639845400536</v>
      </c>
      <c r="X28" s="178">
        <f>NORMINV(1-(1-$Q$4/100)/2,0,1)</f>
        <v>1.9599639845400536</v>
      </c>
      <c r="Y28" s="178">
        <f>U18+W28*V28</f>
        <v>-2.4904086994744219</v>
      </c>
      <c r="Z28" s="178">
        <f>U18+X28*V28</f>
        <v>1.4437986194904346</v>
      </c>
    </row>
    <row r="29" spans="2:26" ht="15.75" thickBot="1" x14ac:dyDescent="0.3">
      <c r="B29" s="115"/>
      <c r="C29" s="115"/>
      <c r="D29" s="138"/>
      <c r="E29" s="115"/>
      <c r="F29" s="115"/>
      <c r="G29" s="115"/>
      <c r="H29" s="115"/>
      <c r="K29" s="115"/>
      <c r="L29" s="115"/>
      <c r="M29" s="138"/>
      <c r="N29" s="115"/>
      <c r="O29" s="115"/>
      <c r="P29" s="115"/>
      <c r="Q29" s="115"/>
      <c r="S29" s="40"/>
      <c r="T29" s="40"/>
      <c r="U29" s="40"/>
      <c r="V29" s="178">
        <f>SQRT(V19)</f>
        <v>1.1497916658988598</v>
      </c>
      <c r="W29" s="178">
        <f>NORMINV((1-$Q$4/100)/2,0,1)</f>
        <v>-1.9599639845400536</v>
      </c>
      <c r="X29" s="178">
        <f>NORMINV(1-(1-$Q$4/100)/2,0,1)</f>
        <v>1.9599639845400536</v>
      </c>
      <c r="Y29" s="178">
        <f>U19+W29*V29</f>
        <v>-5.7294849668417287</v>
      </c>
      <c r="Z29" s="178">
        <f>U19+X29*V29</f>
        <v>-1.2223844570695777</v>
      </c>
    </row>
    <row r="30" spans="2:26" x14ac:dyDescent="0.25">
      <c r="B30" s="148" t="s">
        <v>103</v>
      </c>
      <c r="C30" s="115"/>
      <c r="D30" s="115"/>
      <c r="E30" s="115"/>
      <c r="F30" s="115" t="s">
        <v>104</v>
      </c>
      <c r="G30" s="115"/>
      <c r="H30" s="115"/>
      <c r="K30" s="148" t="s">
        <v>103</v>
      </c>
      <c r="L30" s="115"/>
      <c r="M30" s="115"/>
      <c r="N30" s="115"/>
      <c r="O30" s="115" t="s">
        <v>104</v>
      </c>
      <c r="P30" s="115"/>
      <c r="Q30" s="115"/>
      <c r="S30" s="40"/>
      <c r="T30" s="40"/>
      <c r="U30" s="40"/>
      <c r="V30" s="177"/>
      <c r="W30" s="177"/>
      <c r="X30" s="177"/>
      <c r="Y30" s="177"/>
      <c r="Z30" s="177"/>
    </row>
    <row r="31" spans="2:26" x14ac:dyDescent="0.25">
      <c r="B31" s="41">
        <v>1.1000000000000001</v>
      </c>
      <c r="C31" s="138">
        <f>C19</f>
        <v>23.6</v>
      </c>
      <c r="D31" s="41">
        <v>2.1</v>
      </c>
      <c r="E31" s="138">
        <f>C22</f>
        <v>19.3</v>
      </c>
      <c r="F31" s="138">
        <f>MAX(C18:C26)</f>
        <v>25.828684603371659</v>
      </c>
      <c r="G31" s="138">
        <f>IF(F31-F32=0,1,F31-F32)</f>
        <v>9.291841658874862</v>
      </c>
      <c r="H31" s="138">
        <f>ROUNDUP(G31/G32,0)</f>
        <v>10</v>
      </c>
      <c r="K31" s="41">
        <v>1.1000000000000001</v>
      </c>
      <c r="L31" s="138">
        <f>L19</f>
        <v>0.72574548509029846</v>
      </c>
      <c r="M31" s="41">
        <v>2.1</v>
      </c>
      <c r="N31" s="138">
        <f>L22</f>
        <v>-0.113821138211382</v>
      </c>
      <c r="O31" s="138">
        <f>MAX(L$18:L$26)</f>
        <v>1.2473827082194537</v>
      </c>
      <c r="P31" s="138">
        <f>IF(O31-O32=0,1,O31-O32)</f>
        <v>1.87270624113968</v>
      </c>
      <c r="Q31" s="138">
        <f>ROUNDUP(P31/P32,0)</f>
        <v>2</v>
      </c>
      <c r="S31" s="40"/>
      <c r="T31" s="40"/>
      <c r="U31" s="40"/>
    </row>
    <row r="32" spans="2:26" x14ac:dyDescent="0.25">
      <c r="B32" s="41">
        <v>3.15</v>
      </c>
      <c r="C32" s="138">
        <f>C19</f>
        <v>23.6</v>
      </c>
      <c r="D32" s="41">
        <v>3.15</v>
      </c>
      <c r="E32" s="138">
        <f>C22</f>
        <v>19.3</v>
      </c>
      <c r="F32" s="138">
        <f>MIN(C18:C26)</f>
        <v>16.536842944496797</v>
      </c>
      <c r="G32" s="138">
        <f>POWER(10,INT(LOG10(G31)))</f>
        <v>1</v>
      </c>
      <c r="H32" s="138">
        <f>CHOOSE(H31,10,5,5,2,2,2,2,1,1,1)</f>
        <v>1</v>
      </c>
      <c r="K32" s="41">
        <v>3.15</v>
      </c>
      <c r="L32" s="138">
        <f>L19</f>
        <v>0.72574548509029846</v>
      </c>
      <c r="M32" s="41">
        <v>3.15</v>
      </c>
      <c r="N32" s="138">
        <f>L22</f>
        <v>-0.113821138211382</v>
      </c>
      <c r="O32" s="138">
        <f>MIN(L$18:L$26)</f>
        <v>-0.62532353292022624</v>
      </c>
      <c r="P32" s="138">
        <f>POWER(10,INT(LOG10(P31)))</f>
        <v>1</v>
      </c>
      <c r="Q32" s="138">
        <f>CHOOSE(Q31,1,0.5,0.5,0.2,0.2,0.2,0.2,0.1,0.1,0.1)</f>
        <v>0.5</v>
      </c>
      <c r="S32" s="40"/>
    </row>
    <row r="33" spans="2:26" x14ac:dyDescent="0.25">
      <c r="B33" s="41"/>
      <c r="C33" s="138"/>
      <c r="D33" s="41"/>
      <c r="E33" s="138"/>
      <c r="F33" s="115"/>
      <c r="G33" s="115"/>
      <c r="H33" s="115"/>
      <c r="K33" s="41"/>
      <c r="L33" s="138"/>
      <c r="M33" s="41"/>
      <c r="N33" s="138"/>
      <c r="O33" s="115"/>
      <c r="P33" s="115"/>
      <c r="Q33" s="115"/>
      <c r="S33" s="40"/>
    </row>
    <row r="34" spans="2:26" x14ac:dyDescent="0.25">
      <c r="B34" s="41"/>
      <c r="C34" s="138"/>
      <c r="D34" s="41"/>
      <c r="E34" s="138"/>
      <c r="F34" s="115"/>
      <c r="G34" s="115"/>
      <c r="H34" s="115"/>
      <c r="K34" s="41"/>
      <c r="L34" s="138"/>
      <c r="M34" s="41"/>
      <c r="N34" s="138"/>
      <c r="O34" s="138">
        <f>MAX($C$18:$C$26)</f>
        <v>25.828684603371659</v>
      </c>
      <c r="P34" s="138">
        <f>IF(O34-O35=0,1,O34-O35)</f>
        <v>9.291841658874862</v>
      </c>
      <c r="Q34" s="35">
        <f>P34/9</f>
        <v>1.0324268509860959</v>
      </c>
      <c r="S34" s="40"/>
      <c r="T34" s="40"/>
      <c r="U34" s="40"/>
      <c r="V34" s="40"/>
      <c r="W34" s="40"/>
      <c r="X34" s="40"/>
      <c r="Y34" s="40"/>
      <c r="Z34" s="40"/>
    </row>
    <row r="35" spans="2:26" x14ac:dyDescent="0.25">
      <c r="B35" s="41"/>
      <c r="C35" s="138"/>
      <c r="D35" s="41"/>
      <c r="E35" s="138"/>
      <c r="F35" s="115"/>
      <c r="G35" s="115"/>
      <c r="H35" s="115"/>
      <c r="K35" s="41"/>
      <c r="L35" s="138"/>
      <c r="M35" s="41"/>
      <c r="N35" s="138"/>
      <c r="O35" s="138">
        <f>MIN($C$18:$C$26)</f>
        <v>16.536842944496797</v>
      </c>
      <c r="P35" s="35">
        <f>O34+P34/20</f>
        <v>26.293276686315401</v>
      </c>
      <c r="Q35" s="35">
        <f>ROUNDUP(Q34,0)</f>
        <v>2</v>
      </c>
      <c r="S35" s="40"/>
      <c r="T35" s="40"/>
      <c r="U35" s="40"/>
      <c r="V35" s="40"/>
      <c r="W35" s="40"/>
      <c r="X35" s="40"/>
      <c r="Y35" s="40"/>
      <c r="Z35" s="40"/>
    </row>
    <row r="36" spans="2:26" x14ac:dyDescent="0.25">
      <c r="B36" s="41"/>
      <c r="C36" s="138"/>
      <c r="D36" s="41"/>
      <c r="E36" s="138"/>
      <c r="F36" s="115"/>
      <c r="G36" s="115"/>
      <c r="H36" s="115"/>
      <c r="K36" s="41"/>
      <c r="L36" s="138"/>
      <c r="M36" s="41"/>
      <c r="N36" s="138"/>
      <c r="O36" s="138"/>
      <c r="P36" s="35"/>
      <c r="Q36" s="35"/>
      <c r="S36" s="40"/>
      <c r="T36" s="40"/>
      <c r="U36" s="40"/>
      <c r="V36" s="40"/>
      <c r="W36" s="40"/>
      <c r="X36" s="40"/>
      <c r="Y36" s="40"/>
      <c r="Z36" s="40"/>
    </row>
    <row r="37" spans="2:26" ht="15.75" x14ac:dyDescent="0.25">
      <c r="B37" s="59" t="s">
        <v>108</v>
      </c>
      <c r="K37" s="59" t="s">
        <v>113</v>
      </c>
      <c r="L37" s="179"/>
      <c r="M37" s="179"/>
      <c r="N37" s="179"/>
      <c r="O37" s="179"/>
      <c r="P37" s="179"/>
      <c r="Q37" s="179"/>
      <c r="S37" s="40"/>
      <c r="T37" s="40"/>
      <c r="U37" s="40"/>
      <c r="V37" s="40"/>
      <c r="W37" s="40"/>
      <c r="X37" s="40"/>
      <c r="Y37" s="40"/>
      <c r="Z37" s="40"/>
    </row>
    <row r="38" spans="2:26" ht="15.75" thickBot="1" x14ac:dyDescent="0.3">
      <c r="K38" s="179"/>
      <c r="L38" s="179"/>
      <c r="M38" s="179"/>
      <c r="N38" s="179"/>
      <c r="O38" s="179"/>
      <c r="P38" s="179"/>
      <c r="Q38" s="179"/>
      <c r="R38" s="162"/>
      <c r="S38" s="40"/>
      <c r="T38" s="162"/>
      <c r="U38" s="162"/>
      <c r="V38" s="162"/>
      <c r="W38" s="162"/>
      <c r="X38" s="162"/>
      <c r="Y38" s="162"/>
      <c r="Z38" s="162"/>
    </row>
    <row r="39" spans="2:26" ht="15.75" thickBot="1" x14ac:dyDescent="0.3">
      <c r="B39" s="140" t="s">
        <v>61</v>
      </c>
      <c r="C39" s="140" t="s">
        <v>32</v>
      </c>
      <c r="D39" s="140" t="s">
        <v>48</v>
      </c>
      <c r="E39" s="151" t="str">
        <f>F6</f>
        <v>SE</v>
      </c>
      <c r="F39" s="140" t="s">
        <v>9</v>
      </c>
      <c r="G39" s="140" t="s">
        <v>2</v>
      </c>
      <c r="H39" s="140" t="s">
        <v>47</v>
      </c>
      <c r="K39" s="159" t="s">
        <v>61</v>
      </c>
      <c r="L39" s="158" t="s">
        <v>34</v>
      </c>
      <c r="M39" s="179"/>
      <c r="N39" s="179"/>
      <c r="O39" s="179"/>
      <c r="P39" s="179"/>
      <c r="Q39" s="179"/>
      <c r="R39" s="162"/>
      <c r="S39" s="40"/>
      <c r="T39" s="162"/>
      <c r="U39" s="162"/>
      <c r="V39" s="162"/>
      <c r="W39" s="162"/>
      <c r="X39" s="162"/>
      <c r="Y39" s="162"/>
      <c r="Z39" s="162"/>
    </row>
    <row r="40" spans="2:26" x14ac:dyDescent="0.25">
      <c r="B40" s="70">
        <f>IF(B7="","",B7)</f>
        <v>2</v>
      </c>
      <c r="C40" s="135">
        <v>20</v>
      </c>
      <c r="D40" s="34">
        <f>IFERROR(D7-C40,"")</f>
        <v>3.6000000000000014</v>
      </c>
      <c r="E40" s="34">
        <f>F7</f>
        <v>1.0648155708853997</v>
      </c>
      <c r="F40" s="34">
        <f>IFERROR(D40/F7,"")</f>
        <v>3.380867164636391</v>
      </c>
      <c r="G40" s="80">
        <f>IF(C7&lt;&gt;"",C7-1,"")</f>
        <v>19</v>
      </c>
      <c r="H40" s="34">
        <f>IFERROR(IF(TDIST(ABS(F40),G40,2)&lt;0.001,"&lt; 0.001",TDIST(ABS(F40),G40,2)),"")</f>
        <v>3.1372928643839228E-3</v>
      </c>
      <c r="K40" s="70">
        <f>K7</f>
        <v>2</v>
      </c>
      <c r="L40" s="180" t="s">
        <v>115</v>
      </c>
      <c r="M40" s="179"/>
      <c r="N40" s="179"/>
      <c r="O40" s="179"/>
      <c r="P40" s="179"/>
      <c r="Q40" s="179"/>
      <c r="R40" s="162"/>
      <c r="S40" s="40"/>
      <c r="T40" s="162"/>
      <c r="U40" s="162"/>
      <c r="V40" s="162"/>
      <c r="W40" s="162"/>
      <c r="X40" s="162"/>
      <c r="Y40" s="162"/>
      <c r="Z40" s="162"/>
    </row>
    <row r="41" spans="2:26" ht="15.75" thickBot="1" x14ac:dyDescent="0.3">
      <c r="B41" s="141">
        <f>IF(B8="","",B8)</f>
        <v>1</v>
      </c>
      <c r="C41" s="145">
        <v>20</v>
      </c>
      <c r="D41" s="66">
        <f>IFERROR(D8-C41,"")</f>
        <v>-0.69999999999999929</v>
      </c>
      <c r="E41" s="66">
        <f>F8</f>
        <v>1.3201745339158757</v>
      </c>
      <c r="F41" s="66">
        <f>IFERROR(D41/F8,"")</f>
        <v>-0.53023292149385204</v>
      </c>
      <c r="G41" s="146">
        <f>IF(C8&lt;&gt;"",C8-1,"")</f>
        <v>19</v>
      </c>
      <c r="H41" s="66">
        <f>IFERROR(IF(TDIST(ABS(F41),G41,2)&lt;0.001,"&lt; 0.001",TDIST(ABS(F41),G41,2)),"")</f>
        <v>0.60209292242601187</v>
      </c>
      <c r="K41" s="141">
        <f>K8</f>
        <v>1</v>
      </c>
      <c r="L41" s="181" t="s">
        <v>115</v>
      </c>
      <c r="M41" s="179"/>
      <c r="N41" s="179"/>
      <c r="O41" s="179"/>
      <c r="P41" s="179"/>
      <c r="Q41" s="179"/>
      <c r="R41" s="162"/>
      <c r="S41" s="40"/>
      <c r="T41" s="162"/>
      <c r="U41" s="162"/>
      <c r="V41" s="162"/>
      <c r="W41" s="162"/>
      <c r="X41" s="162"/>
      <c r="Y41" s="162"/>
      <c r="Z41" s="162"/>
    </row>
    <row r="42" spans="2:26" ht="15.75" thickBot="1" x14ac:dyDescent="0.3">
      <c r="B42" s="38"/>
      <c r="C42" s="38"/>
      <c r="D42" s="38"/>
      <c r="E42" s="38"/>
      <c r="F42" s="38"/>
      <c r="G42" s="38"/>
      <c r="H42" s="38"/>
      <c r="K42" s="38"/>
      <c r="L42" s="9"/>
      <c r="M42" s="179"/>
      <c r="N42" s="179"/>
      <c r="O42" s="179"/>
      <c r="P42" s="179"/>
      <c r="Q42" s="179"/>
      <c r="R42" s="162"/>
      <c r="S42" s="40"/>
      <c r="T42" s="162"/>
      <c r="U42" s="162"/>
      <c r="V42" s="162"/>
      <c r="W42" s="162"/>
      <c r="X42" s="162"/>
      <c r="Y42" s="162"/>
      <c r="Z42" s="162"/>
    </row>
    <row r="43" spans="2:26" ht="15.75" thickBot="1" x14ac:dyDescent="0.3">
      <c r="B43" s="155" t="s">
        <v>112</v>
      </c>
      <c r="C43" s="155" t="s">
        <v>32</v>
      </c>
      <c r="D43" s="155" t="s">
        <v>48</v>
      </c>
      <c r="E43" s="155" t="str">
        <f>F10</f>
        <v>SE</v>
      </c>
      <c r="F43" s="155" t="s">
        <v>9</v>
      </c>
      <c r="G43" s="155" t="s">
        <v>2</v>
      </c>
      <c r="H43" s="155" t="s">
        <v>47</v>
      </c>
      <c r="K43" s="159" t="s">
        <v>112</v>
      </c>
      <c r="L43" s="84" t="s">
        <v>34</v>
      </c>
      <c r="M43" s="179"/>
      <c r="N43" s="179"/>
      <c r="O43" s="179"/>
      <c r="P43" s="179"/>
      <c r="Q43" s="179"/>
      <c r="R43" s="162"/>
      <c r="S43" s="40"/>
      <c r="T43" s="162"/>
      <c r="U43" s="162"/>
      <c r="V43" s="162"/>
      <c r="W43" s="162"/>
      <c r="X43" s="162"/>
      <c r="Y43" s="162"/>
      <c r="Z43" s="162"/>
    </row>
    <row r="44" spans="2:26" ht="15.75" thickBot="1" x14ac:dyDescent="0.3">
      <c r="B44" s="142" t="s">
        <v>101</v>
      </c>
      <c r="C44" s="196">
        <v>0</v>
      </c>
      <c r="D44" s="143">
        <f>IFERROR(D11-C44,"")</f>
        <v>-4.3000000000000007</v>
      </c>
      <c r="E44" s="143">
        <f>F11</f>
        <v>1.2209139992644855</v>
      </c>
      <c r="F44" s="143">
        <f>IFERROR(D44/F11,"")</f>
        <v>-3.5219515892113997</v>
      </c>
      <c r="G44" s="147">
        <f>IF(C7&lt;&gt;"",C7-1,"")</f>
        <v>19</v>
      </c>
      <c r="H44" s="143">
        <f>IFERROR(IF(TDIST(ABS(F44),G44,2)&lt;0.001,"&lt; 0.001",TDIST(ABS(F44),G44,2)),"")</f>
        <v>2.2789095284560809E-3</v>
      </c>
      <c r="K44" s="142" t="s">
        <v>101</v>
      </c>
      <c r="L44" s="181" t="s">
        <v>115</v>
      </c>
      <c r="M44" s="179"/>
      <c r="N44" s="179"/>
      <c r="O44" s="179"/>
      <c r="P44" s="179"/>
      <c r="Q44" s="179"/>
      <c r="R44" s="162"/>
      <c r="S44" s="40"/>
      <c r="T44" s="162"/>
      <c r="U44" s="162"/>
      <c r="V44" s="162"/>
      <c r="W44" s="162"/>
      <c r="X44" s="162"/>
      <c r="Y44" s="162"/>
      <c r="Z44" s="162"/>
    </row>
    <row r="45" spans="2:26" x14ac:dyDescent="0.25">
      <c r="B45" s="38"/>
      <c r="C45" s="38"/>
      <c r="D45" s="38"/>
      <c r="E45" s="38"/>
      <c r="F45" s="38"/>
      <c r="G45" s="38"/>
      <c r="H45" s="38"/>
      <c r="K45" s="38"/>
      <c r="L45" s="58"/>
      <c r="M45" s="179"/>
      <c r="N45" s="179"/>
      <c r="O45" s="179"/>
      <c r="P45" s="179"/>
      <c r="Q45" s="179"/>
      <c r="R45" s="162"/>
      <c r="S45" s="40"/>
      <c r="T45" s="162"/>
      <c r="U45" s="162"/>
      <c r="V45" s="162"/>
      <c r="W45" s="162"/>
      <c r="X45" s="162"/>
      <c r="Y45" s="162"/>
      <c r="Z45" s="162"/>
    </row>
  </sheetData>
  <sheetProtection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A46"/>
  <sheetViews>
    <sheetView showRuler="0" topLeftCell="A12" zoomScaleNormal="100" workbookViewId="0">
      <selection activeCell="L45" sqref="L45"/>
    </sheetView>
  </sheetViews>
  <sheetFormatPr defaultColWidth="11.140625" defaultRowHeight="15" x14ac:dyDescent="0.25"/>
  <cols>
    <col min="1" max="1" width="4.5703125" style="29" customWidth="1"/>
    <col min="2" max="8" width="11.140625" style="29"/>
    <col min="9" max="9" width="4.5703125" style="29" customWidth="1"/>
    <col min="10" max="10" width="4.5703125" style="32" customWidth="1"/>
    <col min="11" max="17" width="11.140625" style="32"/>
    <col min="18" max="18" width="4.5703125" style="32" customWidth="1"/>
    <col min="19" max="19" width="4.5703125" style="32" hidden="1" customWidth="1"/>
    <col min="20" max="26" width="0" style="32" hidden="1" customWidth="1"/>
    <col min="27" max="27" width="4.5703125" style="32" hidden="1" customWidth="1"/>
    <col min="28" max="16384" width="11.140625" style="32"/>
  </cols>
  <sheetData>
    <row r="1" spans="1:26" s="120" customFormat="1" x14ac:dyDescent="0.25">
      <c r="A1" s="119"/>
      <c r="B1" s="119"/>
      <c r="C1" s="119"/>
      <c r="D1" s="119"/>
      <c r="E1" s="119"/>
      <c r="F1" s="119"/>
      <c r="G1" s="119"/>
      <c r="H1" s="119"/>
      <c r="I1" s="119"/>
    </row>
    <row r="2" spans="1:26" s="120" customFormat="1" ht="15" customHeight="1" x14ac:dyDescent="0.25">
      <c r="A2" s="5"/>
      <c r="B2" s="213" t="s">
        <v>40</v>
      </c>
      <c r="C2" s="213"/>
      <c r="D2" s="213"/>
      <c r="E2" s="213"/>
      <c r="F2" s="213"/>
      <c r="G2" s="213"/>
      <c r="H2" s="213"/>
      <c r="I2" s="5"/>
      <c r="J2" s="5"/>
      <c r="K2" s="213" t="s">
        <v>41</v>
      </c>
      <c r="L2" s="213"/>
      <c r="M2" s="213"/>
      <c r="N2" s="213"/>
      <c r="O2" s="213"/>
      <c r="P2" s="213"/>
      <c r="Q2" s="213"/>
      <c r="R2" s="5"/>
      <c r="T2" s="213" t="s">
        <v>59</v>
      </c>
      <c r="U2" s="213"/>
      <c r="V2" s="213"/>
      <c r="W2" s="213"/>
      <c r="X2" s="213"/>
      <c r="Y2" s="213"/>
      <c r="Z2" s="213"/>
    </row>
    <row r="3" spans="1:26" x14ac:dyDescent="0.25">
      <c r="A3" s="32"/>
      <c r="B3" s="33"/>
      <c r="C3" s="33"/>
      <c r="D3" s="33"/>
      <c r="E3" s="33"/>
      <c r="F3" s="33"/>
      <c r="G3" s="33"/>
      <c r="H3" s="33"/>
    </row>
    <row r="4" spans="1:26" ht="15.75" x14ac:dyDescent="0.25">
      <c r="A4" s="32"/>
      <c r="B4" s="8" t="s">
        <v>107</v>
      </c>
      <c r="G4" s="30" t="s">
        <v>33</v>
      </c>
      <c r="H4" s="39">
        <v>95</v>
      </c>
      <c r="K4" s="8" t="s">
        <v>107</v>
      </c>
      <c r="L4" s="29"/>
      <c r="M4" s="29"/>
      <c r="N4" s="29"/>
      <c r="O4" s="29"/>
      <c r="P4" s="30" t="s">
        <v>33</v>
      </c>
      <c r="Q4" s="39">
        <v>95</v>
      </c>
    </row>
    <row r="5" spans="1:26" ht="15.75" thickBot="1" x14ac:dyDescent="0.3">
      <c r="J5" s="29"/>
      <c r="K5" s="29"/>
      <c r="L5" s="29"/>
      <c r="M5" s="29"/>
      <c r="N5" s="29"/>
      <c r="O5" s="29"/>
      <c r="P5" s="29"/>
      <c r="Q5" s="29"/>
      <c r="S5" s="52"/>
    </row>
    <row r="6" spans="1:26" ht="15.75" thickBot="1" x14ac:dyDescent="0.3">
      <c r="B6" s="62" t="s">
        <v>61</v>
      </c>
      <c r="C6" s="152" t="str">
        <f t="shared" ref="C6:C12" si="0">G39</f>
        <v>df</v>
      </c>
      <c r="D6" s="61" t="s">
        <v>77</v>
      </c>
      <c r="E6" s="61" t="s">
        <v>69</v>
      </c>
      <c r="F6" s="61" t="s">
        <v>76</v>
      </c>
      <c r="G6" s="214" t="s">
        <v>78</v>
      </c>
      <c r="H6" s="214"/>
      <c r="J6" s="29"/>
      <c r="K6" s="61" t="s">
        <v>61</v>
      </c>
      <c r="L6" s="113" t="s">
        <v>3</v>
      </c>
      <c r="M6" s="113" t="s">
        <v>23</v>
      </c>
      <c r="N6" s="152" t="str">
        <f t="shared" ref="N6:N12" si="1">C6</f>
        <v>df</v>
      </c>
      <c r="O6" s="62" t="s">
        <v>76</v>
      </c>
      <c r="P6" s="214" t="s">
        <v>60</v>
      </c>
      <c r="Q6" s="214"/>
      <c r="S6" s="52"/>
    </row>
    <row r="7" spans="1:26" x14ac:dyDescent="0.25">
      <c r="B7" s="20" t="str">
        <f>IF(D7="","","1 vs. 2")</f>
        <v>1 vs. 2</v>
      </c>
      <c r="C7" s="53">
        <f t="shared" si="0"/>
        <v>19</v>
      </c>
      <c r="D7" s="21">
        <f>IFERROR(Data!W7-Data!W8,"")</f>
        <v>-4.3000000000000007</v>
      </c>
      <c r="E7" s="21">
        <f>IFERROR(F7*SQRT(Data!$V$7),"")</f>
        <v>5.4600933940730361</v>
      </c>
      <c r="F7" s="34">
        <f>IFERROR(SQRT(Data!Z7^2+Data!Z8^2-2*Data!X22*Data!Z7*Data!Z8),"")</f>
        <v>1.2209139992644855</v>
      </c>
      <c r="G7" s="21">
        <f>IFERROR(D7-TINV(1-$H$4/100,G40)*F7,"")</f>
        <v>-6.855402368824417</v>
      </c>
      <c r="H7" s="21">
        <f t="shared" ref="H7:H12" si="2">IFERROR(D7+TINV(1-$H$4/100,G40)*F7,"")</f>
        <v>-1.7445976311755844</v>
      </c>
      <c r="J7" s="29"/>
      <c r="K7" s="20" t="str">
        <f t="shared" ref="K7:K12" si="3">B7</f>
        <v>1 vs. 2</v>
      </c>
      <c r="L7" s="21">
        <f>IFERROR(D7/SQRT((Data!X7^2+Data!X8^2)/2),"")</f>
        <v>-0.80171811612841581</v>
      </c>
      <c r="M7" s="21">
        <f t="shared" ref="M7:M12" si="4">IFERROR((1-3/(4*G40-1))*L7,"")</f>
        <v>-0.76964939148327915</v>
      </c>
      <c r="N7" s="53">
        <f t="shared" si="1"/>
        <v>19</v>
      </c>
      <c r="O7" s="34">
        <f>IFERROR(SQRT((1/Data!V7)+((L7^2)/(2*Data!V7))*2*(1-Data!X22)),"")</f>
        <v>0.2574757495792902</v>
      </c>
      <c r="P7" s="34">
        <f>IFERROR(Y17*SQRT(1/Data!V7),"")</f>
        <v>-1.2811517861921233</v>
      </c>
      <c r="Q7" s="34">
        <f>IFERROR(Z17*SQRT(1/Data!V7),"")</f>
        <v>-0.2733334740646749</v>
      </c>
    </row>
    <row r="8" spans="1:26" x14ac:dyDescent="0.25">
      <c r="B8" s="22" t="str">
        <f>IF(D8="","","1 vs. 3")</f>
        <v/>
      </c>
      <c r="C8" s="54" t="str">
        <f t="shared" si="0"/>
        <v/>
      </c>
      <c r="D8" s="23" t="str">
        <f>IFERROR(Data!W7-Data!W9,"")</f>
        <v/>
      </c>
      <c r="E8" s="23" t="str">
        <f>IFERROR(F8*SQRT(Data!$V$7),"")</f>
        <v/>
      </c>
      <c r="F8" s="23" t="str">
        <f>IFERROR(SQRT(Data!Z7^2+Data!Z9^2-2*Data!Y22*Data!Z7*Data!Z9),"")</f>
        <v/>
      </c>
      <c r="G8" s="23" t="str">
        <f t="shared" ref="G8:G12" si="5">IFERROR(D8-TINV(1-$H$4/100,G41)*F8,"")</f>
        <v/>
      </c>
      <c r="H8" s="23" t="str">
        <f t="shared" si="2"/>
        <v/>
      </c>
      <c r="J8" s="29"/>
      <c r="K8" s="22" t="str">
        <f t="shared" si="3"/>
        <v/>
      </c>
      <c r="L8" s="23" t="str">
        <f>IFERROR(D8/SQRT((Data!X7^2+Data!X9^2)/2),"")</f>
        <v/>
      </c>
      <c r="M8" s="23" t="str">
        <f t="shared" si="4"/>
        <v/>
      </c>
      <c r="N8" s="54" t="str">
        <f t="shared" si="1"/>
        <v/>
      </c>
      <c r="O8" s="36" t="str">
        <f>IFERROR(SQRT((1/Data!V7)+((L8^2)/(2*Data!V7))*2*(1-Data!Y22)),"")</f>
        <v/>
      </c>
      <c r="P8" s="36" t="str">
        <f>IFERROR(Y18*SQRT(1/Data!V7),"")</f>
        <v/>
      </c>
      <c r="Q8" s="36" t="str">
        <f>IFERROR(Z18*SQRT(1/Data!V7),"")</f>
        <v/>
      </c>
    </row>
    <row r="9" spans="1:26" x14ac:dyDescent="0.25">
      <c r="B9" s="22" t="str">
        <f>IF(D9="","","2 vs. 3")</f>
        <v/>
      </c>
      <c r="C9" s="54" t="str">
        <f t="shared" si="0"/>
        <v/>
      </c>
      <c r="D9" s="23" t="str">
        <f>IFERROR(Data!W8-Data!W9,"")</f>
        <v/>
      </c>
      <c r="E9" s="23" t="str">
        <f>IFERROR(F9*SQRT(Data!$V$7),"")</f>
        <v/>
      </c>
      <c r="F9" s="23" t="str">
        <f>IFERROR(SQRT(Data!Z8^2+Data!Z9^2-2*Data!Y23*Data!Z8*Data!Z9),"")</f>
        <v/>
      </c>
      <c r="G9" s="23" t="str">
        <f t="shared" si="5"/>
        <v/>
      </c>
      <c r="H9" s="23" t="str">
        <f t="shared" si="2"/>
        <v/>
      </c>
      <c r="J9" s="29"/>
      <c r="K9" s="22" t="str">
        <f t="shared" si="3"/>
        <v/>
      </c>
      <c r="L9" s="23" t="str">
        <f>IFERROR(D9/SQRT((Data!X8^2+Data!X9^2)/2),"")</f>
        <v/>
      </c>
      <c r="M9" s="23" t="str">
        <f t="shared" si="4"/>
        <v/>
      </c>
      <c r="N9" s="54" t="str">
        <f t="shared" si="1"/>
        <v/>
      </c>
      <c r="O9" s="36" t="str">
        <f>IFERROR(SQRT((1/Data!V8)+((L9^2)/(2*Data!V8))*2*(1-Data!Y23)),"")</f>
        <v/>
      </c>
      <c r="P9" s="36" t="str">
        <f>IFERROR(Y19*SQRT(1/Data!V8),"")</f>
        <v/>
      </c>
      <c r="Q9" s="36" t="str">
        <f>IFERROR(Z19*SQRT(1/Data!V8),"")</f>
        <v/>
      </c>
    </row>
    <row r="10" spans="1:26" x14ac:dyDescent="0.25">
      <c r="B10" s="22" t="str">
        <f>IF(D10="","","1 vs. 4")</f>
        <v>1 vs. 4</v>
      </c>
      <c r="C10" s="54">
        <f t="shared" si="0"/>
        <v>19</v>
      </c>
      <c r="D10" s="23">
        <f>IFERROR(Data!W7-Data!W10,"")</f>
        <v>-4.0999999999999979</v>
      </c>
      <c r="E10" s="23">
        <f>IFERROR(F10*SQRT(Data!$V$7),"")</f>
        <v>5.1913005877140268</v>
      </c>
      <c r="F10" s="23">
        <f>IFERROR(SQRT(Data!Z7^2+Data!Z10^2-2*Data!Z22*Data!Z7*Data!Z10),"")</f>
        <v>1.1608101005763174</v>
      </c>
      <c r="G10" s="23">
        <f t="shared" si="5"/>
        <v>-6.5296034631063584</v>
      </c>
      <c r="H10" s="23">
        <f t="shared" si="2"/>
        <v>-1.6703965368936373</v>
      </c>
      <c r="J10" s="29"/>
      <c r="K10" s="22" t="str">
        <f t="shared" si="3"/>
        <v>1 vs. 4</v>
      </c>
      <c r="L10" s="23">
        <f>IFERROR(D10/SQRT((Data!X7^2+Data!X10^2)/2),"")</f>
        <v>-0.77369045867180442</v>
      </c>
      <c r="M10" s="23">
        <f>IFERROR((1-3/(4*N10-1))*L10,"")</f>
        <v>-0.74274284032493221</v>
      </c>
      <c r="N10" s="54">
        <f t="shared" si="1"/>
        <v>19</v>
      </c>
      <c r="O10" s="36">
        <f>IFERROR(SQRT((1/Data!V8)+((L10^2)/(2*Data!V8))*2*(1-Data!Z22)),"")</f>
        <v>0.25275966584778331</v>
      </c>
      <c r="P10" s="36">
        <f>IFERROR(Y20*SQRT(1/Data!V7),"")</f>
        <v>-1.2837240193073953</v>
      </c>
      <c r="Q10" s="36">
        <f>IFERROR(Z20*SQRT(1/Data!V7),"")</f>
        <v>-0.27520343190880298</v>
      </c>
    </row>
    <row r="11" spans="1:26" x14ac:dyDescent="0.25">
      <c r="B11" s="22" t="str">
        <f>IF(D11="","","2 vs. 4")</f>
        <v>2 vs. 4</v>
      </c>
      <c r="C11" s="54">
        <f t="shared" si="0"/>
        <v>19</v>
      </c>
      <c r="D11" s="23">
        <f>IFERROR(Data!W8-Data!W10,"")</f>
        <v>0.20000000000000284</v>
      </c>
      <c r="E11" s="23">
        <f>IFERROR(F11*SQRT(Data!$V$7),"")</f>
        <v>3.3644838367868548</v>
      </c>
      <c r="F11" s="23">
        <f>IFERROR(SQRT(Data!Z8^2+Data!Z10^2-2*Data!Z23*Data!Z8*Data!Z10),"")</f>
        <v>0.75232145682547147</v>
      </c>
      <c r="G11" s="23">
        <f t="shared" si="5"/>
        <v>-1.3746269057832108</v>
      </c>
      <c r="H11" s="23">
        <f t="shared" si="2"/>
        <v>1.7746269057832165</v>
      </c>
      <c r="J11" s="29"/>
      <c r="K11" s="22" t="str">
        <f t="shared" si="3"/>
        <v>2 vs. 4</v>
      </c>
      <c r="L11" s="23">
        <f>IFERROR(D11/SQRT((Data!X8^2+Data!X10^2)/2),"")</f>
        <v>4.2647849658405457E-2</v>
      </c>
      <c r="M11" s="23">
        <f t="shared" si="4"/>
        <v>4.0941935672069239E-2</v>
      </c>
      <c r="N11" s="54">
        <f t="shared" si="1"/>
        <v>19</v>
      </c>
      <c r="O11" s="36">
        <f>IFERROR(SQRT((1/Data!V8)+((L11^2)/(2*Data!V8))*2*(1-Data!Z23)),"")</f>
        <v>0.22365905320863774</v>
      </c>
      <c r="P11" s="36">
        <f>IFERROR(Y21*SQRT(1/Data!V8),"")</f>
        <v>-0.37999533329460128</v>
      </c>
      <c r="Q11" s="36">
        <f>IFERROR(Z21*SQRT(1/Data!V8),"")</f>
        <v>0.49733092655662292</v>
      </c>
    </row>
    <row r="12" spans="1:26" ht="15.75" thickBot="1" x14ac:dyDescent="0.3">
      <c r="B12" s="24" t="str">
        <f>IF(D12="","","3 vs. 4")</f>
        <v/>
      </c>
      <c r="C12" s="55" t="str">
        <f t="shared" si="0"/>
        <v/>
      </c>
      <c r="D12" s="25" t="str">
        <f>IFERROR(Data!W9-Data!W10,"")</f>
        <v/>
      </c>
      <c r="E12" s="25" t="str">
        <f>IFERROR(F12*SQRT(Data!$V$7),"")</f>
        <v/>
      </c>
      <c r="F12" s="25" t="str">
        <f>IFERROR(SQRT(Data!Z9^2+Data!Z10^2-2*Data!Z24*Data!Z9*Data!Z10),"")</f>
        <v/>
      </c>
      <c r="G12" s="25" t="str">
        <f t="shared" si="5"/>
        <v/>
      </c>
      <c r="H12" s="25" t="str">
        <f t="shared" si="2"/>
        <v/>
      </c>
      <c r="J12" s="29"/>
      <c r="K12" s="24" t="str">
        <f t="shared" si="3"/>
        <v/>
      </c>
      <c r="L12" s="25" t="str">
        <f>IFERROR(D12/SQRT((Data!X9^2+Data!X10^2)/2),"")</f>
        <v/>
      </c>
      <c r="M12" s="25" t="str">
        <f t="shared" si="4"/>
        <v/>
      </c>
      <c r="N12" s="55" t="str">
        <f t="shared" si="1"/>
        <v/>
      </c>
      <c r="O12" s="37" t="str">
        <f>IFERROR(SQRT((1/Data!V9)+((L12^2)/(2*Data!V9))*2*(1-Data!Z24)),"")</f>
        <v/>
      </c>
      <c r="P12" s="37" t="str">
        <f>IFERROR(Y22*SQRT(1/Data!V9),"")</f>
        <v/>
      </c>
      <c r="Q12" s="37" t="str">
        <f>IFERROR(Z22*SQRT(1/Data!V9),"")</f>
        <v/>
      </c>
    </row>
    <row r="13" spans="1:26" x14ac:dyDescent="0.25">
      <c r="B13" s="2"/>
      <c r="C13" s="2"/>
      <c r="D13" s="2"/>
      <c r="E13" s="2"/>
      <c r="F13" s="2"/>
      <c r="G13" s="2"/>
      <c r="H13" s="2"/>
      <c r="J13" s="29"/>
      <c r="K13" s="2"/>
      <c r="L13" s="2"/>
      <c r="M13" s="2"/>
      <c r="N13" s="2"/>
      <c r="O13" s="2"/>
      <c r="P13" s="2"/>
      <c r="Q13" s="2"/>
    </row>
    <row r="14" spans="1:26" ht="15.75" x14ac:dyDescent="0.25">
      <c r="A14" s="32"/>
      <c r="B14" s="8" t="s">
        <v>109</v>
      </c>
      <c r="K14" s="8" t="s">
        <v>109</v>
      </c>
      <c r="L14" s="29"/>
      <c r="M14" s="29"/>
      <c r="N14" s="29"/>
      <c r="O14" s="29"/>
      <c r="P14" s="29"/>
      <c r="Q14" s="29"/>
      <c r="T14" s="8" t="s">
        <v>21</v>
      </c>
      <c r="U14" s="52"/>
      <c r="V14" s="52"/>
      <c r="W14" s="52"/>
      <c r="X14" s="52"/>
      <c r="Y14" s="52"/>
      <c r="Z14" s="52"/>
    </row>
    <row r="15" spans="1:26" ht="15.75" thickBot="1" x14ac:dyDescent="0.3">
      <c r="J15" s="29"/>
      <c r="K15" s="29"/>
      <c r="L15" s="29"/>
      <c r="M15" s="29"/>
      <c r="N15" s="29"/>
      <c r="O15" s="29"/>
      <c r="P15" s="29"/>
      <c r="Q15" s="29"/>
      <c r="S15" s="52"/>
      <c r="T15" s="52"/>
      <c r="U15" s="52"/>
      <c r="V15" s="52"/>
      <c r="W15" s="52"/>
      <c r="X15" s="52"/>
      <c r="Y15" s="52"/>
      <c r="Z15" s="52"/>
    </row>
    <row r="16" spans="1:26" ht="15.75" thickBot="1" x14ac:dyDescent="0.3">
      <c r="B16" s="116" t="s">
        <v>74</v>
      </c>
      <c r="C16" s="46"/>
      <c r="D16" s="45"/>
      <c r="E16" s="45"/>
      <c r="F16" s="46"/>
      <c r="G16" s="117" t="s">
        <v>72</v>
      </c>
      <c r="H16" s="46"/>
      <c r="J16" s="29"/>
      <c r="K16" s="117" t="s">
        <v>74</v>
      </c>
      <c r="L16" s="50"/>
      <c r="M16" s="50"/>
      <c r="N16" s="47"/>
      <c r="O16" s="47"/>
      <c r="P16" s="117" t="s">
        <v>72</v>
      </c>
      <c r="Q16" s="50"/>
      <c r="S16" s="52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2:26" x14ac:dyDescent="0.25">
      <c r="B17" s="48" t="s">
        <v>0</v>
      </c>
      <c r="C17" s="47" t="s">
        <v>73</v>
      </c>
      <c r="D17" s="48" t="s">
        <v>75</v>
      </c>
      <c r="E17" s="48"/>
      <c r="F17" s="47"/>
      <c r="G17" s="47" t="s">
        <v>31</v>
      </c>
      <c r="H17" s="47" t="s">
        <v>73</v>
      </c>
      <c r="J17" s="29"/>
      <c r="K17" s="46" t="s">
        <v>0</v>
      </c>
      <c r="L17" s="46" t="s">
        <v>73</v>
      </c>
      <c r="M17" s="46" t="s">
        <v>75</v>
      </c>
      <c r="N17" s="47"/>
      <c r="O17" s="47"/>
      <c r="P17" s="46" t="s">
        <v>31</v>
      </c>
      <c r="Q17" s="46" t="s">
        <v>73</v>
      </c>
      <c r="S17" s="52"/>
      <c r="T17" s="34">
        <f t="shared" ref="T17:T22" si="6">EXP(((LN(2)-LN(G40))/2)+GAMMALN((G40+1)/2)-GAMMALN(G40/2))</f>
        <v>0.98693426752465663</v>
      </c>
      <c r="U17" s="34">
        <f t="shared" ref="U17:U22" si="7">T17*F40</f>
        <v>-3.4759347119556532</v>
      </c>
      <c r="V17" s="34">
        <f t="shared" ref="V17:V22" si="8">1+(F40^2)*(1-T17^2)</f>
        <v>1.3220208749704752</v>
      </c>
      <c r="W17" s="34">
        <f t="shared" ref="W17:W22" si="9">(2*U17^3)-((2*G40-1)/G40)*(F40^2*U17)</f>
        <v>-3.0615620929523857E-2</v>
      </c>
      <c r="X17" s="56">
        <f t="shared" ref="X17:X22" si="10">W17/SQRT(V17)^3</f>
        <v>-2.0141212095488033E-2</v>
      </c>
      <c r="Y17" s="105">
        <f t="shared" ref="Y17:Z22" si="11">IF($X17&lt;0.001,Y33,Y25)</f>
        <v>-5.7294849668417287</v>
      </c>
      <c r="Z17" s="105">
        <f t="shared" si="11"/>
        <v>-1.2223844570695777</v>
      </c>
    </row>
    <row r="18" spans="2:26" x14ac:dyDescent="0.25">
      <c r="B18" s="48">
        <v>1.1000000000000001</v>
      </c>
      <c r="C18" s="47">
        <f>IF(H7="",NA(),H7)</f>
        <v>-1.7445976311755844</v>
      </c>
      <c r="D18" s="48">
        <f t="shared" ref="D18:D35" si="12">C18</f>
        <v>-1.7445976311755844</v>
      </c>
      <c r="E18" s="48"/>
      <c r="F18" s="47"/>
      <c r="G18" s="47">
        <v>0.5</v>
      </c>
      <c r="H18" s="47">
        <f>C$40</f>
        <v>0</v>
      </c>
      <c r="J18" s="29"/>
      <c r="K18" s="48">
        <v>1.1000000000000001</v>
      </c>
      <c r="L18" s="48">
        <f>IF(Q7="",NA(),Q7)</f>
        <v>-0.2733334740646749</v>
      </c>
      <c r="M18" s="48">
        <f t="shared" ref="M18:M35" si="13">L18</f>
        <v>-0.2733334740646749</v>
      </c>
      <c r="N18" s="48"/>
      <c r="O18" s="48"/>
      <c r="P18" s="47">
        <v>0.5</v>
      </c>
      <c r="Q18" s="47">
        <f>L$40</f>
        <v>0</v>
      </c>
      <c r="S18" s="52"/>
      <c r="T18" s="36" t="e">
        <f t="shared" si="6"/>
        <v>#VALUE!</v>
      </c>
      <c r="U18" s="36" t="e">
        <f t="shared" si="7"/>
        <v>#VALUE!</v>
      </c>
      <c r="V18" s="36" t="e">
        <f t="shared" si="8"/>
        <v>#VALUE!</v>
      </c>
      <c r="W18" s="36" t="e">
        <f t="shared" si="9"/>
        <v>#VALUE!</v>
      </c>
      <c r="X18" s="56" t="e">
        <f t="shared" si="10"/>
        <v>#VALUE!</v>
      </c>
      <c r="Y18" s="105" t="e">
        <f t="shared" si="11"/>
        <v>#VALUE!</v>
      </c>
      <c r="Z18" s="105" t="e">
        <f t="shared" si="11"/>
        <v>#VALUE!</v>
      </c>
    </row>
    <row r="19" spans="2:26" x14ac:dyDescent="0.25">
      <c r="B19" s="48">
        <v>1.1000000000000001</v>
      </c>
      <c r="C19" s="47">
        <f>IF(D7="",NA(),D7)</f>
        <v>-4.3000000000000007</v>
      </c>
      <c r="D19" s="48">
        <f t="shared" si="12"/>
        <v>-4.3000000000000007</v>
      </c>
      <c r="E19" s="48"/>
      <c r="F19" s="47"/>
      <c r="G19" s="47">
        <v>1</v>
      </c>
      <c r="H19" s="47">
        <f>C$40</f>
        <v>0</v>
      </c>
      <c r="J19" s="29"/>
      <c r="K19" s="48">
        <v>1.1000000000000001</v>
      </c>
      <c r="L19" s="47">
        <f>IF(M7="",NA(),M7)</f>
        <v>-0.76964939148327915</v>
      </c>
      <c r="M19" s="48">
        <f t="shared" si="13"/>
        <v>-0.76964939148327915</v>
      </c>
      <c r="N19" s="48"/>
      <c r="O19" s="48"/>
      <c r="P19" s="47">
        <v>1</v>
      </c>
      <c r="Q19" s="47">
        <f>L$40</f>
        <v>0</v>
      </c>
      <c r="S19" s="52"/>
      <c r="T19" s="36" t="e">
        <f t="shared" si="6"/>
        <v>#VALUE!</v>
      </c>
      <c r="U19" s="36" t="e">
        <f t="shared" si="7"/>
        <v>#VALUE!</v>
      </c>
      <c r="V19" s="36" t="e">
        <f t="shared" si="8"/>
        <v>#VALUE!</v>
      </c>
      <c r="W19" s="36" t="e">
        <f t="shared" si="9"/>
        <v>#VALUE!</v>
      </c>
      <c r="X19" s="56" t="e">
        <f t="shared" si="10"/>
        <v>#VALUE!</v>
      </c>
      <c r="Y19" s="105" t="e">
        <f t="shared" si="11"/>
        <v>#VALUE!</v>
      </c>
      <c r="Z19" s="105" t="e">
        <f t="shared" si="11"/>
        <v>#VALUE!</v>
      </c>
    </row>
    <row r="20" spans="2:26" ht="15.75" x14ac:dyDescent="0.25">
      <c r="B20" s="48">
        <v>1.1000000000000001</v>
      </c>
      <c r="C20" s="47">
        <f>IF(G7="",NA(),G7)</f>
        <v>-6.855402368824417</v>
      </c>
      <c r="D20" s="48">
        <f t="shared" si="12"/>
        <v>-6.855402368824417</v>
      </c>
      <c r="E20" s="48"/>
      <c r="F20" s="47"/>
      <c r="G20" s="47">
        <v>1.5</v>
      </c>
      <c r="H20" s="47">
        <f>C$40</f>
        <v>0</v>
      </c>
      <c r="J20" s="29"/>
      <c r="K20" s="48">
        <v>1.1000000000000001</v>
      </c>
      <c r="L20" s="48">
        <f>IF(P7="",NA(),P7)</f>
        <v>-1.2811517861921233</v>
      </c>
      <c r="M20" s="48">
        <f t="shared" si="13"/>
        <v>-1.2811517861921233</v>
      </c>
      <c r="N20" s="48"/>
      <c r="O20" s="48"/>
      <c r="P20" s="47">
        <v>1.5</v>
      </c>
      <c r="Q20" s="47">
        <f>L$40</f>
        <v>0</v>
      </c>
      <c r="S20" s="4"/>
      <c r="T20" s="36">
        <f t="shared" si="6"/>
        <v>0.98693426752465663</v>
      </c>
      <c r="U20" s="36">
        <f t="shared" si="7"/>
        <v>-3.4858677529099067</v>
      </c>
      <c r="V20" s="36">
        <f t="shared" si="8"/>
        <v>1.3238639572648299</v>
      </c>
      <c r="W20" s="36">
        <f t="shared" si="9"/>
        <v>-3.0878838827902655E-2</v>
      </c>
      <c r="X20" s="56">
        <f t="shared" si="10"/>
        <v>-2.0271968512742187E-2</v>
      </c>
      <c r="Y20" s="105">
        <f t="shared" si="11"/>
        <v>-5.7409883430411774</v>
      </c>
      <c r="Z20" s="105">
        <f t="shared" si="11"/>
        <v>-1.2307471627786364</v>
      </c>
    </row>
    <row r="21" spans="2:26" x14ac:dyDescent="0.25">
      <c r="B21" s="48">
        <v>2.1</v>
      </c>
      <c r="C21" s="47" t="e">
        <f>IF(H8="",NA(),H8)</f>
        <v>#N/A</v>
      </c>
      <c r="D21" s="48" t="e">
        <f t="shared" si="12"/>
        <v>#N/A</v>
      </c>
      <c r="E21" s="48"/>
      <c r="F21" s="47"/>
      <c r="G21" s="47">
        <v>1.5</v>
      </c>
      <c r="H21" s="47">
        <f>C$41</f>
        <v>0</v>
      </c>
      <c r="J21" s="29"/>
      <c r="K21" s="48">
        <v>2.1</v>
      </c>
      <c r="L21" s="48" t="e">
        <f>IF(Q8="",NA(),Q8)</f>
        <v>#N/A</v>
      </c>
      <c r="M21" s="48" t="e">
        <f t="shared" si="13"/>
        <v>#N/A</v>
      </c>
      <c r="N21" s="48"/>
      <c r="O21" s="48"/>
      <c r="P21" s="47">
        <v>1.5</v>
      </c>
      <c r="Q21" s="47">
        <f>L$41</f>
        <v>0</v>
      </c>
      <c r="S21" s="52"/>
      <c r="T21" s="106">
        <f t="shared" si="6"/>
        <v>0.98693426752465663</v>
      </c>
      <c r="U21" s="106">
        <f t="shared" si="7"/>
        <v>0.2623703627141466</v>
      </c>
      <c r="V21" s="106">
        <f t="shared" si="8"/>
        <v>1.0018347223691679</v>
      </c>
      <c r="W21" s="106">
        <f t="shared" si="9"/>
        <v>1.3166567422354114E-5</v>
      </c>
      <c r="X21" s="56">
        <f t="shared" si="10"/>
        <v>1.3130414853764705E-5</v>
      </c>
      <c r="Y21" s="105">
        <f t="shared" si="11"/>
        <v>-1.6993907927588352</v>
      </c>
      <c r="Z21" s="105">
        <f t="shared" si="11"/>
        <v>2.2241315181871286</v>
      </c>
    </row>
    <row r="22" spans="2:26" ht="15.75" thickBot="1" x14ac:dyDescent="0.3">
      <c r="B22" s="48">
        <v>2.1</v>
      </c>
      <c r="C22" s="47" t="e">
        <f>IF(D8="",NA(),D8)</f>
        <v>#N/A</v>
      </c>
      <c r="D22" s="48" t="e">
        <f t="shared" si="12"/>
        <v>#N/A</v>
      </c>
      <c r="E22" s="48"/>
      <c r="F22" s="47"/>
      <c r="G22" s="47">
        <v>2</v>
      </c>
      <c r="H22" s="47">
        <f>C$41</f>
        <v>0</v>
      </c>
      <c r="J22" s="29"/>
      <c r="K22" s="48">
        <v>2.1</v>
      </c>
      <c r="L22" s="47" t="e">
        <f>IF(M8="",NA(),M8)</f>
        <v>#N/A</v>
      </c>
      <c r="M22" s="48" t="e">
        <f t="shared" si="13"/>
        <v>#N/A</v>
      </c>
      <c r="N22" s="48"/>
      <c r="O22" s="48"/>
      <c r="P22" s="47">
        <v>2</v>
      </c>
      <c r="Q22" s="47">
        <f>L$41</f>
        <v>0</v>
      </c>
      <c r="S22" s="52"/>
      <c r="T22" s="106" t="e">
        <f t="shared" si="6"/>
        <v>#VALUE!</v>
      </c>
      <c r="U22" s="106" t="e">
        <f t="shared" si="7"/>
        <v>#VALUE!</v>
      </c>
      <c r="V22" s="106" t="e">
        <f t="shared" si="8"/>
        <v>#VALUE!</v>
      </c>
      <c r="W22" s="106" t="e">
        <f t="shared" si="9"/>
        <v>#VALUE!</v>
      </c>
      <c r="X22" s="56" t="e">
        <f t="shared" si="10"/>
        <v>#VALUE!</v>
      </c>
      <c r="Y22" s="105" t="e">
        <f t="shared" si="11"/>
        <v>#VALUE!</v>
      </c>
      <c r="Z22" s="105" t="e">
        <f t="shared" si="11"/>
        <v>#VALUE!</v>
      </c>
    </row>
    <row r="23" spans="2:26" ht="15.75" thickBot="1" x14ac:dyDescent="0.3">
      <c r="B23" s="48">
        <v>2.1</v>
      </c>
      <c r="C23" s="48" t="e">
        <f>IF(G8="",NA(),G8)</f>
        <v>#N/A</v>
      </c>
      <c r="D23" s="48" t="e">
        <f t="shared" si="12"/>
        <v>#N/A</v>
      </c>
      <c r="E23" s="47"/>
      <c r="F23" s="47"/>
      <c r="G23" s="47">
        <v>2.5</v>
      </c>
      <c r="H23" s="47">
        <f>C$41</f>
        <v>0</v>
      </c>
      <c r="J23" s="29"/>
      <c r="K23" s="48">
        <v>2.1</v>
      </c>
      <c r="L23" s="48" t="e">
        <f>IF(P8="",NA(),P8)</f>
        <v>#N/A</v>
      </c>
      <c r="M23" s="48" t="e">
        <f t="shared" si="13"/>
        <v>#N/A</v>
      </c>
      <c r="N23" s="48"/>
      <c r="O23" s="48"/>
      <c r="P23" s="47">
        <v>2.5</v>
      </c>
      <c r="Q23" s="47">
        <f>L$41</f>
        <v>0</v>
      </c>
      <c r="S23" s="52"/>
      <c r="T23" s="109"/>
      <c r="U23" s="109"/>
      <c r="V23" s="109"/>
      <c r="W23" s="109"/>
      <c r="X23" s="109"/>
      <c r="Y23" s="109"/>
      <c r="Z23" s="109"/>
    </row>
    <row r="24" spans="2:26" ht="15.75" thickBot="1" x14ac:dyDescent="0.3">
      <c r="B24" s="48">
        <v>3.1</v>
      </c>
      <c r="C24" s="48" t="e">
        <f>IF(H9="",NA(),H9)</f>
        <v>#N/A</v>
      </c>
      <c r="D24" s="48" t="e">
        <f t="shared" si="12"/>
        <v>#N/A</v>
      </c>
      <c r="E24" s="47"/>
      <c r="F24" s="47"/>
      <c r="G24" s="47">
        <v>2.5</v>
      </c>
      <c r="H24" s="47">
        <f>C$42</f>
        <v>0</v>
      </c>
      <c r="J24" s="29"/>
      <c r="K24" s="48">
        <v>3.1</v>
      </c>
      <c r="L24" s="48" t="e">
        <f>IF(Q9="",NA(),Q9)</f>
        <v>#N/A</v>
      </c>
      <c r="M24" s="48" t="e">
        <f t="shared" si="13"/>
        <v>#N/A</v>
      </c>
      <c r="N24" s="48"/>
      <c r="O24" s="48"/>
      <c r="P24" s="47">
        <v>2.5</v>
      </c>
      <c r="Q24" s="47">
        <f>L$42</f>
        <v>0</v>
      </c>
      <c r="S24" s="52"/>
      <c r="T24" s="82" t="s">
        <v>14</v>
      </c>
      <c r="U24" s="82" t="s">
        <v>15</v>
      </c>
      <c r="V24" s="82" t="s">
        <v>16</v>
      </c>
      <c r="W24" s="82" t="s">
        <v>17</v>
      </c>
      <c r="X24" s="82" t="s">
        <v>18</v>
      </c>
      <c r="Y24" s="82" t="s">
        <v>19</v>
      </c>
      <c r="Z24" s="82" t="s">
        <v>20</v>
      </c>
    </row>
    <row r="25" spans="2:26" x14ac:dyDescent="0.25">
      <c r="B25" s="48">
        <v>3.1</v>
      </c>
      <c r="C25" s="48" t="e">
        <f>IF(D9="",NA(),D9)</f>
        <v>#N/A</v>
      </c>
      <c r="D25" s="48" t="e">
        <f t="shared" si="12"/>
        <v>#N/A</v>
      </c>
      <c r="E25" s="47"/>
      <c r="F25" s="47"/>
      <c r="G25" s="47">
        <v>3</v>
      </c>
      <c r="H25" s="47">
        <f>C$42</f>
        <v>0</v>
      </c>
      <c r="J25" s="29"/>
      <c r="K25" s="48">
        <v>3.1</v>
      </c>
      <c r="L25" s="47" t="e">
        <f>IF(M9="",NA(),M9)</f>
        <v>#N/A</v>
      </c>
      <c r="M25" s="48" t="e">
        <f t="shared" si="13"/>
        <v>#N/A</v>
      </c>
      <c r="N25" s="48"/>
      <c r="O25" s="48"/>
      <c r="P25" s="47">
        <v>3</v>
      </c>
      <c r="Q25" s="47">
        <f>L$42</f>
        <v>0</v>
      </c>
      <c r="S25" s="52"/>
      <c r="T25" s="34">
        <f t="shared" ref="T25:T30" si="14">W17/(4*V17)</f>
        <v>-5.7895494521233637E-3</v>
      </c>
      <c r="U25" s="34">
        <f t="shared" ref="U25:U30" si="15">V17/(2*T25^2)</f>
        <v>19720.53902494537</v>
      </c>
      <c r="V25" s="34">
        <f t="shared" ref="V25:V30" si="16">U17-(U25*T25)</f>
        <v>110.69710119549423</v>
      </c>
      <c r="W25" s="34">
        <f t="shared" ref="W25:W30" si="17">2*GAMMAINV((1-$Q$4/100)/2,U25/2,1)</f>
        <v>19333.192285096728</v>
      </c>
      <c r="X25" s="34">
        <f t="shared" ref="X25:X30" si="18">2*GAMMAINV(1-(1-$Q$4/100)/2,U25/2,1)</f>
        <v>20111.6743489281</v>
      </c>
      <c r="Y25" s="34">
        <f t="shared" ref="Y25:Y30" si="19">IF(F40&gt;0,V25+(T25*W25),V25+(T25*X25))</f>
        <v>-5.7404320126259591</v>
      </c>
      <c r="Z25" s="34">
        <f t="shared" ref="Z25:Z30" si="20">IF(F40&gt;0,V25+(T25*X25),V25+(T25*W25))</f>
        <v>-1.2333716064831748</v>
      </c>
    </row>
    <row r="26" spans="2:26" x14ac:dyDescent="0.25">
      <c r="B26" s="48">
        <v>3.1</v>
      </c>
      <c r="C26" s="48" t="e">
        <f>IF(G9="",NA(),G9)</f>
        <v>#N/A</v>
      </c>
      <c r="D26" s="48" t="e">
        <f t="shared" si="12"/>
        <v>#N/A</v>
      </c>
      <c r="E26" s="48"/>
      <c r="F26" s="48"/>
      <c r="G26" s="47">
        <v>3.5</v>
      </c>
      <c r="H26" s="47">
        <f>C$42</f>
        <v>0</v>
      </c>
      <c r="J26" s="29"/>
      <c r="K26" s="48">
        <v>3.1</v>
      </c>
      <c r="L26" s="48" t="e">
        <f>IF(P9="",NA(),P9)</f>
        <v>#N/A</v>
      </c>
      <c r="M26" s="48" t="e">
        <f t="shared" si="13"/>
        <v>#N/A</v>
      </c>
      <c r="N26" s="48"/>
      <c r="O26" s="48"/>
      <c r="P26" s="47">
        <v>3.5</v>
      </c>
      <c r="Q26" s="47">
        <f>L$42</f>
        <v>0</v>
      </c>
      <c r="S26" s="52"/>
      <c r="T26" s="36" t="e">
        <f t="shared" si="14"/>
        <v>#VALUE!</v>
      </c>
      <c r="U26" s="36" t="e">
        <f t="shared" si="15"/>
        <v>#VALUE!</v>
      </c>
      <c r="V26" s="36" t="e">
        <f t="shared" si="16"/>
        <v>#VALUE!</v>
      </c>
      <c r="W26" s="36" t="e">
        <f t="shared" si="17"/>
        <v>#VALUE!</v>
      </c>
      <c r="X26" s="36" t="e">
        <f t="shared" si="18"/>
        <v>#VALUE!</v>
      </c>
      <c r="Y26" s="36" t="e">
        <f t="shared" si="19"/>
        <v>#VALUE!</v>
      </c>
      <c r="Z26" s="36" t="e">
        <f t="shared" si="20"/>
        <v>#VALUE!</v>
      </c>
    </row>
    <row r="27" spans="2:26" x14ac:dyDescent="0.25">
      <c r="B27" s="48">
        <v>4.0999999999999996</v>
      </c>
      <c r="C27" s="48">
        <f>IF(H10="",NA(),H10)</f>
        <v>-1.6703965368936373</v>
      </c>
      <c r="D27" s="48">
        <f t="shared" si="12"/>
        <v>-1.6703965368936373</v>
      </c>
      <c r="E27" s="48"/>
      <c r="F27" s="48"/>
      <c r="G27" s="47">
        <v>3.5</v>
      </c>
      <c r="H27" s="47">
        <f>C$43</f>
        <v>0</v>
      </c>
      <c r="J27" s="29"/>
      <c r="K27" s="48">
        <v>4.0999999999999996</v>
      </c>
      <c r="L27" s="48">
        <f>IF(Q10="",NA(),Q10)</f>
        <v>-0.27520343190880298</v>
      </c>
      <c r="M27" s="48">
        <f t="shared" si="13"/>
        <v>-0.27520343190880298</v>
      </c>
      <c r="N27" s="48"/>
      <c r="O27" s="48"/>
      <c r="P27" s="47">
        <v>3.5</v>
      </c>
      <c r="Q27" s="47">
        <f>L$43</f>
        <v>0</v>
      </c>
      <c r="S27" s="52"/>
      <c r="T27" s="36" t="e">
        <f t="shared" si="14"/>
        <v>#VALUE!</v>
      </c>
      <c r="U27" s="36" t="e">
        <f t="shared" si="15"/>
        <v>#VALUE!</v>
      </c>
      <c r="V27" s="36" t="e">
        <f t="shared" si="16"/>
        <v>#VALUE!</v>
      </c>
      <c r="W27" s="36" t="e">
        <f t="shared" si="17"/>
        <v>#VALUE!</v>
      </c>
      <c r="X27" s="36" t="e">
        <f t="shared" si="18"/>
        <v>#VALUE!</v>
      </c>
      <c r="Y27" s="36" t="e">
        <f t="shared" si="19"/>
        <v>#VALUE!</v>
      </c>
      <c r="Z27" s="36" t="e">
        <f t="shared" si="20"/>
        <v>#VALUE!</v>
      </c>
    </row>
    <row r="28" spans="2:26" x14ac:dyDescent="0.25">
      <c r="B28" s="48">
        <v>4.0999999999999996</v>
      </c>
      <c r="C28" s="48">
        <f>IF(D10="",NA(),D10)</f>
        <v>-4.0999999999999979</v>
      </c>
      <c r="D28" s="48">
        <f t="shared" si="12"/>
        <v>-4.0999999999999979</v>
      </c>
      <c r="E28" s="48"/>
      <c r="F28" s="48"/>
      <c r="G28" s="47">
        <v>4</v>
      </c>
      <c r="H28" s="47">
        <f>C$43</f>
        <v>0</v>
      </c>
      <c r="J28" s="29"/>
      <c r="K28" s="47">
        <v>4.0999999999999996</v>
      </c>
      <c r="L28" s="47">
        <f>IF(M10="",NA(),M10)</f>
        <v>-0.74274284032493221</v>
      </c>
      <c r="M28" s="48">
        <f t="shared" si="13"/>
        <v>-0.74274284032493221</v>
      </c>
      <c r="N28" s="48"/>
      <c r="O28" s="48"/>
      <c r="P28" s="47">
        <v>4</v>
      </c>
      <c r="Q28" s="47">
        <f>L$43</f>
        <v>0</v>
      </c>
      <c r="S28" s="52"/>
      <c r="T28" s="36">
        <f t="shared" si="14"/>
        <v>-5.8311956184115598E-3</v>
      </c>
      <c r="U28" s="36">
        <f t="shared" si="15"/>
        <v>19466.9602032119</v>
      </c>
      <c r="V28" s="36">
        <f t="shared" si="16"/>
        <v>110.02978528785152</v>
      </c>
      <c r="W28" s="36">
        <f t="shared" si="17"/>
        <v>19082.124155295311</v>
      </c>
      <c r="X28" s="36">
        <f t="shared" si="18"/>
        <v>19855.584834902696</v>
      </c>
      <c r="Y28" s="36">
        <f t="shared" si="19"/>
        <v>-5.7520140024320909</v>
      </c>
      <c r="Z28" s="36">
        <f t="shared" si="20"/>
        <v>-1.2418134764918705</v>
      </c>
    </row>
    <row r="29" spans="2:26" x14ac:dyDescent="0.25">
      <c r="B29" s="48">
        <v>4.0999999999999996</v>
      </c>
      <c r="C29" s="48">
        <f>IF(G10="",NA(),G10)</f>
        <v>-6.5296034631063584</v>
      </c>
      <c r="D29" s="48">
        <f t="shared" si="12"/>
        <v>-6.5296034631063584</v>
      </c>
      <c r="E29" s="48"/>
      <c r="F29" s="48"/>
      <c r="G29" s="47">
        <v>4.5</v>
      </c>
      <c r="H29" s="47">
        <f>C$43</f>
        <v>0</v>
      </c>
      <c r="J29" s="29"/>
      <c r="K29" s="47">
        <v>4.0999999999999996</v>
      </c>
      <c r="L29" s="48">
        <f>IF(P10="",NA(),P10)</f>
        <v>-1.2837240193073953</v>
      </c>
      <c r="M29" s="48">
        <f t="shared" si="13"/>
        <v>-1.2837240193073953</v>
      </c>
      <c r="N29" s="48"/>
      <c r="O29" s="48"/>
      <c r="P29" s="47">
        <v>4.5</v>
      </c>
      <c r="Q29" s="47">
        <f>L$43</f>
        <v>0</v>
      </c>
      <c r="S29" s="52"/>
      <c r="T29" s="106">
        <f t="shared" si="14"/>
        <v>3.2856136666977944E-6</v>
      </c>
      <c r="U29" s="106">
        <f t="shared" si="15"/>
        <v>46401614472.466675</v>
      </c>
      <c r="V29" s="106">
        <f t="shared" si="16"/>
        <v>-152457.51629721597</v>
      </c>
      <c r="W29" s="106">
        <f t="shared" si="17"/>
        <v>46413351947.636818</v>
      </c>
      <c r="X29" s="66">
        <f t="shared" si="18"/>
        <v>46414546284.902199</v>
      </c>
      <c r="Y29" s="66">
        <f t="shared" si="19"/>
        <v>38.827179194253404</v>
      </c>
      <c r="Z29" s="66">
        <f t="shared" si="20"/>
        <v>42.751310036022915</v>
      </c>
    </row>
    <row r="30" spans="2:26" ht="15.75" thickBot="1" x14ac:dyDescent="0.3">
      <c r="B30" s="48">
        <v>5.0999999999999996</v>
      </c>
      <c r="C30" s="48">
        <f>IF(H11="",NA(),H11)</f>
        <v>1.7746269057832165</v>
      </c>
      <c r="D30" s="48">
        <f t="shared" si="12"/>
        <v>1.7746269057832165</v>
      </c>
      <c r="E30" s="48"/>
      <c r="F30" s="48"/>
      <c r="G30" s="47">
        <v>4.5</v>
      </c>
      <c r="H30" s="47">
        <f>C$44</f>
        <v>0</v>
      </c>
      <c r="J30" s="29"/>
      <c r="K30" s="48">
        <v>5.0999999999999996</v>
      </c>
      <c r="L30" s="48">
        <f>IF(Q11="",NA(),Q11)</f>
        <v>0.49733092655662292</v>
      </c>
      <c r="M30" s="48">
        <f t="shared" si="13"/>
        <v>0.49733092655662292</v>
      </c>
      <c r="N30" s="48"/>
      <c r="O30" s="48"/>
      <c r="P30" s="48">
        <v>4.5</v>
      </c>
      <c r="Q30" s="47">
        <f>L$44</f>
        <v>0</v>
      </c>
      <c r="S30" s="52"/>
      <c r="T30" s="108" t="e">
        <f t="shared" si="14"/>
        <v>#VALUE!</v>
      </c>
      <c r="U30" s="108" t="e">
        <f t="shared" si="15"/>
        <v>#VALUE!</v>
      </c>
      <c r="V30" s="108" t="e">
        <f t="shared" si="16"/>
        <v>#VALUE!</v>
      </c>
      <c r="W30" s="108" t="e">
        <f t="shared" si="17"/>
        <v>#VALUE!</v>
      </c>
      <c r="X30" s="110" t="e">
        <f t="shared" si="18"/>
        <v>#VALUE!</v>
      </c>
      <c r="Y30" s="110" t="e">
        <f t="shared" si="19"/>
        <v>#VALUE!</v>
      </c>
      <c r="Z30" s="110" t="e">
        <f t="shared" si="20"/>
        <v>#VALUE!</v>
      </c>
    </row>
    <row r="31" spans="2:26" ht="15.75" thickBot="1" x14ac:dyDescent="0.3">
      <c r="B31" s="48">
        <v>5.0999999999999996</v>
      </c>
      <c r="C31" s="48">
        <f>IF(D11="",NA(),D11)</f>
        <v>0.20000000000000284</v>
      </c>
      <c r="D31" s="48">
        <f t="shared" si="12"/>
        <v>0.20000000000000284</v>
      </c>
      <c r="E31" s="48"/>
      <c r="F31" s="48"/>
      <c r="G31" s="47">
        <v>5</v>
      </c>
      <c r="H31" s="47">
        <f>C$44</f>
        <v>0</v>
      </c>
      <c r="J31" s="29"/>
      <c r="K31" s="48">
        <v>5.0999999999999996</v>
      </c>
      <c r="L31" s="47">
        <f>IF(M11="",NA(),M11)</f>
        <v>4.0941935672069239E-2</v>
      </c>
      <c r="M31" s="48">
        <f t="shared" si="13"/>
        <v>4.0941935672069239E-2</v>
      </c>
      <c r="N31" s="48"/>
      <c r="O31" s="48"/>
      <c r="P31" s="48">
        <v>5</v>
      </c>
      <c r="Q31" s="47">
        <f>L$44</f>
        <v>0</v>
      </c>
      <c r="S31" s="52"/>
      <c r="T31" s="52"/>
      <c r="U31" s="52"/>
      <c r="V31" s="52"/>
      <c r="W31" s="52"/>
      <c r="X31" s="52"/>
      <c r="Y31" s="52"/>
      <c r="Z31" s="52"/>
    </row>
    <row r="32" spans="2:26" ht="15.75" thickBot="1" x14ac:dyDescent="0.3">
      <c r="B32" s="48">
        <v>5.0999999999999996</v>
      </c>
      <c r="C32" s="48">
        <f>IF(G11="",NA(),G11)</f>
        <v>-1.3746269057832108</v>
      </c>
      <c r="D32" s="48">
        <f t="shared" si="12"/>
        <v>-1.3746269057832108</v>
      </c>
      <c r="E32" s="48"/>
      <c r="F32" s="48"/>
      <c r="G32" s="48">
        <v>5.5</v>
      </c>
      <c r="H32" s="47">
        <f>C$44</f>
        <v>0</v>
      </c>
      <c r="K32" s="48">
        <v>5.0999999999999996</v>
      </c>
      <c r="L32" s="48">
        <f>IF(P11="",NA(),P11)</f>
        <v>-0.37999533329460128</v>
      </c>
      <c r="M32" s="48">
        <f t="shared" si="13"/>
        <v>-0.37999533329460128</v>
      </c>
      <c r="N32" s="48"/>
      <c r="O32" s="48"/>
      <c r="P32" s="48">
        <v>5.5</v>
      </c>
      <c r="Q32" s="47">
        <f>L$44</f>
        <v>0</v>
      </c>
      <c r="S32" s="52"/>
      <c r="V32" s="82" t="s">
        <v>69</v>
      </c>
      <c r="W32" s="82" t="s">
        <v>70</v>
      </c>
      <c r="X32" s="82" t="s">
        <v>71</v>
      </c>
      <c r="Y32" s="82" t="s">
        <v>19</v>
      </c>
      <c r="Z32" s="82" t="s">
        <v>20</v>
      </c>
    </row>
    <row r="33" spans="2:26" ht="15.75" x14ac:dyDescent="0.25">
      <c r="B33" s="48">
        <v>6.1</v>
      </c>
      <c r="C33" s="48" t="e">
        <f>IF(H12="",NA(),H12)</f>
        <v>#N/A</v>
      </c>
      <c r="D33" s="48" t="e">
        <f t="shared" si="12"/>
        <v>#N/A</v>
      </c>
      <c r="E33" s="48"/>
      <c r="F33" s="48"/>
      <c r="G33" s="48">
        <v>5.5</v>
      </c>
      <c r="H33" s="47">
        <f>C$45</f>
        <v>0</v>
      </c>
      <c r="J33" s="4"/>
      <c r="K33" s="48">
        <v>6.1</v>
      </c>
      <c r="L33" s="48" t="e">
        <f>IF(Q12="",NA(),Q12)</f>
        <v>#N/A</v>
      </c>
      <c r="M33" s="48" t="e">
        <f t="shared" si="13"/>
        <v>#N/A</v>
      </c>
      <c r="N33" s="48"/>
      <c r="O33" s="48"/>
      <c r="P33" s="48">
        <v>5.5</v>
      </c>
      <c r="Q33" s="47">
        <f>L$45</f>
        <v>0</v>
      </c>
      <c r="S33" s="52"/>
      <c r="V33" s="35">
        <f t="shared" ref="V33:V38" si="21">SQRT(V17)</f>
        <v>1.1497916658988598</v>
      </c>
      <c r="W33" s="35">
        <f t="shared" ref="W33:W38" si="22">NORMINV((1-$Q$4/100)/2,0,1)</f>
        <v>-1.9599639845400536</v>
      </c>
      <c r="X33" s="35">
        <f t="shared" ref="X33:X38" si="23">NORMINV(1-(1-$Q$4/100)/2,0,1)</f>
        <v>1.9599639845400536</v>
      </c>
      <c r="Y33" s="35">
        <f t="shared" ref="Y33:Y38" si="24">U17+W33*V33</f>
        <v>-5.7294849668417287</v>
      </c>
      <c r="Z33" s="35">
        <f t="shared" ref="Z33:Z38" si="25">U17+X33*V33</f>
        <v>-1.2223844570695777</v>
      </c>
    </row>
    <row r="34" spans="2:26" x14ac:dyDescent="0.25">
      <c r="B34" s="48">
        <v>6.1</v>
      </c>
      <c r="C34" s="48" t="e">
        <f>IF(D12="",NA(),D12)</f>
        <v>#N/A</v>
      </c>
      <c r="D34" s="48" t="e">
        <f t="shared" si="12"/>
        <v>#N/A</v>
      </c>
      <c r="E34" s="48"/>
      <c r="F34" s="48"/>
      <c r="G34" s="48">
        <v>6</v>
      </c>
      <c r="H34" s="48">
        <f>C$45</f>
        <v>0</v>
      </c>
      <c r="K34" s="48">
        <v>6.1</v>
      </c>
      <c r="L34" s="47" t="e">
        <f>IF(M12="",NA(),M12)</f>
        <v>#N/A</v>
      </c>
      <c r="M34" s="48" t="e">
        <f t="shared" si="13"/>
        <v>#N/A</v>
      </c>
      <c r="N34" s="48"/>
      <c r="O34" s="48"/>
      <c r="P34" s="48">
        <v>6</v>
      </c>
      <c r="Q34" s="47">
        <f>L$45</f>
        <v>0</v>
      </c>
      <c r="S34" s="52"/>
      <c r="V34" s="35" t="e">
        <f t="shared" si="21"/>
        <v>#VALUE!</v>
      </c>
      <c r="W34" s="35">
        <f t="shared" si="22"/>
        <v>-1.9599639845400536</v>
      </c>
      <c r="X34" s="35">
        <f t="shared" si="23"/>
        <v>1.9599639845400536</v>
      </c>
      <c r="Y34" s="35" t="e">
        <f t="shared" si="24"/>
        <v>#VALUE!</v>
      </c>
      <c r="Z34" s="35" t="e">
        <f t="shared" si="25"/>
        <v>#VALUE!</v>
      </c>
    </row>
    <row r="35" spans="2:26" x14ac:dyDescent="0.25">
      <c r="B35" s="48">
        <v>6.1</v>
      </c>
      <c r="C35" s="48" t="e">
        <f>IF(G12="",NA(),G12)</f>
        <v>#N/A</v>
      </c>
      <c r="D35" s="48" t="e">
        <f t="shared" si="12"/>
        <v>#N/A</v>
      </c>
      <c r="E35" s="48"/>
      <c r="F35" s="48"/>
      <c r="G35" s="48">
        <v>6.5</v>
      </c>
      <c r="H35" s="48">
        <f>C$45</f>
        <v>0</v>
      </c>
      <c r="K35" s="48">
        <v>6.1</v>
      </c>
      <c r="L35" s="48" t="e">
        <f>IF(P12="",NA(),P12)</f>
        <v>#N/A</v>
      </c>
      <c r="M35" s="48" t="e">
        <f t="shared" si="13"/>
        <v>#N/A</v>
      </c>
      <c r="N35" s="48"/>
      <c r="O35" s="48"/>
      <c r="P35" s="48">
        <v>6.5</v>
      </c>
      <c r="Q35" s="47">
        <f>L$45</f>
        <v>0</v>
      </c>
      <c r="S35" s="52"/>
      <c r="V35" s="35" t="e">
        <f t="shared" si="21"/>
        <v>#VALUE!</v>
      </c>
      <c r="W35" s="35">
        <f t="shared" si="22"/>
        <v>-1.9599639845400536</v>
      </c>
      <c r="X35" s="35">
        <f t="shared" si="23"/>
        <v>1.9599639845400536</v>
      </c>
      <c r="Y35" s="35" t="e">
        <f t="shared" si="24"/>
        <v>#VALUE!</v>
      </c>
      <c r="Z35" s="35" t="e">
        <f t="shared" si="25"/>
        <v>#VALUE!</v>
      </c>
    </row>
    <row r="36" spans="2:26" x14ac:dyDescent="0.25">
      <c r="B36" s="28"/>
      <c r="C36" s="28"/>
      <c r="D36" s="28"/>
      <c r="E36" s="28"/>
      <c r="F36" s="28"/>
      <c r="G36" s="28"/>
      <c r="H36" s="28"/>
      <c r="S36" s="52"/>
      <c r="V36" s="35">
        <f t="shared" si="21"/>
        <v>1.1505928720728413</v>
      </c>
      <c r="W36" s="35">
        <f t="shared" si="22"/>
        <v>-1.9599639845400536</v>
      </c>
      <c r="X36" s="35">
        <f t="shared" si="23"/>
        <v>1.9599639845400536</v>
      </c>
      <c r="Y36" s="35">
        <f t="shared" si="24"/>
        <v>-5.7409883430411774</v>
      </c>
      <c r="Z36" s="35">
        <f t="shared" si="25"/>
        <v>-1.2307471627786364</v>
      </c>
    </row>
    <row r="37" spans="2:26" ht="15.75" x14ac:dyDescent="0.25">
      <c r="B37" s="59" t="s">
        <v>108</v>
      </c>
      <c r="C37" s="52"/>
      <c r="D37" s="52"/>
      <c r="E37" s="52"/>
      <c r="F37" s="32"/>
      <c r="G37" s="32"/>
      <c r="H37" s="32"/>
      <c r="J37" s="29"/>
      <c r="K37" s="59" t="s">
        <v>113</v>
      </c>
      <c r="L37" s="3"/>
      <c r="M37" s="3"/>
      <c r="N37" s="3"/>
      <c r="O37" s="3"/>
      <c r="P37" s="3"/>
      <c r="Q37" s="3"/>
      <c r="S37" s="52"/>
      <c r="V37" s="35">
        <f t="shared" si="21"/>
        <v>1.0009169407943739</v>
      </c>
      <c r="W37" s="35">
        <f t="shared" si="22"/>
        <v>-1.9599639845400536</v>
      </c>
      <c r="X37" s="35">
        <f t="shared" si="23"/>
        <v>1.9599639845400536</v>
      </c>
      <c r="Y37" s="35">
        <f t="shared" si="24"/>
        <v>-1.6993907927588352</v>
      </c>
      <c r="Z37" s="35">
        <f t="shared" si="25"/>
        <v>2.2241315181871286</v>
      </c>
    </row>
    <row r="38" spans="2:26" ht="15.75" thickBot="1" x14ac:dyDescent="0.3">
      <c r="B38" s="52"/>
      <c r="C38" s="52"/>
      <c r="D38" s="52"/>
      <c r="E38" s="52"/>
      <c r="F38" s="32"/>
      <c r="G38" s="32"/>
      <c r="H38" s="32"/>
      <c r="J38" s="29"/>
      <c r="K38" s="3"/>
      <c r="L38" s="3"/>
      <c r="M38" s="3"/>
      <c r="N38" s="3"/>
      <c r="O38" s="3"/>
      <c r="P38" s="3"/>
      <c r="Q38" s="3"/>
      <c r="S38" s="52"/>
      <c r="V38" s="35" t="e">
        <f t="shared" si="21"/>
        <v>#VALUE!</v>
      </c>
      <c r="W38" s="35">
        <f t="shared" si="22"/>
        <v>-1.9599639845400536</v>
      </c>
      <c r="X38" s="35">
        <f t="shared" si="23"/>
        <v>1.9599639845400536</v>
      </c>
      <c r="Y38" s="35" t="e">
        <f t="shared" si="24"/>
        <v>#VALUE!</v>
      </c>
      <c r="Z38" s="35" t="e">
        <f t="shared" si="25"/>
        <v>#VALUE!</v>
      </c>
    </row>
    <row r="39" spans="2:26" ht="15.75" thickBot="1" x14ac:dyDescent="0.3">
      <c r="B39" s="103" t="s">
        <v>61</v>
      </c>
      <c r="C39" s="150" t="s">
        <v>32</v>
      </c>
      <c r="D39" s="104" t="s">
        <v>48</v>
      </c>
      <c r="E39" s="104" t="s">
        <v>76</v>
      </c>
      <c r="F39" s="82" t="s">
        <v>9</v>
      </c>
      <c r="G39" s="62" t="s">
        <v>2</v>
      </c>
      <c r="H39" s="82" t="s">
        <v>47</v>
      </c>
      <c r="J39" s="29"/>
      <c r="K39" s="156" t="s">
        <v>61</v>
      </c>
      <c r="L39" s="61" t="s">
        <v>34</v>
      </c>
      <c r="M39" s="3"/>
      <c r="N39" s="3"/>
      <c r="O39" s="3"/>
      <c r="P39" s="3"/>
      <c r="Q39" s="3"/>
      <c r="S39" s="52"/>
      <c r="V39" s="38"/>
      <c r="W39" s="38"/>
      <c r="X39" s="38"/>
      <c r="Y39" s="38"/>
      <c r="Z39" s="38"/>
    </row>
    <row r="40" spans="2:26" x14ac:dyDescent="0.25">
      <c r="B40" s="20" t="str">
        <f t="shared" ref="B40:B45" si="26">B7</f>
        <v>1 vs. 2</v>
      </c>
      <c r="C40" s="16">
        <v>0</v>
      </c>
      <c r="D40" s="21">
        <f t="shared" ref="D40:D45" si="27">IFERROR(D7-C40,"")</f>
        <v>-4.3000000000000007</v>
      </c>
      <c r="E40" s="21">
        <f t="shared" ref="E40:E45" si="28">F7</f>
        <v>1.2209139992644855</v>
      </c>
      <c r="F40" s="34">
        <f t="shared" ref="F40:F45" si="29">IFERROR(D40/E40,"")</f>
        <v>-3.5219515892113997</v>
      </c>
      <c r="G40" s="53">
        <f>IF(B40="","",Data!V7-1)</f>
        <v>19</v>
      </c>
      <c r="H40" s="21">
        <f t="shared" ref="H40:H45" si="30">IFERROR(IF(TDIST(ABS(F40),G40,2)&lt;0.001,"&lt; 0.001",TDIST(ABS(F40),G40,2)),"")</f>
        <v>2.2789095284560809E-3</v>
      </c>
      <c r="J40" s="29"/>
      <c r="K40" s="20" t="str">
        <f t="shared" ref="K40:K45" si="31">K7</f>
        <v>1 vs. 2</v>
      </c>
      <c r="L40" s="16">
        <v>0</v>
      </c>
      <c r="M40" s="3"/>
      <c r="N40" s="3"/>
      <c r="O40" s="3"/>
      <c r="P40" s="3"/>
      <c r="Q40" s="3"/>
    </row>
    <row r="41" spans="2:26" x14ac:dyDescent="0.25">
      <c r="B41" s="22" t="str">
        <f t="shared" si="26"/>
        <v/>
      </c>
      <c r="C41" s="17"/>
      <c r="D41" s="23" t="str">
        <f t="shared" si="27"/>
        <v/>
      </c>
      <c r="E41" s="23" t="str">
        <f t="shared" si="28"/>
        <v/>
      </c>
      <c r="F41" s="36" t="str">
        <f t="shared" si="29"/>
        <v/>
      </c>
      <c r="G41" s="54" t="str">
        <f>IF(B41="","",Data!V7-1)</f>
        <v/>
      </c>
      <c r="H41" s="23" t="str">
        <f t="shared" si="30"/>
        <v/>
      </c>
      <c r="J41" s="29"/>
      <c r="K41" s="22" t="str">
        <f t="shared" si="31"/>
        <v/>
      </c>
      <c r="L41" s="17"/>
      <c r="M41" s="3"/>
      <c r="N41" s="3"/>
      <c r="O41" s="3"/>
      <c r="P41" s="3"/>
      <c r="Q41" s="3"/>
    </row>
    <row r="42" spans="2:26" x14ac:dyDescent="0.25">
      <c r="B42" s="22" t="str">
        <f t="shared" si="26"/>
        <v/>
      </c>
      <c r="C42" s="17"/>
      <c r="D42" s="23" t="str">
        <f t="shared" si="27"/>
        <v/>
      </c>
      <c r="E42" s="23" t="str">
        <f t="shared" si="28"/>
        <v/>
      </c>
      <c r="F42" s="36" t="str">
        <f t="shared" si="29"/>
        <v/>
      </c>
      <c r="G42" s="54" t="str">
        <f>IF(B42="","",Data!V8-1)</f>
        <v/>
      </c>
      <c r="H42" s="23" t="str">
        <f t="shared" si="30"/>
        <v/>
      </c>
      <c r="J42" s="29"/>
      <c r="K42" s="22" t="str">
        <f t="shared" si="31"/>
        <v/>
      </c>
      <c r="L42" s="17"/>
      <c r="M42" s="3"/>
      <c r="N42" s="3"/>
      <c r="O42" s="3"/>
      <c r="P42" s="3"/>
      <c r="Q42" s="3"/>
    </row>
    <row r="43" spans="2:26" x14ac:dyDescent="0.25">
      <c r="B43" s="22" t="str">
        <f t="shared" si="26"/>
        <v>1 vs. 4</v>
      </c>
      <c r="C43" s="17">
        <v>0</v>
      </c>
      <c r="D43" s="23">
        <f t="shared" si="27"/>
        <v>-4.0999999999999979</v>
      </c>
      <c r="E43" s="23">
        <f t="shared" si="28"/>
        <v>1.1608101005763174</v>
      </c>
      <c r="F43" s="36">
        <f t="shared" si="29"/>
        <v>-3.5320161307731865</v>
      </c>
      <c r="G43" s="54">
        <f>IF(B43="","",Data!V7-1)</f>
        <v>19</v>
      </c>
      <c r="H43" s="23">
        <f t="shared" si="30"/>
        <v>2.2274109704272398E-3</v>
      </c>
      <c r="J43" s="29"/>
      <c r="K43" s="22" t="str">
        <f t="shared" si="31"/>
        <v>1 vs. 4</v>
      </c>
      <c r="L43" s="17">
        <v>0</v>
      </c>
      <c r="M43" s="3"/>
      <c r="N43" s="3"/>
      <c r="O43" s="3"/>
      <c r="P43" s="3"/>
      <c r="Q43" s="3"/>
    </row>
    <row r="44" spans="2:26" x14ac:dyDescent="0.25">
      <c r="B44" s="22" t="str">
        <f t="shared" si="26"/>
        <v>2 vs. 4</v>
      </c>
      <c r="C44" s="17">
        <v>0</v>
      </c>
      <c r="D44" s="23">
        <f t="shared" si="27"/>
        <v>0.20000000000000284</v>
      </c>
      <c r="E44" s="23">
        <f t="shared" si="28"/>
        <v>0.75232145682547147</v>
      </c>
      <c r="F44" s="36">
        <f t="shared" si="29"/>
        <v>0.26584380677367836</v>
      </c>
      <c r="G44" s="54">
        <f>IF(B44="","",Data!V7-1)</f>
        <v>19</v>
      </c>
      <c r="H44" s="23">
        <f t="shared" si="30"/>
        <v>0.79322278573312222</v>
      </c>
      <c r="J44" s="29"/>
      <c r="K44" s="22" t="str">
        <f t="shared" si="31"/>
        <v>2 vs. 4</v>
      </c>
      <c r="L44" s="17">
        <v>0</v>
      </c>
      <c r="M44" s="3"/>
      <c r="N44" s="3"/>
      <c r="O44" s="3"/>
      <c r="P44" s="3"/>
      <c r="Q44" s="3"/>
    </row>
    <row r="45" spans="2:26" ht="15.75" thickBot="1" x14ac:dyDescent="0.3">
      <c r="B45" s="24" t="str">
        <f t="shared" si="26"/>
        <v/>
      </c>
      <c r="C45" s="18"/>
      <c r="D45" s="25" t="str">
        <f t="shared" si="27"/>
        <v/>
      </c>
      <c r="E45" s="25" t="str">
        <f t="shared" si="28"/>
        <v/>
      </c>
      <c r="F45" s="37" t="str">
        <f t="shared" si="29"/>
        <v/>
      </c>
      <c r="G45" s="55" t="str">
        <f>IF(B45="","",Data!V7-1)</f>
        <v/>
      </c>
      <c r="H45" s="25" t="str">
        <f t="shared" si="30"/>
        <v/>
      </c>
      <c r="J45" s="29"/>
      <c r="K45" s="24" t="str">
        <f t="shared" si="31"/>
        <v/>
      </c>
      <c r="L45" s="18"/>
      <c r="M45" s="3"/>
      <c r="N45" s="3"/>
      <c r="O45" s="3"/>
      <c r="P45" s="3"/>
      <c r="Q45" s="3"/>
    </row>
    <row r="46" spans="2:26" x14ac:dyDescent="0.25">
      <c r="B46" s="38"/>
      <c r="C46" s="2"/>
      <c r="D46" s="38"/>
      <c r="E46" s="32"/>
      <c r="F46" s="32"/>
      <c r="G46" s="32"/>
      <c r="H46" s="32"/>
      <c r="J46" s="29"/>
      <c r="K46" s="38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2019-11-01T13:59:33Z</dcterms:modified>
</cp:coreProperties>
</file>