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17" documentId="114_{F61A9D14-E179-4905-807D-4511AC7E6B27}" xr6:coauthVersionLast="47" xr6:coauthVersionMax="47" xr10:uidLastSave="{BA64B56C-4EE6-44E8-B802-BBFB3BDA6249}"/>
  <bookViews>
    <workbookView xWindow="-108" yWindow="-108" windowWidth="23256" windowHeight="1257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<sst xmlns="http://schemas.openxmlformats.org/spreadsheetml/2006/main" count="133" uniqueCount="109">
  <si>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</si>
  <si>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</si>
  <si>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</si>
  <si>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</si>
  <si>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</si>
  <si>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</si>
  <si>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</si>
  <si>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</si>
  <si>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</si>
  <si>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</si>
  <si>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</si>
  <si>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</si>
  <si>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</si>
  <si>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</si>
  <si>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</si>
  <si>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</si>
  <si>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</si>
  <si>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</si>
  <si>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</si>
  <si>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</si>
  <si>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</si>
  <si>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</si>
  <si>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</si>
  <si>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</si>
  <si>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</si>
  <si>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</si>
  <si>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</si>
  <si>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</si>
  <si>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</si>
  <si>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</si>
  <si>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</si>
  <si>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</si>
  <si>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</si>
  <si>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</si>
  <si>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</si>
  <si>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</si>
  <si>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</si>
  <si>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</si>
  <si>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</si>
  <si>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</si>
  <si>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</si>
  <si>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</si>
  <si>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</si>
  <si>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</si>
  <si>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</si>
  <si>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</si>
  <si>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</si>
  <si>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</si>
  <si>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</si>
  <si>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</si>
  <si>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</si>
  <si>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</si>
  <si>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</si>
  <si>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</si>
  <si>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</si>
  <si>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</si>
  <si>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</si>
  <si>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</si>
  <si>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</si>
  <si>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</si>
  <si>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</si>
  <si>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</si>
  <si>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</si>
  <si>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</si>
  <si>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</si>
  <si>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</si>
  <si>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</si>
  <si>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</si>
  <si>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</si>
  <si>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</si>
  <si>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</si>
  <si>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</si>
  <si>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</si>
  <si>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</si>
  <si>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</si>
  <si>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</si>
  <si>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</si>
  <si>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</si>
  <si>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</si>
  <si>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</si>
  <si>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</si>
  <si>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</si>
  <si>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</si>
  <si>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</si>
  <si>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</si>
  <si>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</si>
  <si>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</si>
  <si>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</si>
  <si>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</si>
  <si>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</si>
  <si>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</si>
  <si>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</si>
  <si>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</si>
  <si>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</si>
  <si>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</si>
  <si>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</si>
  <si>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</si>
  <si>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</si>
  <si>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</si>
  <si>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</si>
  <si>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</si>
  <si>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</si>
  <si>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</si>
  <si>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</si>
  <si>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https://cwendorf.github.io/BASE/ARISE</t>
  </si>
  <si>
    <t>http://cwendorf.github.io</t>
  </si>
  <si>
    <t>Version: 2.210601</t>
  </si>
  <si>
    <t>Wendorf, C. A. (2021).</t>
  </si>
  <si>
    <t>ARISE: Arelational and Relational Interval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</si>
</sst>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90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106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104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94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91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92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93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102</v>
      </c>
    </row>
    <row r="26" spans="1:11" ht="15" customHeight="1" x14ac:dyDescent="0.3">
      <c r="A26" s="20"/>
      <c r="K26" s="70" t="s">
        <v>105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103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107</v>
      </c>
    </row>
    <row r="31" spans="1:11" ht="15" customHeight="1" x14ac:dyDescent="0.3">
      <c r="B31" s="20" t="s">
        <v>24</v>
      </c>
      <c r="C31" s="20"/>
      <c r="K31" s="1" t="s">
        <v>108</v>
      </c>
    </row>
    <row r="32" spans="1:11" ht="15" customHeight="1" x14ac:dyDescent="0.3">
      <c r="B32" s="20" t="s">
        <v>23</v>
      </c>
      <c r="K32" s="20" t="s">
        <v>104</v>
      </c>
    </row>
    <row r="33" spans="11:11" ht="15" customHeight="1" x14ac:dyDescent="0.3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>One</v>
      </c>
      <c r="M6" s="83" t="str">
        <f>IF(B20="","",B20)</f>
        <v>Two</v>
      </c>
      <c r="N6" s="83" t="str">
        <f>IF(B21="","",B21)</f>
        <v>Three</v>
      </c>
      <c r="O6" s="83" t="str">
        <f>IF(B22="","",B22)</f>
        <v>Four</v>
      </c>
      <c r="P6" s="83" t="str">
        <f>IF(B23="","",B23)</f>
        <v>Five</v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 t="s">
        <v>95</v>
      </c>
      <c r="C7" s="116"/>
      <c r="D7" s="116"/>
      <c r="E7" s="116"/>
      <c r="F7" s="116"/>
      <c r="G7" s="116"/>
      <c r="H7" s="116"/>
      <c r="K7" s="25">
        <v>1</v>
      </c>
      <c r="L7" s="25">
        <v>61</v>
      </c>
      <c r="M7" s="25">
        <v>69</v>
      </c>
      <c r="N7" s="25">
        <v>70</v>
      </c>
      <c r="O7" s="25">
        <v>70</v>
      </c>
      <c r="P7" s="25">
        <v>65</v>
      </c>
      <c r="Q7" s="93">
        <f>IFERROR(AVERAGE(L7:P7),"")</f>
        <v>67</v>
      </c>
      <c r="T7" s="41" t="str">
        <f>IF(B19="","",B19)</f>
        <v>One</v>
      </c>
      <c r="U7" s="41">
        <v>1</v>
      </c>
      <c r="V7" s="84">
        <f>IF(COUNT(L:L)=0,"",COUNT(L:L))</f>
        <v>10</v>
      </c>
      <c r="W7" s="85">
        <f>IFERROR(AVERAGE(L:L),"")</f>
        <v>67</v>
      </c>
      <c r="X7" s="85">
        <f>IFERROR(STDEV(L:L),"")</f>
        <v>4.2946995755750415</v>
      </c>
      <c r="Y7" s="84">
        <f t="shared" ref="Y7:Y12" si="0">IFERROR(V7-1,"")</f>
        <v>9</v>
      </c>
      <c r="Z7" s="29">
        <f t="shared" ref="Z7:Z12" si="1">IFERROR(X7/SQRT(V7),"")</f>
        <v>1.3581032524975574</v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K8" s="24">
        <v>2</v>
      </c>
      <c r="L8" s="24">
        <v>64</v>
      </c>
      <c r="M8" s="24">
        <v>74</v>
      </c>
      <c r="N8" s="24">
        <v>75</v>
      </c>
      <c r="O8" s="24">
        <v>80</v>
      </c>
      <c r="P8" s="24">
        <v>55</v>
      </c>
      <c r="Q8" s="93">
        <f t="shared" ref="Q8:Q71" si="2">IFERROR(AVERAGE(L8:P8),"")</f>
        <v>69.599999999999994</v>
      </c>
      <c r="T8" s="37" t="str">
        <f>IF(B20="","",B20)</f>
        <v>Two</v>
      </c>
      <c r="U8" s="37">
        <v>2</v>
      </c>
      <c r="V8" s="9">
        <f>IF(COUNT(M:M)=0,"",COUNT(M:M))</f>
        <v>10</v>
      </c>
      <c r="W8" s="45">
        <f>IFERROR(AVERAGE(M:M),"")</f>
        <v>71</v>
      </c>
      <c r="X8" s="45">
        <f>IFERROR(STDEV(M:M),"")</f>
        <v>5.3748384988656994</v>
      </c>
      <c r="Y8" s="9">
        <f t="shared" si="0"/>
        <v>9</v>
      </c>
      <c r="Z8" s="36">
        <f t="shared" si="1"/>
        <v>1.6996731711975948</v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K9" s="24">
        <v>3</v>
      </c>
      <c r="L9" s="24">
        <v>72</v>
      </c>
      <c r="M9" s="24">
        <v>79</v>
      </c>
      <c r="N9" s="24">
        <v>80</v>
      </c>
      <c r="O9" s="24">
        <v>85</v>
      </c>
      <c r="P9" s="24">
        <v>70</v>
      </c>
      <c r="Q9" s="93">
        <f t="shared" si="2"/>
        <v>77.2</v>
      </c>
      <c r="T9" s="37" t="str">
        <f>IF(B21="","",B21)</f>
        <v>Three</v>
      </c>
      <c r="U9" s="37">
        <v>3</v>
      </c>
      <c r="V9" s="9">
        <f>IF(COUNT(N:N)=0,"",COUNT(N:N))</f>
        <v>10</v>
      </c>
      <c r="W9" s="45">
        <f>IFERROR(AVERAGE(N:N),"")</f>
        <v>72.5</v>
      </c>
      <c r="X9" s="45">
        <f>IFERROR(STDEV(N:N),"")</f>
        <v>4.85912657903775</v>
      </c>
      <c r="Y9" s="9">
        <f t="shared" si="0"/>
        <v>9</v>
      </c>
      <c r="Z9" s="36">
        <f t="shared" si="1"/>
        <v>1.5365907428821477</v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K10" s="24">
        <v>4</v>
      </c>
      <c r="L10" s="24">
        <v>64</v>
      </c>
      <c r="M10" s="24">
        <v>69</v>
      </c>
      <c r="N10" s="24">
        <v>80</v>
      </c>
      <c r="O10" s="24">
        <v>75</v>
      </c>
      <c r="P10" s="24">
        <v>65</v>
      </c>
      <c r="Q10" s="93">
        <f t="shared" si="2"/>
        <v>70.599999999999994</v>
      </c>
      <c r="T10" s="37" t="str">
        <f>IF(B22="","",B22)</f>
        <v>Four</v>
      </c>
      <c r="U10" s="37">
        <v>4</v>
      </c>
      <c r="V10" s="9">
        <f>IF(COUNT(O:O)=0,"",COUNT(O:O))</f>
        <v>10</v>
      </c>
      <c r="W10" s="45">
        <f>IFERROR(AVERAGE(O:O),"")</f>
        <v>76</v>
      </c>
      <c r="X10" s="45">
        <f>IFERROR(STDEV(O:O),"")</f>
        <v>6.5828058860438334</v>
      </c>
      <c r="Y10" s="9">
        <f t="shared" si="0"/>
        <v>9</v>
      </c>
      <c r="Z10" s="36">
        <f t="shared" si="1"/>
        <v>2.0816659994661326</v>
      </c>
    </row>
    <row r="11" spans="2:26" ht="15" customHeight="1" thickBot="1" x14ac:dyDescent="0.35">
      <c r="B11" s="118" t="s">
        <v>96</v>
      </c>
      <c r="C11" s="118"/>
      <c r="D11" s="118"/>
      <c r="E11" s="118"/>
      <c r="F11" s="118"/>
      <c r="G11" s="118"/>
      <c r="H11" s="118"/>
      <c r="K11" s="24">
        <v>5</v>
      </c>
      <c r="L11" s="24">
        <v>64</v>
      </c>
      <c r="M11" s="24">
        <v>64</v>
      </c>
      <c r="N11" s="24">
        <v>70</v>
      </c>
      <c r="O11" s="24">
        <v>70</v>
      </c>
      <c r="P11" s="24">
        <v>65</v>
      </c>
      <c r="Q11" s="93">
        <f t="shared" si="2"/>
        <v>66.599999999999994</v>
      </c>
      <c r="T11" s="66" t="str">
        <f>IF(B23="","",B23)</f>
        <v>Five</v>
      </c>
      <c r="U11" s="66">
        <v>5</v>
      </c>
      <c r="V11" s="19">
        <f>IF(COUNT(P:P)=0,"",COUNT(P:P))</f>
        <v>10</v>
      </c>
      <c r="W11" s="86">
        <f>IFERROR(AVERAGE(P:P),"")</f>
        <v>65.5</v>
      </c>
      <c r="X11" s="86">
        <f>IFERROR(STDEV(P:P),"")</f>
        <v>4.9721446300587662</v>
      </c>
      <c r="Y11" s="19">
        <f t="shared" si="0"/>
        <v>9</v>
      </c>
      <c r="Z11" s="87">
        <f t="shared" si="1"/>
        <v>1.5723301886761005</v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K12" s="24">
        <v>6</v>
      </c>
      <c r="L12" s="24">
        <v>70</v>
      </c>
      <c r="M12" s="24">
        <v>64</v>
      </c>
      <c r="N12" s="24">
        <v>65</v>
      </c>
      <c r="O12" s="24">
        <v>65</v>
      </c>
      <c r="P12" s="24">
        <v>70</v>
      </c>
      <c r="Q12" s="93">
        <f t="shared" si="2"/>
        <v>66.8</v>
      </c>
      <c r="T12" s="66" t="s">
        <v>20</v>
      </c>
      <c r="U12" s="66" t="s">
        <v>20</v>
      </c>
      <c r="V12" s="19">
        <f>IFERROR(SUM(V7:V11),"")</f>
        <v>50</v>
      </c>
      <c r="W12" s="86">
        <f>IFERROR(AVERAGE(W7:W11),"")</f>
        <v>70.400000000000006</v>
      </c>
      <c r="X12" s="86">
        <f>IFERROR(STDEV(L:P),"")</f>
        <v>6.337449432233953</v>
      </c>
      <c r="Y12" s="19">
        <f t="shared" si="0"/>
        <v>49</v>
      </c>
      <c r="Z12" s="87">
        <f t="shared" si="1"/>
        <v>0.89625069379189271</v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K13" s="24">
        <v>7</v>
      </c>
      <c r="L13" s="24">
        <v>73</v>
      </c>
      <c r="M13" s="24">
        <v>69</v>
      </c>
      <c r="N13" s="24">
        <v>70</v>
      </c>
      <c r="O13" s="24">
        <v>75</v>
      </c>
      <c r="P13" s="24">
        <v>70</v>
      </c>
      <c r="Q13" s="93">
        <f t="shared" si="2"/>
        <v>71.400000000000006</v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K14" s="24">
        <v>8</v>
      </c>
      <c r="L14" s="24">
        <v>65</v>
      </c>
      <c r="M14" s="24">
        <v>69</v>
      </c>
      <c r="N14" s="24">
        <v>75</v>
      </c>
      <c r="O14" s="24">
        <v>75</v>
      </c>
      <c r="P14" s="24">
        <v>60</v>
      </c>
      <c r="Q14" s="93">
        <f t="shared" si="2"/>
        <v>68.8</v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K15" s="24">
        <v>9</v>
      </c>
      <c r="L15" s="24">
        <v>65</v>
      </c>
      <c r="M15" s="24">
        <v>74</v>
      </c>
      <c r="N15" s="24">
        <v>70</v>
      </c>
      <c r="O15" s="24">
        <v>85</v>
      </c>
      <c r="P15" s="24">
        <v>65</v>
      </c>
      <c r="Q15" s="93">
        <f t="shared" si="2"/>
        <v>71.8</v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K16" s="24">
        <v>10</v>
      </c>
      <c r="L16" s="24">
        <v>72</v>
      </c>
      <c r="M16" s="24">
        <v>79</v>
      </c>
      <c r="N16" s="24">
        <v>70</v>
      </c>
      <c r="O16" s="24">
        <v>80</v>
      </c>
      <c r="P16" s="24">
        <v>70</v>
      </c>
      <c r="Q16" s="93">
        <f t="shared" si="2"/>
        <v>74.2</v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 t="s">
        <v>97</v>
      </c>
      <c r="C19" s="122"/>
      <c r="D19" s="124"/>
      <c r="E19" s="121"/>
      <c r="F19" s="121"/>
      <c r="G19" s="122"/>
      <c r="H19" s="88">
        <v>1</v>
      </c>
      <c r="Q19" s="93" t="str">
        <f t="shared" si="2"/>
        <v/>
      </c>
      <c r="T19" s="2" t="s">
        <v>40</v>
      </c>
    </row>
    <row r="20" spans="2:26" ht="15" customHeight="1" thickBot="1" x14ac:dyDescent="0.35">
      <c r="B20" s="111" t="s">
        <v>98</v>
      </c>
      <c r="C20" s="112"/>
      <c r="D20" s="110"/>
      <c r="E20" s="111"/>
      <c r="F20" s="111"/>
      <c r="G20" s="112"/>
      <c r="H20" s="89">
        <v>2</v>
      </c>
      <c r="Q20" s="93" t="str">
        <f t="shared" si="2"/>
        <v/>
      </c>
      <c r="Y20" s="43"/>
      <c r="Z20" s="42"/>
    </row>
    <row r="21" spans="2:26" ht="15" customHeight="1" thickBot="1" x14ac:dyDescent="0.35">
      <c r="B21" s="111" t="s">
        <v>99</v>
      </c>
      <c r="C21" s="111"/>
      <c r="D21" s="110"/>
      <c r="E21" s="111"/>
      <c r="F21" s="111"/>
      <c r="G21" s="112"/>
      <c r="H21" s="89">
        <v>3</v>
      </c>
      <c r="Q21" s="93" t="str">
        <f t="shared" si="2"/>
        <v/>
      </c>
      <c r="T21" s="13" t="s">
        <v>78</v>
      </c>
      <c r="U21" s="13"/>
      <c r="V21" s="13">
        <f>H19</f>
        <v>1</v>
      </c>
      <c r="W21" s="13">
        <f>H20</f>
        <v>2</v>
      </c>
      <c r="X21" s="13">
        <f>H21</f>
        <v>3</v>
      </c>
      <c r="Y21" s="13">
        <f>H22</f>
        <v>4</v>
      </c>
      <c r="Z21" s="13">
        <f>H23</f>
        <v>5</v>
      </c>
    </row>
    <row r="22" spans="2:26" ht="15" customHeight="1" x14ac:dyDescent="0.3">
      <c r="B22" s="111" t="s">
        <v>100</v>
      </c>
      <c r="C22" s="111"/>
      <c r="D22" s="110"/>
      <c r="E22" s="111"/>
      <c r="F22" s="111"/>
      <c r="G22" s="112"/>
      <c r="H22" s="89">
        <v>4</v>
      </c>
      <c r="Q22" s="93" t="str">
        <f t="shared" si="2"/>
        <v/>
      </c>
      <c r="T22" s="41" t="str">
        <f>IF(B19="","",B19)</f>
        <v>One</v>
      </c>
      <c r="U22" s="41"/>
      <c r="V22" s="29">
        <v>1</v>
      </c>
      <c r="W22" s="40">
        <f>IFERROR(CORREL(L:L,M:M),"")</f>
        <v>0.36101109171472356</v>
      </c>
      <c r="X22" s="40">
        <f>IFERROR(CORREL(L:L,N:N),"")</f>
        <v>-0.10648697361300041</v>
      </c>
      <c r="Y22" s="40">
        <f>IFERROR(CORREL(L:L,O:O),"")</f>
        <v>0.21616050284550883</v>
      </c>
      <c r="Z22" s="40">
        <f>IFERROR(CORREL(L:L,P:P),"")</f>
        <v>0.7024488677509001</v>
      </c>
    </row>
    <row r="23" spans="2:26" ht="15" customHeight="1" thickBot="1" x14ac:dyDescent="0.35">
      <c r="B23" s="114" t="s">
        <v>101</v>
      </c>
      <c r="C23" s="114"/>
      <c r="D23" s="113"/>
      <c r="E23" s="114"/>
      <c r="F23" s="114"/>
      <c r="G23" s="115"/>
      <c r="H23" s="90">
        <v>5</v>
      </c>
      <c r="Q23" s="93" t="str">
        <f t="shared" si="2"/>
        <v/>
      </c>
      <c r="T23" s="37" t="str">
        <f>IF(B20="","",B20)</f>
        <v>Two</v>
      </c>
      <c r="U23" s="37"/>
      <c r="V23" s="36"/>
      <c r="W23" s="36">
        <v>1</v>
      </c>
      <c r="X23" s="38">
        <f>IFERROR(CORREL(M:M,N:N),"")</f>
        <v>0.42543562981151706</v>
      </c>
      <c r="Y23" s="38">
        <f>IFERROR(CORREL(M:M,O:O),"")</f>
        <v>0.87930401022985882</v>
      </c>
      <c r="Z23" s="38">
        <f>IFERROR(CORREL(M:M,P:P),"")</f>
        <v>6.2364806244454771E-2</v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>Three</v>
      </c>
      <c r="U24" s="37"/>
      <c r="V24" s="36"/>
      <c r="W24" s="36"/>
      <c r="X24" s="36">
        <v>1</v>
      </c>
      <c r="Y24" s="38">
        <f>IFERROR(CORREL(N:N,O:O),"")</f>
        <v>0.52105010571890609</v>
      </c>
      <c r="Z24" s="38">
        <f>IFERROR(CORREL(N:N,P:P),"")</f>
        <v>-0.28743228174573082</v>
      </c>
    </row>
    <row r="25" spans="2:26" ht="15" customHeight="1" x14ac:dyDescent="0.3">
      <c r="Q25" s="93" t="str">
        <f t="shared" si="2"/>
        <v/>
      </c>
      <c r="T25" s="37" t="str">
        <f>IF(B22="","",B22)</f>
        <v>Four</v>
      </c>
      <c r="U25" s="37"/>
      <c r="V25" s="36"/>
      <c r="W25" s="36"/>
      <c r="X25" s="36"/>
      <c r="Y25" s="36">
        <v>1</v>
      </c>
      <c r="Z25" s="38">
        <f>IFERROR(CORREL(O:O,P:P),"")</f>
        <v>-0.10184130213763483</v>
      </c>
    </row>
    <row r="26" spans="2:26" ht="15" customHeight="1" thickBot="1" x14ac:dyDescent="0.35">
      <c r="Q26" s="93" t="str">
        <f t="shared" si="2"/>
        <v/>
      </c>
      <c r="T26" s="66" t="str">
        <f>IF(B23="","",B23)</f>
        <v>Five</v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>
        <f>IFERROR(DEVSQ(Q:Q)*(V34+1),"")</f>
        <v>529.20000000000073</v>
      </c>
      <c r="V33" s="64">
        <f>IFERROR(V8-1,"")</f>
        <v>9</v>
      </c>
      <c r="W33" s="28">
        <f>IFERROR(U33/V33,"")</f>
        <v>58.800000000000082</v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>
        <f>IFERROR(DEVSQ(W7:W11)*(V33+1),"")</f>
        <v>716.99999999999989</v>
      </c>
      <c r="V34" s="51">
        <f>IFERROR(COUNT(W7:W11)-1,"")</f>
        <v>4</v>
      </c>
      <c r="W34" s="5">
        <f>IFERROR(U34/V34,"")</f>
        <v>179.24999999999997</v>
      </c>
      <c r="X34" s="5">
        <f>IFERROR(W34/W35,"")</f>
        <v>8.9401496259351632</v>
      </c>
      <c r="Y34" s="5" t="str">
        <f>IFERROR(IF(FDIST(X34,V34,V35)&lt;0.001,"&lt; 0.001",FDIST(X34,V34,V35)),"")</f>
        <v>&lt; 0.001</v>
      </c>
      <c r="Z34" s="45">
        <f>IFERROR(U34/(U34+U35),"")</f>
        <v>0.49833194328607172</v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>
        <f>IFERROR(U36-U34-U33,"")</f>
        <v>721.79999999999973</v>
      </c>
      <c r="V35" s="6">
        <f>IFERROR(V36-V34-V33,"")</f>
        <v>36</v>
      </c>
      <c r="W35" s="7">
        <f>IFERROR(U35/V35,"")</f>
        <v>20.049999999999994</v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>
        <f>IFERROR(X12^2*V36,"")</f>
        <v>1968.0000000000002</v>
      </c>
      <c r="V36" s="27">
        <f>IFERROR(V12-1,"")</f>
        <v>49</v>
      </c>
      <c r="W36" s="26">
        <f>IFERROR(U36/V36,"")</f>
        <v>40.163265306122454</v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>One</v>
      </c>
      <c r="C7" s="76">
        <f>Data!W7</f>
        <v>67</v>
      </c>
      <c r="D7" s="76">
        <f>Data!X7</f>
        <v>4.2946995755750415</v>
      </c>
      <c r="E7" s="77">
        <f>IFERROR(C7-TINV(1-$H$4/100,Data!Y7)*O7,"")</f>
        <v>63.927756999543114</v>
      </c>
      <c r="F7" s="77">
        <f>IFERROR(C7+TINV(1-$H$4/100,Data!Y7)*O7,"")</f>
        <v>70.072243000456893</v>
      </c>
      <c r="G7" s="78">
        <f>IFERROR(C7-TINV(1-$H$4/100,$N$32)*(SQRT($O$32/HARMEAN(Data!$V$7:$V$11)))/2,"")</f>
        <v>65.564129499222702</v>
      </c>
      <c r="H7" s="78">
        <f>IFERROR(C7+TINV(1-$H$4/100,$N$32)*(SQRT($O$32/HARMEAN(Data!$V$7:$V$11)))/2,"")</f>
        <v>68.435870500777298</v>
      </c>
      <c r="I7" s="71"/>
      <c r="J7" s="71"/>
      <c r="K7" s="103" t="str">
        <f t="shared" ref="K7:K11" si="0">B7</f>
        <v>One</v>
      </c>
      <c r="L7" s="50">
        <v>70</v>
      </c>
      <c r="M7" s="76">
        <f>IFERROR(C7-L7,"")</f>
        <v>-3</v>
      </c>
      <c r="N7" s="95">
        <f>Data!Y7</f>
        <v>9</v>
      </c>
      <c r="O7" s="5">
        <f>Data!Z7</f>
        <v>1.3581032524975574</v>
      </c>
      <c r="P7" s="76">
        <f>IFERROR(M7/O7,"")</f>
        <v>-2.2089631215321721</v>
      </c>
      <c r="Q7" s="76">
        <f>IFERROR(IF(TDIST(ABS(P7),N7,2)&lt;0.001,"&lt;0.001",TDIST(ABS(P7),N7,2)),"")</f>
        <v>5.4537415263324604E-2</v>
      </c>
    </row>
    <row r="8" spans="2:17" s="74" customFormat="1" ht="15" customHeight="1" x14ac:dyDescent="0.3">
      <c r="B8" s="103" t="str">
        <f>IF(C8="","",IF(Data!B20="","2",Data!B20))</f>
        <v>Two</v>
      </c>
      <c r="C8" s="76">
        <f>Data!W8</f>
        <v>71</v>
      </c>
      <c r="D8" s="76">
        <f>Data!X8</f>
        <v>5.3748384988656994</v>
      </c>
      <c r="E8" s="76">
        <f>IFERROR(C8-TINV(1-$H$4/100,Data!Y8)*O8,"")</f>
        <v>67.155072161359428</v>
      </c>
      <c r="F8" s="76">
        <f>IFERROR(C8+TINV(1-$H$4/100,Data!Y8)*O8,"")</f>
        <v>74.844927838640572</v>
      </c>
      <c r="G8" s="76">
        <f>IFERROR(C8-TINV(1-$H$4/100,$N$32)*(SQRT($O$32/HARMEAN(Data!$V$7:$V$11)))/2,"")</f>
        <v>69.564129499222702</v>
      </c>
      <c r="H8" s="76">
        <f>IFERROR(C8+TINV(1-$H$4/100,$N$32)*(SQRT($O$32/HARMEAN(Data!$V$7:$V$11)))/2,"")</f>
        <v>72.435870500777298</v>
      </c>
      <c r="I8" s="71"/>
      <c r="J8" s="71"/>
      <c r="K8" s="76" t="str">
        <f t="shared" si="0"/>
        <v>Two</v>
      </c>
      <c r="L8" s="50">
        <v>70</v>
      </c>
      <c r="M8" s="76">
        <f>IFERROR(C8-L8,"")</f>
        <v>1</v>
      </c>
      <c r="N8" s="95">
        <f>Data!Y8</f>
        <v>9</v>
      </c>
      <c r="O8" s="5">
        <f>Data!Z8</f>
        <v>1.6996731711975948</v>
      </c>
      <c r="P8" s="76">
        <f>IFERROR(M8/O8,"")</f>
        <v>0.58834840541455213</v>
      </c>
      <c r="Q8" s="76">
        <f>IFERROR(IF(TDIST(ABS(P8),N8,2)&lt;0.001,"&lt;0.001",TDIST(ABS(P8),N8,2)),"")</f>
        <v>0.57076596523986223</v>
      </c>
    </row>
    <row r="9" spans="2:17" s="74" customFormat="1" ht="15" customHeight="1" x14ac:dyDescent="0.3">
      <c r="B9" s="103" t="str">
        <f>IF(C9="","",IF(Data!B21="","3",Data!B21))</f>
        <v>Three</v>
      </c>
      <c r="C9" s="76">
        <f>Data!W9</f>
        <v>72.5</v>
      </c>
      <c r="D9" s="76">
        <f>Data!X9</f>
        <v>4.85912657903775</v>
      </c>
      <c r="E9" s="76">
        <f>IFERROR(C9-TINV(1-$H$4/100,Data!Y9)*O9,"")</f>
        <v>69.023990244699732</v>
      </c>
      <c r="F9" s="76">
        <f>IFERROR(C9+TINV(1-$H$4/100,Data!Y9)*O9,"")</f>
        <v>75.976009755300268</v>
      </c>
      <c r="G9" s="76">
        <f>IFERROR(C9-TINV(1-$H$4/100,$N$32)*(SQRT($O$32/HARMEAN(Data!$V$7:$V$11)))/2,"")</f>
        <v>71.064129499222702</v>
      </c>
      <c r="H9" s="76">
        <f>IFERROR(C9+TINV(1-$H$4/100,$N$32)*(SQRT($O$32/HARMEAN(Data!$V$7:$V$11)))/2,"")</f>
        <v>73.935870500777298</v>
      </c>
      <c r="I9" s="71"/>
      <c r="J9" s="71"/>
      <c r="K9" s="76" t="str">
        <f t="shared" si="0"/>
        <v>Three</v>
      </c>
      <c r="L9" s="50">
        <v>70</v>
      </c>
      <c r="M9" s="76">
        <f>IFERROR(C9-L9,"")</f>
        <v>2.5</v>
      </c>
      <c r="N9" s="95">
        <f>Data!Y9</f>
        <v>9</v>
      </c>
      <c r="O9" s="5">
        <f>Data!Z9</f>
        <v>1.5365907428821477</v>
      </c>
      <c r="P9" s="76">
        <f>IFERROR(M9/O9,"")</f>
        <v>1.6269784336399216</v>
      </c>
      <c r="Q9" s="76">
        <f>IFERROR(IF(TDIST(ABS(P9),N9,2)&lt;0.001,"&lt;0.001",TDIST(ABS(P9),N9,2)),"")</f>
        <v>0.13818475535118313</v>
      </c>
    </row>
    <row r="10" spans="2:17" s="74" customFormat="1" ht="15" customHeight="1" x14ac:dyDescent="0.3">
      <c r="B10" s="103" t="str">
        <f>IF(C10="","",IF(Data!B22="","4",Data!B22))</f>
        <v>Four</v>
      </c>
      <c r="C10" s="76">
        <f>Data!W10</f>
        <v>76</v>
      </c>
      <c r="D10" s="76">
        <f>Data!X10</f>
        <v>6.5828058860438334</v>
      </c>
      <c r="E10" s="76">
        <f>IFERROR(C10-TINV(1-$H$4/100,Data!Y10)*O10,"")</f>
        <v>71.290944348754209</v>
      </c>
      <c r="F10" s="76">
        <f>IFERROR(C10+TINV(1-$H$4/100,Data!Y10)*O10,"")</f>
        <v>80.709055651245791</v>
      </c>
      <c r="G10" s="76">
        <f>IFERROR(C10-TINV(1-$H$4/100,$N$32)*(SQRT($O$32/HARMEAN(Data!$V$7:$V$11)))/2,"")</f>
        <v>74.564129499222702</v>
      </c>
      <c r="H10" s="76">
        <f>IFERROR(C10+TINV(1-$H$4/100,$N$32)*(SQRT($O$32/HARMEAN(Data!$V$7:$V$11)))/2,"")</f>
        <v>77.435870500777298</v>
      </c>
      <c r="I10" s="71"/>
      <c r="J10" s="71"/>
      <c r="K10" s="76" t="str">
        <f t="shared" si="0"/>
        <v>Four</v>
      </c>
      <c r="L10" s="50">
        <v>70</v>
      </c>
      <c r="M10" s="76">
        <f>IFERROR(C10-L10,"")</f>
        <v>6</v>
      </c>
      <c r="N10" s="95">
        <f>Data!Y10</f>
        <v>9</v>
      </c>
      <c r="O10" s="5">
        <f>Data!Z10</f>
        <v>2.0816659994661326</v>
      </c>
      <c r="P10" s="76">
        <f>IFERROR(M10/O10,"")</f>
        <v>2.8823067684915684</v>
      </c>
      <c r="Q10" s="76">
        <f>IFERROR(IF(TDIST(ABS(P10),N10,2)&lt;0.001,"&lt;0.001",TDIST(ABS(P10),N10,2)),"")</f>
        <v>1.8109821663250519E-2</v>
      </c>
    </row>
    <row r="11" spans="2:17" s="74" customFormat="1" ht="15" customHeight="1" thickBot="1" x14ac:dyDescent="0.35">
      <c r="B11" s="104" t="str">
        <f>IF(C11="","",IF(Data!B23="","5",Data!B23))</f>
        <v>Five</v>
      </c>
      <c r="C11" s="79">
        <f>Data!W11</f>
        <v>65.5</v>
      </c>
      <c r="D11" s="79">
        <f>Data!X11</f>
        <v>4.9721446300587662</v>
      </c>
      <c r="E11" s="79">
        <f>IFERROR(C11-TINV(1-$H$4/100,Data!Y11)*O11,"")</f>
        <v>61.943142001402506</v>
      </c>
      <c r="F11" s="79">
        <f>IFERROR(C11+TINV(1-$H$4/100,Data!Y11)*O11,"")</f>
        <v>69.056857998597494</v>
      </c>
      <c r="G11" s="79">
        <f>IFERROR(C11-TINV(1-$H$4/100,$N$32)*(SQRT($O$32/HARMEAN(Data!$V$7:$V$11)))/2,"")</f>
        <v>64.064129499222702</v>
      </c>
      <c r="H11" s="79">
        <f>IFERROR(C11+TINV(1-$H$4/100,$N$32)*(SQRT($O$32/HARMEAN(Data!$V$7:$V$11)))/2,"")</f>
        <v>66.935870500777298</v>
      </c>
      <c r="I11" s="71"/>
      <c r="J11" s="71"/>
      <c r="K11" s="79" t="str">
        <f t="shared" si="0"/>
        <v>Five</v>
      </c>
      <c r="L11" s="52">
        <v>70</v>
      </c>
      <c r="M11" s="79">
        <f>IFERROR(C11-L11,"")</f>
        <v>-4.5</v>
      </c>
      <c r="N11" s="96">
        <f>Data!Y11</f>
        <v>9</v>
      </c>
      <c r="O11" s="26">
        <f>Data!Z11</f>
        <v>1.5723301886761005</v>
      </c>
      <c r="P11" s="79">
        <f>IFERROR(M11/O11,"")</f>
        <v>-2.8619942760171719</v>
      </c>
      <c r="Q11" s="79">
        <f>IFERROR(IF(TDIST(ABS(P11),N11,2)&lt;0.001,"&lt;0.001",TDIST(ABS(P11),N11,2)),"")</f>
        <v>1.8719423349875645E-2</v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>1 vs. 2</v>
      </c>
      <c r="L16" s="53"/>
      <c r="M16" s="28">
        <f>IFERROR(C7-C8-L16,"")</f>
        <v>-4</v>
      </c>
      <c r="N16" s="55">
        <f>IF(K16="","",1)</f>
        <v>1</v>
      </c>
      <c r="O16" s="28">
        <f>IFERROR(SQRT(Data!Z7^2+Data!Z8^2-2*Data!W22*Data!Z7*Data!Z8),"")</f>
        <v>1.7511900715418263</v>
      </c>
      <c r="P16" s="54">
        <f t="shared" ref="P16:P25" si="1">IFERROR(M16/O16,"")</f>
        <v>-2.2841609628806432</v>
      </c>
      <c r="Q16" s="77">
        <f t="shared" ref="Q16:Q25" si="2">IFERROR(IF(TDIST(ABS(P16),N16,2)&lt;0.001,"&lt;0.001",TDIST(ABS(P16),N16,2)),"")</f>
        <v>0.2627076007267935</v>
      </c>
    </row>
    <row r="17" spans="1:17" s="74" customFormat="1" ht="15" customHeight="1" x14ac:dyDescent="0.3">
      <c r="B17" s="4">
        <v>1.1499999999999999</v>
      </c>
      <c r="C17" s="4">
        <f>IF(F7="",NA(),F7)</f>
        <v>70.072243000456893</v>
      </c>
      <c r="D17" s="4"/>
      <c r="E17" s="4">
        <f>IF(H7="",NA(),H7)</f>
        <v>68.435870500777298</v>
      </c>
      <c r="F17" s="12"/>
      <c r="G17" s="3">
        <v>0.5</v>
      </c>
      <c r="H17" s="3">
        <f>L7</f>
        <v>70</v>
      </c>
      <c r="I17" s="71"/>
      <c r="J17" s="71"/>
      <c r="K17" s="65" t="str">
        <f>IF(M17="","","1 vs. 3")</f>
        <v>1 vs. 3</v>
      </c>
      <c r="L17" s="56"/>
      <c r="M17" s="5">
        <f>IFERROR(C7-C9-L17,"")</f>
        <v>-5.5</v>
      </c>
      <c r="N17" s="51">
        <f t="shared" ref="N17:N25" si="3">IF(K17="","",1)</f>
        <v>1</v>
      </c>
      <c r="O17" s="5">
        <f>IFERROR(SQRT(Data!Z7^2+Data!Z9^2-2*Data!Y22*Data!Z7*Data!Z9),"")</f>
        <v>1.8175166977442878</v>
      </c>
      <c r="P17" s="57">
        <f t="shared" si="1"/>
        <v>-3.0261069990861853</v>
      </c>
      <c r="Q17" s="76">
        <f t="shared" si="2"/>
        <v>0.20318366117832729</v>
      </c>
    </row>
    <row r="18" spans="1:17" s="74" customFormat="1" ht="15" customHeight="1" x14ac:dyDescent="0.3">
      <c r="B18" s="4">
        <v>1.1499999999999999</v>
      </c>
      <c r="C18" s="3">
        <f>IF(C7="",NA(),C7)</f>
        <v>67</v>
      </c>
      <c r="D18" s="4"/>
      <c r="E18" s="3">
        <f>IF(C7="",NA(),C7)</f>
        <v>67</v>
      </c>
      <c r="F18" s="12"/>
      <c r="G18" s="3">
        <v>1</v>
      </c>
      <c r="H18" s="3">
        <f>L7</f>
        <v>70</v>
      </c>
      <c r="I18" s="71"/>
      <c r="J18" s="71"/>
      <c r="K18" s="65" t="str">
        <f>IF(M18="","","1 vs. 4")</f>
        <v>1 vs. 4</v>
      </c>
      <c r="L18" s="56"/>
      <c r="M18" s="5">
        <f>IFERROR(C7-C10-L18,"")</f>
        <v>-9</v>
      </c>
      <c r="N18" s="51">
        <f t="shared" si="3"/>
        <v>1</v>
      </c>
      <c r="O18" s="5">
        <f>IFERROR(SQRT(Data!Z7^2+Data!Z10^2-2*Data!Y22*Data!Z7*Data!Z10),"")</f>
        <v>2.2261077142751997</v>
      </c>
      <c r="P18" s="57">
        <f t="shared" si="1"/>
        <v>-4.0429310505894893</v>
      </c>
      <c r="Q18" s="76">
        <f t="shared" si="2"/>
        <v>0.15436665012855866</v>
      </c>
    </row>
    <row r="19" spans="1:17" ht="15" customHeight="1" x14ac:dyDescent="0.3">
      <c r="B19" s="4">
        <v>1.1499999999999999</v>
      </c>
      <c r="C19" s="4">
        <f>IF(E7="",NA(),E7)</f>
        <v>63.927756999543114</v>
      </c>
      <c r="D19" s="4"/>
      <c r="E19" s="4">
        <f>IF(G7="",NA(),G7)</f>
        <v>65.564129499222702</v>
      </c>
      <c r="F19" s="12"/>
      <c r="G19" s="3">
        <v>1.5</v>
      </c>
      <c r="H19" s="3">
        <f>L7</f>
        <v>70</v>
      </c>
      <c r="K19" s="65" t="str">
        <f>IF(M19="","","1 vs. 5")</f>
        <v>1 vs. 5</v>
      </c>
      <c r="L19" s="56"/>
      <c r="M19" s="5">
        <f>IFERROR(C7-C11-L19,"")</f>
        <v>1.5</v>
      </c>
      <c r="N19" s="51">
        <f t="shared" si="3"/>
        <v>1</v>
      </c>
      <c r="O19" s="5">
        <f>IFERROR(SQRT(Data!Z7^2+Data!Z11^2-2*Data!Z22*Data!Z7*Data!Z11),"")</f>
        <v>1.1474609652039005</v>
      </c>
      <c r="P19" s="57">
        <f t="shared" si="1"/>
        <v>1.307234010991785</v>
      </c>
      <c r="Q19" s="76">
        <f t="shared" si="2"/>
        <v>0.41572275593390973</v>
      </c>
    </row>
    <row r="20" spans="1:17" ht="15" customHeight="1" x14ac:dyDescent="0.3">
      <c r="B20" s="4">
        <v>2.15</v>
      </c>
      <c r="C20" s="4">
        <f>IF(F8="",NA(),F8)</f>
        <v>74.844927838640572</v>
      </c>
      <c r="D20" s="4"/>
      <c r="E20" s="4">
        <f>IF(H8="",NA(),H8)</f>
        <v>72.435870500777298</v>
      </c>
      <c r="F20" s="12"/>
      <c r="G20" s="3">
        <v>1.5</v>
      </c>
      <c r="H20" s="3">
        <f>L8</f>
        <v>70</v>
      </c>
      <c r="K20" s="65" t="str">
        <f>IF(M20="","","2 vs. 3")</f>
        <v>2 vs. 3</v>
      </c>
      <c r="L20" s="56"/>
      <c r="M20" s="5">
        <f>IFERROR(C8-C9-L20,"")</f>
        <v>-1.5</v>
      </c>
      <c r="N20" s="51">
        <f t="shared" si="3"/>
        <v>1</v>
      </c>
      <c r="O20" s="5">
        <f>IFERROR(SQRT(Data!Z8^2+Data!Z9^2-2*Data!X23*Data!Z8*Data!Z9),"")</f>
        <v>1.740051084818425</v>
      </c>
      <c r="P20" s="57">
        <f t="shared" si="1"/>
        <v>-0.86204365669903626</v>
      </c>
      <c r="Q20" s="76">
        <f t="shared" si="2"/>
        <v>0.54708029646116085</v>
      </c>
    </row>
    <row r="21" spans="1:17" ht="15" customHeight="1" x14ac:dyDescent="0.3">
      <c r="B21" s="4">
        <v>2.15</v>
      </c>
      <c r="C21" s="3">
        <f>IF(C8="",NA(),C8)</f>
        <v>71</v>
      </c>
      <c r="D21" s="4"/>
      <c r="E21" s="3">
        <f>IF(C8="",NA(),C8)</f>
        <v>71</v>
      </c>
      <c r="F21" s="12"/>
      <c r="G21" s="3">
        <v>2</v>
      </c>
      <c r="H21" s="3">
        <f>L8</f>
        <v>70</v>
      </c>
      <c r="K21" s="65" t="str">
        <f>IF(M21="","","2 vs. 4")</f>
        <v>2 vs. 4</v>
      </c>
      <c r="L21" s="56"/>
      <c r="M21" s="5">
        <f>IFERROR(C8-C10-L21,"")</f>
        <v>-5</v>
      </c>
      <c r="N21" s="51">
        <f t="shared" si="3"/>
        <v>1</v>
      </c>
      <c r="O21" s="5">
        <f>IFERROR(SQRT(Data!Z8^2+Data!Z10^2-2*Data!Y23*Data!Z8*Data!Z10),"")</f>
        <v>1</v>
      </c>
      <c r="P21" s="57">
        <f t="shared" si="1"/>
        <v>-5</v>
      </c>
      <c r="Q21" s="76">
        <f t="shared" si="2"/>
        <v>0.1256659163780024</v>
      </c>
    </row>
    <row r="22" spans="1:17" ht="15" customHeight="1" x14ac:dyDescent="0.3">
      <c r="B22" s="4">
        <v>2.15</v>
      </c>
      <c r="C22" s="4">
        <f>IF(E8="",NA(),E8)</f>
        <v>67.155072161359428</v>
      </c>
      <c r="D22" s="4"/>
      <c r="E22" s="4">
        <f>IF(G8="",NA(),G8)</f>
        <v>69.564129499222702</v>
      </c>
      <c r="F22" s="12"/>
      <c r="G22" s="3">
        <v>2.5</v>
      </c>
      <c r="H22" s="3">
        <f>L8</f>
        <v>70</v>
      </c>
      <c r="K22" s="65" t="str">
        <f>IF(M22="","","2 vs. 5")</f>
        <v>2 vs. 5</v>
      </c>
      <c r="L22" s="56"/>
      <c r="M22" s="5">
        <f>IFERROR(C8-C11-L22,"")</f>
        <v>5.5</v>
      </c>
      <c r="N22" s="51">
        <f t="shared" si="3"/>
        <v>1</v>
      </c>
      <c r="O22" s="5">
        <f>IFERROR(SQRT(Data!Z8^2+Data!Z11^2-2*Data!Z23*Data!Z8*Data!Z11),"")</f>
        <v>2.2422706745122851</v>
      </c>
      <c r="P22" s="57">
        <f t="shared" si="1"/>
        <v>2.4528706826156488</v>
      </c>
      <c r="Q22" s="76">
        <f t="shared" si="2"/>
        <v>0.24644459592115597</v>
      </c>
    </row>
    <row r="23" spans="1:17" ht="15" customHeight="1" x14ac:dyDescent="0.3">
      <c r="B23" s="4">
        <v>3.15</v>
      </c>
      <c r="C23" s="4">
        <f>IF(F9="",NA(),F9)</f>
        <v>75.976009755300268</v>
      </c>
      <c r="D23" s="4"/>
      <c r="E23" s="4">
        <f>IF(H9="",NA(),H9)</f>
        <v>73.935870500777298</v>
      </c>
      <c r="F23" s="12"/>
      <c r="G23" s="3">
        <v>2.5</v>
      </c>
      <c r="H23" s="3">
        <f>L9</f>
        <v>70</v>
      </c>
      <c r="K23" s="65" t="str">
        <f>IF(M23="","","3 vs. 4")</f>
        <v>3 vs. 4</v>
      </c>
      <c r="L23" s="56"/>
      <c r="M23" s="5">
        <f>IFERROR(C9-C10-L23,"")</f>
        <v>-3.5</v>
      </c>
      <c r="N23" s="51">
        <f t="shared" si="3"/>
        <v>1</v>
      </c>
      <c r="O23" s="5">
        <f>IFERROR(SQRT(Data!Z9^2+Data!Z10^2-2*Data!Y24*Data!Z9*Data!Z10),"")</f>
        <v>1.8333333333333335</v>
      </c>
      <c r="P23" s="57">
        <f t="shared" si="1"/>
        <v>-1.9090909090909089</v>
      </c>
      <c r="Q23" s="76">
        <f t="shared" si="2"/>
        <v>0.30717750404154087</v>
      </c>
    </row>
    <row r="24" spans="1:17" ht="15" customHeight="1" x14ac:dyDescent="0.3">
      <c r="B24" s="4">
        <v>3.15</v>
      </c>
      <c r="C24" s="3">
        <f>IF(C9="",NA(),C9)</f>
        <v>72.5</v>
      </c>
      <c r="D24" s="4"/>
      <c r="E24" s="3">
        <f>IF(C9="",NA(),C9)</f>
        <v>72.5</v>
      </c>
      <c r="F24" s="12"/>
      <c r="G24" s="3">
        <v>3</v>
      </c>
      <c r="H24" s="3">
        <f>L9</f>
        <v>70</v>
      </c>
      <c r="K24" s="65" t="str">
        <f>IF(M24="","","3 vs. 5")</f>
        <v>3 vs. 5</v>
      </c>
      <c r="L24" s="56"/>
      <c r="M24" s="5">
        <f>IFERROR(C9-C11-L24,"")</f>
        <v>7</v>
      </c>
      <c r="N24" s="51">
        <f t="shared" si="3"/>
        <v>1</v>
      </c>
      <c r="O24" s="5">
        <f>IFERROR(SQRT(Data!Z9^2+Data!Z11^2-2*Data!Z24*Data!Z9*Data!Z11),"")</f>
        <v>2.4944382578492941</v>
      </c>
      <c r="P24" s="57">
        <f t="shared" si="1"/>
        <v>2.8062430400804561</v>
      </c>
      <c r="Q24" s="76">
        <f t="shared" si="2"/>
        <v>0.21792711263964254</v>
      </c>
    </row>
    <row r="25" spans="1:17" ht="15" customHeight="1" thickBot="1" x14ac:dyDescent="0.35">
      <c r="B25" s="4">
        <v>3.15</v>
      </c>
      <c r="C25" s="4">
        <f>IF(E9="",NA(),E9)</f>
        <v>69.023990244699732</v>
      </c>
      <c r="D25" s="4"/>
      <c r="E25" s="4">
        <f>IF(G9="",NA(),G9)</f>
        <v>71.064129499222702</v>
      </c>
      <c r="F25" s="12"/>
      <c r="G25" s="3">
        <v>3.5</v>
      </c>
      <c r="H25" s="3">
        <f>L9</f>
        <v>70</v>
      </c>
      <c r="K25" s="65" t="str">
        <f>IF(M25="","","4 vs. 5")</f>
        <v>4 vs. 5</v>
      </c>
      <c r="L25" s="58"/>
      <c r="M25" s="5">
        <f>IFERROR(C10-C11-L25,"")</f>
        <v>10.5</v>
      </c>
      <c r="N25" s="27">
        <f t="shared" si="3"/>
        <v>1</v>
      </c>
      <c r="O25" s="26">
        <f>IFERROR(SQRT(Data!Z10^2+Data!Z11^2-2*Data!Z25*Data!Z10*Data!Z11),"")</f>
        <v>2.733536577809454</v>
      </c>
      <c r="P25" s="59">
        <f t="shared" si="1"/>
        <v>3.8411777933530624</v>
      </c>
      <c r="Q25" s="79">
        <f t="shared" si="2"/>
        <v>0.1621365661123251</v>
      </c>
    </row>
    <row r="26" spans="1:17" ht="15" customHeight="1" x14ac:dyDescent="0.3">
      <c r="B26" s="4">
        <v>4.1500000000000004</v>
      </c>
      <c r="C26" s="4">
        <f>IF(F10="",NA(),F10)</f>
        <v>80.709055651245791</v>
      </c>
      <c r="D26" s="4"/>
      <c r="E26" s="4">
        <f>IF(H10="",NA(),H10)</f>
        <v>77.435870500777298</v>
      </c>
      <c r="F26" s="12"/>
      <c r="G26" s="3">
        <v>3.5</v>
      </c>
      <c r="H26" s="3">
        <f>L10</f>
        <v>70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>
        <f>IF(C10="",NA(),C10)</f>
        <v>76</v>
      </c>
      <c r="D27" s="4"/>
      <c r="E27" s="3">
        <f>IF(C10="",NA(),C10)</f>
        <v>76</v>
      </c>
      <c r="F27" s="12"/>
      <c r="G27" s="3">
        <v>4</v>
      </c>
      <c r="H27" s="3">
        <f>L10</f>
        <v>70</v>
      </c>
      <c r="K27" s="72" t="s">
        <v>55</v>
      </c>
    </row>
    <row r="28" spans="1:17" ht="15" customHeight="1" thickBot="1" x14ac:dyDescent="0.35">
      <c r="B28" s="3">
        <v>4.1500000000000004</v>
      </c>
      <c r="C28" s="4">
        <f>IF(E10="",NA(),E10)</f>
        <v>71.290944348754209</v>
      </c>
      <c r="D28" s="4"/>
      <c r="E28" s="4">
        <f>IF(G10="",NA(),G10)</f>
        <v>74.564129499222702</v>
      </c>
      <c r="F28" s="12"/>
      <c r="G28" s="3">
        <v>4.5</v>
      </c>
      <c r="H28" s="3">
        <f>L10</f>
        <v>70</v>
      </c>
    </row>
    <row r="29" spans="1:17" ht="15" customHeight="1" thickBot="1" x14ac:dyDescent="0.35">
      <c r="B29" s="3">
        <v>5.15</v>
      </c>
      <c r="C29" s="4">
        <f>IF(F11="",NA(),F11)</f>
        <v>69.056857998597494</v>
      </c>
      <c r="D29" s="80"/>
      <c r="E29" s="4">
        <f>IF(H11="",NA(),H11)</f>
        <v>66.935870500777298</v>
      </c>
      <c r="G29" s="80">
        <v>4.5</v>
      </c>
      <c r="H29" s="80">
        <f>L11</f>
        <v>70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>
        <f>IF(C11="",NA(),C11)</f>
        <v>65.5</v>
      </c>
      <c r="D30" s="80"/>
      <c r="E30" s="3">
        <f>IF(C11="",NA(),C11)</f>
        <v>65.5</v>
      </c>
      <c r="G30" s="80">
        <v>5</v>
      </c>
      <c r="H30" s="80">
        <f>L11</f>
        <v>70</v>
      </c>
      <c r="K30" s="98" t="s">
        <v>87</v>
      </c>
      <c r="L30" s="84"/>
      <c r="M30" s="28">
        <f>IF(Data!U33&gt;0,Data!U33,"")</f>
        <v>529.20000000000073</v>
      </c>
      <c r="N30" s="64">
        <f>IF(Data!V33&gt;0,Data!V33,"")</f>
        <v>9</v>
      </c>
      <c r="O30" s="28">
        <f>Data!W33</f>
        <v>58.800000000000082</v>
      </c>
      <c r="P30" s="92"/>
      <c r="Q30" s="92"/>
    </row>
    <row r="31" spans="1:17" ht="15" customHeight="1" x14ac:dyDescent="0.3">
      <c r="A31"/>
      <c r="B31" s="3">
        <v>5.15</v>
      </c>
      <c r="C31" s="4">
        <f>IF(E11="",NA(),E11)</f>
        <v>61.943142001402506</v>
      </c>
      <c r="D31" s="80"/>
      <c r="E31" s="4">
        <f>IF(G11="",NA(),G11)</f>
        <v>64.064129499222702</v>
      </c>
      <c r="G31" s="80">
        <v>5.5</v>
      </c>
      <c r="H31" s="80">
        <f>L11</f>
        <v>70</v>
      </c>
      <c r="K31" s="99" t="s">
        <v>88</v>
      </c>
      <c r="L31" s="65"/>
      <c r="M31" s="5">
        <f>IF(Data!U34&gt;0,Data!U34,"")</f>
        <v>716.99999999999989</v>
      </c>
      <c r="N31" s="51">
        <f>IF(Data!V34&gt;0,Data!V34,"")</f>
        <v>4</v>
      </c>
      <c r="O31" s="5">
        <f>Data!W34</f>
        <v>179.24999999999997</v>
      </c>
      <c r="P31" s="5">
        <f>Data!X34</f>
        <v>8.9401496259351632</v>
      </c>
      <c r="Q31" s="5" t="str">
        <f>Data!Y34</f>
        <v>&lt; 0.001</v>
      </c>
    </row>
    <row r="32" spans="1:17" ht="15" customHeight="1" x14ac:dyDescent="0.3">
      <c r="A32"/>
      <c r="B32" s="4"/>
      <c r="C32" s="3"/>
      <c r="K32" s="99" t="s">
        <v>89</v>
      </c>
      <c r="L32" s="65"/>
      <c r="M32" s="7">
        <f>IF(Data!U35&gt;0,Data!U35,"")</f>
        <v>721.79999999999973</v>
      </c>
      <c r="N32" s="6">
        <f>IF(Data!V35&gt;0,Data!V35,"")</f>
        <v>36</v>
      </c>
      <c r="O32" s="7">
        <f>Data!W35</f>
        <v>20.049999999999994</v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>
        <f>IF(Data!U36&gt;0,Data!U36,"")</f>
        <v>1968.0000000000002</v>
      </c>
      <c r="N33" s="27">
        <f>IF(Data!V36&gt;0,Data!V36,"")</f>
        <v>49</v>
      </c>
      <c r="O33" s="26">
        <f>Data!W36</f>
        <v>40.163265306122454</v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2023-03-27T21:30:13Z</dcterms:modified>
</cp:coreProperties>
</file>