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3" documentId="114_{CE61D80A-BA31-4BF1-990D-DB3B174EDD9A}" xr6:coauthVersionLast="45" xr6:coauthVersionMax="45" xr10:uidLastSave="{BF675385-D1C2-4B86-AAFE-0949EF7748DD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<sst xmlns="http://schemas.openxmlformats.org/spreadsheetml/2006/main" count="336" uniqueCount="139">
  <si>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</si>
  <si>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</si>
  <si>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</si>
  <si>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</si>
  <si>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</si>
  <si>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</si>
  <si>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</si>
  <si>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</si>
  <si>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</si>
  <si>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</si>
  <si>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</si>
  <si>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</si>
  <si>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</si>
  <si>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</si>
  <si>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</si>
  <si>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</si>
  <si>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</si>
  <si>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</si>
  <si>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</si>
  <si>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</si>
  <si>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</si>
  <si>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</si>
  <si>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</si>
  <si>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</si>
  <si>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</si>
  <si>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</si>
  <si>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</si>
  <si>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</si>
  <si>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</si>
  <si>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</si>
  <si>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</si>
  <si>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</si>
  <si>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</si>
  <si>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</si>
  <si>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</si>
  <si>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</si>
  <si>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</si>
  <si>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</si>
  <si>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</si>
  <si>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</si>
  <si>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</si>
  <si>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</si>
  <si>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</si>
  <si>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</si>
  <si>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</si>
  <si>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</si>
  <si>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</si>
  <si>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</si>
  <si>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</si>
  <si>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</si>
  <si>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</si>
  <si>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</si>
  <si>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</si>
  <si>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</si>
  <si>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</si>
  <si>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</si>
  <si>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</si>
  <si>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</si>
  <si>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</si>
  <si>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</si>
  <si>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</si>
  <si>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</si>
  <si>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</si>
  <si>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</si>
  <si>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</si>
  <si>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</si>
  <si>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</si>
  <si>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</si>
  <si>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</si>
  <si>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</si>
  <si>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</si>
  <si>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</si>
  <si>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</si>
  <si>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</si>
  <si>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</si>
  <si>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</si>
  <si>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</si>
  <si>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</si>
  <si>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</si>
  <si>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</si>
  <si>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</si>
  <si>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</si>
  <si>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</si>
  <si>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</si>
  <si>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</si>
  <si>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</si>
  <si>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</si>
  <si>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</si>
  <si>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</si>
  <si>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</si>
  <si>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</si>
  <si>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</si>
  <si>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</si>
  <si>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</si>
  <si>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</si>
  <si>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</si>
  <si>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</si>
  <si>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</si>
  <si>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</si>
  <si>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</si>
  <si>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</si>
  <si>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</si>
  <si>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</si>
  <si>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</si>
  <si>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</si>
  <si>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</si>
  <si>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</si>
  <si>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</si>
  <si>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</si>
  <si>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</si>
  <si>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</si>
  <si>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</si>
  <si>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</si>
  <si>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</si>
  <si>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</si>
  <si>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</si>
  <si>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</si>
  <si>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</si>
  <si>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</si>
  <si>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</si>
  <si>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</si>
  <si>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</si>
  <si>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</si>
  <si>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</si>
  <si>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</si>
  <si>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</si>
  <si>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</si>
  <si>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</si>
  <si>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</si>
  <si>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</si>
  <si>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</si>
  <si>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</si>
  <si>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</si>
  <si>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</si>
  <si>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</si>
  <si>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</si>
  <si>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</si>
  <si>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This is the summary data from Donohue (2002) as used in Chap. 14 of Cumming and Calin-Jageman (2016) to demonstrate Repeated-Measures designs.</t>
  </si>
  <si>
    <t>http://cwendorf.github.io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</si>
</sst>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180A46-1400-4421-9F80-E4FBD1819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D5141F-8B51-428D-B8DB-0AE1F1418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854642-A7BB-4D53-832F-F0B542E18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0EA16B-D093-40D2-B125-7764FF215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3B2007A-9A16-478C-9F22-073C9FE6A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5EEFE34D-2AF8-4672-8F79-6DF4D4B2E99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53404D-2703-4CD8-A25D-5D0871BB8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7E16B9-D688-4261-BA0C-57155FE91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1F4C8B-7C72-4667-899A-5BDCD7D84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96ABFD-FE74-4CDD-AA88-6B367142B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A69E72-1989-47CB-909C-AB6DB20B1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51FEE9-21C5-4CF8-A8A4-0A74B5299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1277EE-0C7B-4349-9516-E38538F1F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8B0246-548C-4117-BEF7-F78470CCF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46EDCFF5-B603-44AF-902D-52B0CE59C535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2043BE-B481-48B3-A30B-65F5A6764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G1" sqref="G1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120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135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121</v>
      </c>
      <c r="C4" s="200"/>
      <c r="D4" s="200"/>
      <c r="E4" s="200"/>
      <c r="F4" s="200"/>
      <c r="G4" s="200"/>
      <c r="H4" s="200"/>
      <c r="I4" s="197"/>
      <c r="J4" s="197"/>
      <c r="K4" s="201" t="s">
        <v>136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122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119</v>
      </c>
      <c r="C25" s="29" t="s">
        <v>106</v>
      </c>
      <c r="K25" s="194" t="s">
        <v>132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138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116</v>
      </c>
      <c r="K28" s="8" t="s">
        <v>133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134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136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3" t="s">
        <v>28</v>
      </c>
      <c r="C2" s="203"/>
      <c r="D2" s="203"/>
      <c r="E2" s="203"/>
      <c r="F2" s="203"/>
      <c r="G2" s="203"/>
      <c r="H2" s="203"/>
      <c r="K2" s="203" t="s">
        <v>118</v>
      </c>
      <c r="L2" s="203"/>
      <c r="M2" s="203"/>
      <c r="N2" s="203"/>
      <c r="O2" s="203"/>
      <c r="P2" s="203"/>
      <c r="Q2" s="203"/>
      <c r="T2" s="203" t="s">
        <v>59</v>
      </c>
      <c r="U2" s="203"/>
      <c r="V2" s="203"/>
      <c r="W2" s="203"/>
      <c r="X2" s="203"/>
      <c r="Y2" s="203"/>
      <c r="Z2" s="203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2" t="s">
        <v>26</v>
      </c>
      <c r="C6" s="202"/>
      <c r="D6" s="202"/>
      <c r="E6" s="202"/>
      <c r="F6" s="202"/>
      <c r="G6" s="202"/>
      <c r="H6" s="202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117</v>
      </c>
    </row>
    <row r="7" spans="2:28" x14ac:dyDescent="0.55000000000000004">
      <c r="B7" s="208" t="s">
        <v>123</v>
      </c>
      <c r="C7" s="208"/>
      <c r="D7" s="208"/>
      <c r="E7" s="208"/>
      <c r="F7" s="208"/>
      <c r="G7" s="208"/>
      <c r="H7" s="208"/>
      <c r="K7" s="129" t="str">
        <f>IF($B$22="","",$B$22)</f>
        <v>Pretest</v>
      </c>
      <c r="L7" s="69"/>
      <c r="M7" s="70">
        <v>1</v>
      </c>
      <c r="N7" s="185" t="s">
        <v>124</v>
      </c>
      <c r="O7" s="185">
        <v>20</v>
      </c>
      <c r="P7" s="135">
        <v>19.3</v>
      </c>
      <c r="Q7" s="135">
        <v>5.9039999999999999</v>
      </c>
      <c r="S7" s="33"/>
      <c r="T7" s="129" t="str">
        <f>IF($B$22="","",$B$22)</f>
        <v>Pretest</v>
      </c>
      <c r="U7" s="70">
        <v>1</v>
      </c>
      <c r="V7" s="186">
        <f t="shared" ref="V7:X11" si="0">IF(O7="","",O7)</f>
        <v>20</v>
      </c>
      <c r="W7" s="86">
        <f t="shared" si="0"/>
        <v>19.3</v>
      </c>
      <c r="X7" s="86">
        <f t="shared" si="0"/>
        <v>5.9039999999999999</v>
      </c>
      <c r="Y7" s="20">
        <f>IFERROR(V7-1,"")</f>
        <v>19</v>
      </c>
      <c r="Z7" s="76">
        <f>IFERROR(X7/SQRT(V7),"")</f>
        <v>1.3201745339158757</v>
      </c>
      <c r="AA7" s="5">
        <f>IFERROR(X7^2*(V7-1),"")</f>
        <v>662.287104</v>
      </c>
    </row>
    <row r="8" spans="2:28" ht="14.7" thickBot="1" x14ac:dyDescent="0.6">
      <c r="B8" s="209"/>
      <c r="C8" s="209"/>
      <c r="D8" s="209"/>
      <c r="E8" s="209"/>
      <c r="F8" s="209"/>
      <c r="G8" s="209"/>
      <c r="H8" s="209"/>
      <c r="K8" s="130" t="str">
        <f>IF($B$23="","",$B$23)</f>
        <v>Posttest</v>
      </c>
      <c r="L8" s="71"/>
      <c r="M8" s="72">
        <v>2</v>
      </c>
      <c r="N8" s="187" t="s">
        <v>124</v>
      </c>
      <c r="O8" s="187">
        <v>20</v>
      </c>
      <c r="P8" s="136">
        <v>23.6</v>
      </c>
      <c r="Q8" s="136">
        <v>4.7619999999999996</v>
      </c>
      <c r="S8" s="33"/>
      <c r="T8" s="130" t="str">
        <f>IF($B$23="","",$B$23)</f>
        <v>Posttest</v>
      </c>
      <c r="U8" s="72">
        <v>2</v>
      </c>
      <c r="V8" s="188">
        <f t="shared" si="0"/>
        <v>20</v>
      </c>
      <c r="W8" s="87">
        <f t="shared" si="0"/>
        <v>23.6</v>
      </c>
      <c r="X8" s="87">
        <f t="shared" si="0"/>
        <v>4.7619999999999996</v>
      </c>
      <c r="Y8" s="22">
        <f>IFERROR(V8-1,"")</f>
        <v>19</v>
      </c>
      <c r="Z8" s="77">
        <f>IFERROR(X8/SQRT(V8),"")</f>
        <v>1.0648155708853997</v>
      </c>
      <c r="AA8" s="5">
        <f>IFERROR(X8^2*(V8-1),"")</f>
        <v>430.85623599999991</v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07" t="s">
        <v>27</v>
      </c>
      <c r="C10" s="207"/>
      <c r="D10" s="207"/>
      <c r="E10" s="207"/>
      <c r="F10" s="207"/>
      <c r="G10" s="207"/>
      <c r="H10" s="207"/>
      <c r="K10" s="130" t="str">
        <f>IF($B$25="","",$B$25)</f>
        <v>Followup</v>
      </c>
      <c r="L10" s="71"/>
      <c r="M10" s="72">
        <v>4</v>
      </c>
      <c r="N10" s="187" t="s">
        <v>125</v>
      </c>
      <c r="O10" s="187">
        <v>20</v>
      </c>
      <c r="P10" s="136">
        <v>23.4</v>
      </c>
      <c r="Q10" s="136">
        <v>4.6159999999999997</v>
      </c>
      <c r="T10" s="130" t="str">
        <f>IF($B$25="","",$B$25)</f>
        <v>Followup</v>
      </c>
      <c r="U10" s="72">
        <v>4</v>
      </c>
      <c r="V10" s="188">
        <f t="shared" si="0"/>
        <v>20</v>
      </c>
      <c r="W10" s="87">
        <f t="shared" si="0"/>
        <v>23.4</v>
      </c>
      <c r="X10" s="87">
        <f t="shared" si="0"/>
        <v>4.6159999999999997</v>
      </c>
      <c r="Y10" s="22">
        <f>IFERROR(V10-1,"")</f>
        <v>19</v>
      </c>
      <c r="Z10" s="77">
        <f>IFERROR(X10/SQRT(V10),"")</f>
        <v>1.0321689784139028</v>
      </c>
      <c r="AA10" s="5">
        <f>IFERROR(X10^2*(V10-1),"")</f>
        <v>404.84166399999998</v>
      </c>
    </row>
    <row r="11" spans="2:28" ht="14.7" thickBot="1" x14ac:dyDescent="0.6">
      <c r="B11" s="204" t="s">
        <v>137</v>
      </c>
      <c r="C11" s="204"/>
      <c r="D11" s="204"/>
      <c r="E11" s="204"/>
      <c r="F11" s="204"/>
      <c r="G11" s="204"/>
      <c r="H11" s="204"/>
      <c r="K11" s="79" t="s">
        <v>46</v>
      </c>
      <c r="L11" s="189"/>
      <c r="M11" s="79" t="s">
        <v>46</v>
      </c>
      <c r="N11" s="189"/>
      <c r="O11" s="24">
        <f>IFERROR(SUM(O7:O10),"")</f>
        <v>60</v>
      </c>
      <c r="P11" s="25">
        <f>IFERROR(SUMPRODUCT(O7:O10,P7:P10)/O11,"")</f>
        <v>22.1</v>
      </c>
      <c r="Q11" s="137">
        <v>5.42</v>
      </c>
      <c r="S11" s="33"/>
      <c r="T11" s="79" t="s">
        <v>46</v>
      </c>
      <c r="U11" s="79" t="s">
        <v>46</v>
      </c>
      <c r="V11" s="192">
        <f t="shared" si="0"/>
        <v>60</v>
      </c>
      <c r="W11" s="193">
        <f t="shared" si="0"/>
        <v>22.1</v>
      </c>
      <c r="X11" s="193">
        <f t="shared" si="0"/>
        <v>5.42</v>
      </c>
      <c r="Y11" s="24">
        <f>IFERROR(V11-1,"")</f>
        <v>59</v>
      </c>
      <c r="Z11" s="78">
        <f>IFERROR(X11/SQRT(V11),"")</f>
        <v>0.69971899121480663</v>
      </c>
      <c r="AA11" s="5">
        <f>SUM(AA7:AA10)</f>
        <v>1497.9850039999999</v>
      </c>
      <c r="AB11" s="190">
        <f>(X11^2)*(V11-1)</f>
        <v>1733.2076</v>
      </c>
    </row>
    <row r="12" spans="2:28" x14ac:dyDescent="0.55000000000000004">
      <c r="B12" s="205"/>
      <c r="C12" s="205"/>
      <c r="D12" s="205"/>
      <c r="E12" s="205"/>
      <c r="F12" s="205"/>
      <c r="G12" s="205"/>
      <c r="H12" s="205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5"/>
      <c r="C13" s="205"/>
      <c r="D13" s="205"/>
      <c r="E13" s="205"/>
      <c r="F13" s="205"/>
      <c r="G13" s="205"/>
      <c r="H13" s="205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6"/>
      <c r="C14" s="206"/>
      <c r="D14" s="206"/>
      <c r="E14" s="206"/>
      <c r="F14" s="206"/>
      <c r="G14" s="206"/>
      <c r="H14" s="206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2" t="s">
        <v>61</v>
      </c>
      <c r="C21" s="202"/>
      <c r="D21" s="202" t="s">
        <v>24</v>
      </c>
      <c r="E21" s="202"/>
      <c r="F21" s="202"/>
      <c r="G21" s="202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11" t="s">
        <v>126</v>
      </c>
      <c r="C22" s="211"/>
      <c r="D22" s="211" t="s">
        <v>127</v>
      </c>
      <c r="E22" s="211"/>
      <c r="F22" s="211"/>
      <c r="G22" s="211"/>
      <c r="H22" s="111">
        <v>1</v>
      </c>
      <c r="K22" s="129" t="str">
        <f>IF($B$22="","",$B$22)</f>
        <v>Pretest</v>
      </c>
      <c r="L22" s="69"/>
      <c r="M22" s="70">
        <v>1</v>
      </c>
      <c r="N22" s="76">
        <v>1</v>
      </c>
      <c r="O22" s="135">
        <v>0.49299999999999999</v>
      </c>
      <c r="P22" s="135"/>
      <c r="Q22" s="135">
        <v>0.53600000000000003</v>
      </c>
      <c r="S22" s="33"/>
      <c r="T22" s="129" t="str">
        <f>IF($B$22="","",$B$22)</f>
        <v>Pretest</v>
      </c>
      <c r="U22" s="69"/>
      <c r="V22" s="70">
        <v>1</v>
      </c>
      <c r="W22" s="76">
        <v>1</v>
      </c>
      <c r="X22" s="86">
        <f>IF(O22="","",O22)</f>
        <v>0.49299999999999999</v>
      </c>
      <c r="Y22" s="86" t="str">
        <f>IF(P22="","",P22)</f>
        <v/>
      </c>
      <c r="Z22" s="86">
        <f>IF(Q22="","",Q22)</f>
        <v>0.53600000000000003</v>
      </c>
    </row>
    <row r="23" spans="2:26" x14ac:dyDescent="0.55000000000000004">
      <c r="B23" s="212" t="s">
        <v>128</v>
      </c>
      <c r="C23" s="212"/>
      <c r="D23" s="212" t="s">
        <v>129</v>
      </c>
      <c r="E23" s="212"/>
      <c r="F23" s="212"/>
      <c r="G23" s="212"/>
      <c r="H23" s="51">
        <v>2</v>
      </c>
      <c r="K23" s="130" t="str">
        <f>IF($B$23="","",$B$23)</f>
        <v>Posttest</v>
      </c>
      <c r="L23" s="71"/>
      <c r="M23" s="72">
        <v>2</v>
      </c>
      <c r="N23" s="77"/>
      <c r="O23" s="77">
        <v>1</v>
      </c>
      <c r="P23" s="136"/>
      <c r="Q23" s="136">
        <v>0.74299999999999999</v>
      </c>
      <c r="S23" s="33"/>
      <c r="T23" s="130" t="str">
        <f>IF($B$23="","",$B$23)</f>
        <v>Posttest</v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>
        <f>IF(Q23="","",Q23)</f>
        <v>0.74299999999999999</v>
      </c>
    </row>
    <row r="24" spans="2:26" x14ac:dyDescent="0.55000000000000004">
      <c r="B24" s="212"/>
      <c r="C24" s="212"/>
      <c r="D24" s="212"/>
      <c r="E24" s="212"/>
      <c r="F24" s="212"/>
      <c r="G24" s="212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10" t="s">
        <v>130</v>
      </c>
      <c r="C25" s="210"/>
      <c r="D25" s="210" t="s">
        <v>131</v>
      </c>
      <c r="E25" s="210"/>
      <c r="F25" s="210"/>
      <c r="G25" s="210"/>
      <c r="H25" s="112">
        <v>4</v>
      </c>
      <c r="K25" s="79" t="str">
        <f>IF($B$25="","",$B$25)</f>
        <v>Followup</v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>Followup</v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>
        <f>IFERROR(V7-1,"")</f>
        <v>19</v>
      </c>
      <c r="W32" s="90">
        <f>IFERROR(U32/V32,"")</f>
        <v>0</v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>
        <f>IFERROR(DEVSQ(W7:W10)*(V32+1),"")</f>
        <v>235.59999999999997</v>
      </c>
      <c r="V33" s="94">
        <f>IFERROR(COUNT(X7:X10)-1,"")</f>
        <v>2</v>
      </c>
      <c r="W33" s="93">
        <f>IFERROR(U33/V33,"")</f>
        <v>117.79999999999998</v>
      </c>
      <c r="X33" s="93" t="str">
        <f>IFERROR(W33/W34,"")</f>
        <v/>
      </c>
      <c r="Y33" s="93" t="str">
        <f>IFERROR(IF(FDIST(X33,V33,V34)&lt;0.001,"&lt; 0.001",FDIST(X33,V33,V34)),"")</f>
        <v/>
      </c>
      <c r="Z33" s="95">
        <f>IFERROR(U33/(U33+U34),"")</f>
        <v>1</v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>
        <f>IFERROR(V35-V33-V32,"")</f>
        <v>38</v>
      </c>
      <c r="W34" s="96">
        <f>IFERROR(U34/V34,"")</f>
        <v>0</v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>
        <f>IFERROR(X11^2*V35,"")</f>
        <v>1733.2076</v>
      </c>
      <c r="V35" s="101">
        <f>IFERROR(V11-1,"")</f>
        <v>59</v>
      </c>
      <c r="W35" s="100">
        <f>IFERROR(U35/V35,"")</f>
        <v>29.3764</v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B10:H10"/>
    <mergeCell ref="B7:H8"/>
    <mergeCell ref="B2:H2"/>
    <mergeCell ref="B6:H6"/>
    <mergeCell ref="K2:Q2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>Pretest</v>
      </c>
      <c r="C7" s="80">
        <f>Data!V7</f>
        <v>20</v>
      </c>
      <c r="D7" s="34">
        <f>Data!W7</f>
        <v>19.3</v>
      </c>
      <c r="E7" s="34">
        <f>Data!X7</f>
        <v>5.9039999999999999</v>
      </c>
      <c r="F7" s="34">
        <f>Data!Z7</f>
        <v>1.3201745339158757</v>
      </c>
      <c r="G7" s="21">
        <f>IFERROR(D7-TINV(1-$H$4/100,Data!Y7)*Data!Z7,"")</f>
        <v>16.536842944496797</v>
      </c>
      <c r="H7" s="21">
        <f>IFERROR(D7+TINV(1-$H$4/100,Data!Y7)*Data!Z7,"")</f>
        <v>22.063157055503204</v>
      </c>
      <c r="J7" s="3"/>
      <c r="K7" s="20" t="str">
        <f t="shared" ref="K7:K10" si="0">B7</f>
        <v>Pretest</v>
      </c>
      <c r="L7" s="21">
        <f>IFERROR((D7-C40)/E7,"")</f>
        <v>-0.11856368563685625</v>
      </c>
      <c r="M7" s="21">
        <f>IFERROR((1-3/(4*G40-1))*L7,"")</f>
        <v>-0.113821138211382</v>
      </c>
      <c r="N7" s="53">
        <f>Data!Y7</f>
        <v>19</v>
      </c>
      <c r="O7" s="21">
        <f>IFERROR(SQRT((N7+2)/(Data!V7*Data!V7)+((L7^2)/(2*(N7+2)))),"")</f>
        <v>0.22985799692687053</v>
      </c>
      <c r="P7" s="34">
        <f>IFERROR(Y17*SQRT(1/C7),"")</f>
        <v>-0.5568723143781652</v>
      </c>
      <c r="Q7" s="34">
        <f>IFERROR(Z17*SQRT(1/C7),"")</f>
        <v>0.32284318590009647</v>
      </c>
    </row>
    <row r="8" spans="1:26" x14ac:dyDescent="0.55000000000000004">
      <c r="A8" s="3"/>
      <c r="B8" s="22" t="str">
        <f>Data!T8</f>
        <v>Posttest</v>
      </c>
      <c r="C8" s="81">
        <f>Data!V8</f>
        <v>20</v>
      </c>
      <c r="D8" s="36">
        <f>Data!W8</f>
        <v>23.6</v>
      </c>
      <c r="E8" s="36">
        <f>Data!X8</f>
        <v>4.7619999999999996</v>
      </c>
      <c r="F8" s="36">
        <f>Data!Z8</f>
        <v>1.0648155708853997</v>
      </c>
      <c r="G8" s="23">
        <f>IFERROR(D8-TINV(1-$H$4/100,Data!Y8)*Data!Z8,"")</f>
        <v>21.371315396628344</v>
      </c>
      <c r="H8" s="23">
        <f>IFERROR(D8+TINV(1-$H$4/100,Data!Y8)*Data!Z8,"")</f>
        <v>25.828684603371659</v>
      </c>
      <c r="J8" s="3"/>
      <c r="K8" s="22" t="str">
        <f t="shared" si="0"/>
        <v>Posttest</v>
      </c>
      <c r="L8" s="23">
        <f>IFERROR((D8-C41)/E8,"")</f>
        <v>0.7559848803023943</v>
      </c>
      <c r="M8" s="23">
        <f>IFERROR((1-3/(4*G41-1))*L8,"")</f>
        <v>0.72574548509029846</v>
      </c>
      <c r="N8" s="54">
        <f>Data!Y8</f>
        <v>19</v>
      </c>
      <c r="O8" s="23">
        <f>IFERROR(SQRT((G41+2)/(Data!V8*Data!V8)+((L8^2)/(2*(G41+2)))),"")</f>
        <v>0.25711370188367866</v>
      </c>
      <c r="P8" s="36">
        <f>IFERROR(Y18*SQRT(1/C8),"")</f>
        <v>0.24925516679792026</v>
      </c>
      <c r="Q8" s="36">
        <f>IFERROR(Z18*SQRT(1/C8),"")</f>
        <v>1.2473827082194537</v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>Followup</v>
      </c>
      <c r="C10" s="81">
        <f>Data!V10</f>
        <v>20</v>
      </c>
      <c r="D10" s="36">
        <f>Data!W10</f>
        <v>23.4</v>
      </c>
      <c r="E10" s="36">
        <f>Data!X10</f>
        <v>4.6159999999999997</v>
      </c>
      <c r="F10" s="66">
        <f>Data!Z10</f>
        <v>1.0321689784139028</v>
      </c>
      <c r="G10" s="23">
        <f>IFERROR(D10-TINV(1-$H$4/100,Data!Y10)*Data!Z10,"")</f>
        <v>21.239645499965651</v>
      </c>
      <c r="H10" s="23">
        <f>IFERROR(D10+TINV(1-$H$4/100,Data!Y10)*Data!Z10,"")</f>
        <v>25.560354500034347</v>
      </c>
      <c r="J10" s="3"/>
      <c r="K10" s="134" t="str">
        <f t="shared" si="0"/>
        <v>Followup</v>
      </c>
      <c r="L10" s="63">
        <f>IFERROR((D10-C43)/E10,"")</f>
        <v>0.73656845753899458</v>
      </c>
      <c r="M10" s="63">
        <f>IFERROR((1-3/(4*G43-1))*L10,"")</f>
        <v>0.70710571923743482</v>
      </c>
      <c r="N10" s="54">
        <f>Data!Y10</f>
        <v>19</v>
      </c>
      <c r="O10" s="23">
        <f>IFERROR(SQRT((G43+2)/(Data!V10*Data!V10)+((L10^2)/(2*(G43+2)))),"")</f>
        <v>0.25576836119172242</v>
      </c>
      <c r="P10" s="36">
        <f>IFERROR(Y20*SQRT(1/C10),"")</f>
        <v>0.23285389386374797</v>
      </c>
      <c r="Q10" s="36">
        <f>IFERROR(Z20*SQRT(1/C10),"")</f>
        <v>1.2251744196493937</v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>
        <f>EXP(((LN(2)-LN(G40))/2)+GAMMALN((G40+1)/2)-GAMMALN(G40/2))</f>
        <v>0.98693426752465663</v>
      </c>
      <c r="U17" s="34">
        <f>T17*F40</f>
        <v>-0.52330503999199363</v>
      </c>
      <c r="V17" s="34">
        <f>1+(F40^2)*(1-T17^2)</f>
        <v>1.0072987861548834</v>
      </c>
      <c r="W17" s="34">
        <f>(2*U17^3)-((2*G40-1)/G40)*(F40^2*U17)</f>
        <v>-1.0447033630778257E-4</v>
      </c>
      <c r="X17" s="56">
        <f>W17/SQRT(V17)^3</f>
        <v>-1.0333692328221801E-4</v>
      </c>
      <c r="Y17" s="105">
        <f t="shared" ref="Y17:Z20" si="1">IF($X17&lt;0.001,Y29,Y23)</f>
        <v>-2.4904086994744219</v>
      </c>
      <c r="Z17" s="105">
        <f t="shared" si="1"/>
        <v>1.4437986194904346</v>
      </c>
    </row>
    <row r="18" spans="1:26" x14ac:dyDescent="0.55000000000000004">
      <c r="A18" s="27"/>
      <c r="B18" s="45">
        <v>1.1000000000000001</v>
      </c>
      <c r="C18" s="48">
        <f>IF(H7="",NA(),H7)</f>
        <v>22.063157055503204</v>
      </c>
      <c r="D18" s="48">
        <f t="shared" ref="D18:D29" si="2">C18</f>
        <v>22.063157055503204</v>
      </c>
      <c r="E18" s="48"/>
      <c r="F18" s="48"/>
      <c r="G18" s="47">
        <v>0.5</v>
      </c>
      <c r="H18" s="47">
        <f>$C$40</f>
        <v>20</v>
      </c>
      <c r="I18" s="28"/>
      <c r="J18" s="3"/>
      <c r="K18" s="45">
        <v>1.1000000000000001</v>
      </c>
      <c r="L18" s="48">
        <f>IF(Q7="",NA(),Q7)</f>
        <v>0.32284318590009647</v>
      </c>
      <c r="M18" s="48">
        <f t="shared" ref="M18:M29" si="3">L18</f>
        <v>0.32284318590009647</v>
      </c>
      <c r="N18" s="50"/>
      <c r="O18" s="49"/>
      <c r="P18" s="47">
        <v>0.5</v>
      </c>
      <c r="Q18" s="47">
        <f>L$40</f>
        <v>0.2</v>
      </c>
      <c r="S18" s="52"/>
      <c r="T18" s="36">
        <f>EXP(((LN(2)-LN(G41))/2)+GAMMALN((G41+1)/2)-GAMMALN(G41/2))</f>
        <v>0.98693426752465663</v>
      </c>
      <c r="U18" s="36">
        <f>T18*F41</f>
        <v>3.3366936587285791</v>
      </c>
      <c r="V18" s="36">
        <f>1+(F41^2)*(1-T18^2)</f>
        <v>1.2967382127169977</v>
      </c>
      <c r="W18" s="36">
        <f>(2*U18^3)-((2*G41-1)/G41)*(F41^2*U18)</f>
        <v>2.708178265118022E-2</v>
      </c>
      <c r="X18" s="56">
        <f>W18/SQRT(V18)^3</f>
        <v>1.8339976921029566E-2</v>
      </c>
      <c r="Y18" s="105">
        <f t="shared" si="1"/>
        <v>1.1147029934063966</v>
      </c>
      <c r="Z18" s="105">
        <f t="shared" si="1"/>
        <v>5.5784650590729683</v>
      </c>
    </row>
    <row r="19" spans="1:26" x14ac:dyDescent="0.55000000000000004">
      <c r="A19" s="27"/>
      <c r="B19" s="45">
        <v>1.1000000000000001</v>
      </c>
      <c r="C19" s="47">
        <f>IF(D7="",NA(),D7)</f>
        <v>19.3</v>
      </c>
      <c r="D19" s="48">
        <f t="shared" si="2"/>
        <v>19.3</v>
      </c>
      <c r="E19" s="48"/>
      <c r="F19" s="48"/>
      <c r="G19" s="47">
        <v>1</v>
      </c>
      <c r="H19" s="47">
        <f>$C$40</f>
        <v>20</v>
      </c>
      <c r="I19" s="28"/>
      <c r="J19" s="3"/>
      <c r="K19" s="45">
        <v>1.1000000000000001</v>
      </c>
      <c r="L19" s="47">
        <f>IF(M7="",NA(),M7)</f>
        <v>-0.113821138211382</v>
      </c>
      <c r="M19" s="48">
        <f t="shared" si="3"/>
        <v>-0.113821138211382</v>
      </c>
      <c r="N19" s="50"/>
      <c r="O19" s="49"/>
      <c r="P19" s="47">
        <v>1</v>
      </c>
      <c r="Q19" s="47">
        <f>L$40</f>
        <v>0.2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>
        <f>IF(G7="",NA(),G7)</f>
        <v>16.536842944496797</v>
      </c>
      <c r="D20" s="48">
        <f t="shared" si="2"/>
        <v>16.536842944496797</v>
      </c>
      <c r="E20" s="48"/>
      <c r="F20" s="48"/>
      <c r="G20" s="47">
        <v>1.5</v>
      </c>
      <c r="H20" s="47">
        <f>$C$40</f>
        <v>20</v>
      </c>
      <c r="I20" s="28"/>
      <c r="J20" s="3"/>
      <c r="K20" s="45">
        <v>1.1000000000000001</v>
      </c>
      <c r="L20" s="48">
        <f>IF(P7="",NA(),P7)</f>
        <v>-0.5568723143781652</v>
      </c>
      <c r="M20" s="48">
        <f t="shared" si="3"/>
        <v>-0.5568723143781652</v>
      </c>
      <c r="N20" s="50"/>
      <c r="O20" s="49"/>
      <c r="P20" s="47">
        <v>1.5</v>
      </c>
      <c r="Q20" s="47">
        <f>L$40</f>
        <v>0.2</v>
      </c>
      <c r="S20" s="52"/>
      <c r="T20" s="36">
        <f>EXP(((LN(2)-LN(G43))/2)+GAMMALN((G43+1)/2)-GAMMALN(G43/2))</f>
        <v>0.98693426752465663</v>
      </c>
      <c r="U20" s="36">
        <f>T20*F43</f>
        <v>3.2509953115818555</v>
      </c>
      <c r="V20" s="36">
        <f>1+(F43^2)*(1-T20^2)</f>
        <v>1.2816913369002698</v>
      </c>
      <c r="W20" s="36">
        <f>(2*U20^3)-((2*G43-1)/G43)*(F43^2*U20)</f>
        <v>2.5048243116529534E-2</v>
      </c>
      <c r="X20" s="56">
        <f>W20/SQRT(V20)^3</f>
        <v>1.7262436599712626E-2</v>
      </c>
      <c r="Y20" s="105">
        <f t="shared" si="1"/>
        <v>1.0413542710097232</v>
      </c>
      <c r="Z20" s="105">
        <f t="shared" si="1"/>
        <v>5.479146573259797</v>
      </c>
    </row>
    <row r="21" spans="1:26" ht="14.7" thickBot="1" x14ac:dyDescent="0.6">
      <c r="A21" s="27"/>
      <c r="B21" s="45">
        <v>2.1</v>
      </c>
      <c r="C21" s="48">
        <f>IF(H8="",NA(),H8)</f>
        <v>25.828684603371659</v>
      </c>
      <c r="D21" s="48">
        <f t="shared" si="2"/>
        <v>25.828684603371659</v>
      </c>
      <c r="E21" s="48"/>
      <c r="F21" s="48"/>
      <c r="G21" s="47">
        <v>1.5</v>
      </c>
      <c r="H21" s="47">
        <f>$C$41</f>
        <v>20</v>
      </c>
      <c r="I21" s="28"/>
      <c r="J21" s="3"/>
      <c r="K21" s="45">
        <v>2.1</v>
      </c>
      <c r="L21" s="48">
        <f>IF(Q8="",NA(),Q8)</f>
        <v>1.2473827082194537</v>
      </c>
      <c r="M21" s="48">
        <f t="shared" si="3"/>
        <v>1.2473827082194537</v>
      </c>
      <c r="N21" s="49"/>
      <c r="O21" s="49"/>
      <c r="P21" s="47">
        <v>1.5</v>
      </c>
      <c r="Q21" s="47">
        <f>L$41</f>
        <v>0.5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>
        <f>IF(D8="",NA(),D8)</f>
        <v>23.6</v>
      </c>
      <c r="D22" s="48">
        <f t="shared" si="2"/>
        <v>23.6</v>
      </c>
      <c r="E22" s="48"/>
      <c r="F22" s="48"/>
      <c r="G22" s="47">
        <v>2</v>
      </c>
      <c r="H22" s="47">
        <f>$C$41</f>
        <v>20</v>
      </c>
      <c r="I22" s="28"/>
      <c r="J22" s="3"/>
      <c r="K22" s="45">
        <v>2.1</v>
      </c>
      <c r="L22" s="47">
        <f>IF(M8="",NA(),M8)</f>
        <v>0.72574548509029846</v>
      </c>
      <c r="M22" s="48">
        <f t="shared" si="3"/>
        <v>0.72574548509029846</v>
      </c>
      <c r="N22" s="49"/>
      <c r="O22" s="49"/>
      <c r="P22" s="47">
        <v>2</v>
      </c>
      <c r="Q22" s="47">
        <f>L$41</f>
        <v>0.5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>
        <f>IF(G8="",NA(),G8)</f>
        <v>21.371315396628344</v>
      </c>
      <c r="D23" s="48">
        <f t="shared" si="2"/>
        <v>21.371315396628344</v>
      </c>
      <c r="E23" s="48"/>
      <c r="F23" s="48"/>
      <c r="G23" s="47">
        <v>2.5</v>
      </c>
      <c r="H23" s="47">
        <f>$C$41</f>
        <v>20</v>
      </c>
      <c r="I23" s="28"/>
      <c r="J23" s="3"/>
      <c r="K23" s="45">
        <v>2.1</v>
      </c>
      <c r="L23" s="48">
        <f>IF(P8="",NA(),P8)</f>
        <v>0.24925516679792026</v>
      </c>
      <c r="M23" s="48">
        <f t="shared" si="3"/>
        <v>0.24925516679792026</v>
      </c>
      <c r="N23" s="49"/>
      <c r="O23" s="49"/>
      <c r="P23" s="47">
        <v>2.5</v>
      </c>
      <c r="Q23" s="47">
        <f>L$41</f>
        <v>0.5</v>
      </c>
      <c r="S23" s="52"/>
      <c r="T23" s="34">
        <f>W17/(4*V17)</f>
        <v>-2.5928338677586545E-5</v>
      </c>
      <c r="U23" s="34">
        <f>V17/(2*T23^2)</f>
        <v>749167507.73376596</v>
      </c>
      <c r="V23" s="34">
        <f>U17-(U23*T23)</f>
        <v>19424.14556172453</v>
      </c>
      <c r="W23" s="34">
        <f>2*GAMMAINV((1-$Q$4/100)/2,U23/2,1)</f>
        <v>749091642.69022119</v>
      </c>
      <c r="X23" s="34">
        <f>2*GAMMAINV(1-(1-$Q$4/100)/2,U23/2,1)</f>
        <v>749243376.56592238</v>
      </c>
      <c r="Y23" s="34">
        <f>IF(F40&gt;0,V23+(T23*W23),V23+(T23*X23))</f>
        <v>-2.4904578152163594</v>
      </c>
      <c r="Z23" s="34">
        <f>IF(F40&gt;0,V23+(T23*X23),V23+(T23*W23))</f>
        <v>1.4437495028287231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>
        <f>W18/(4*V18)</f>
        <v>5.2211353042563944E-3</v>
      </c>
      <c r="U24" s="36">
        <f>V18/(2*T24^2)</f>
        <v>23784.41189729964</v>
      </c>
      <c r="V24" s="36">
        <f>U18-(U24*T24)</f>
        <v>-120.84493898923839</v>
      </c>
      <c r="W24" s="36">
        <f>2*GAMMAINV((1-$Q$4/100)/2,U24/2,1)</f>
        <v>23358.835746551209</v>
      </c>
      <c r="X24" s="36">
        <f>2*GAMMAINV(1-(1-$Q$4/100)/2,U24/2,1)</f>
        <v>24213.776636902701</v>
      </c>
      <c r="Y24" s="36">
        <f>IF(F41&gt;0,V24+(T24*W24),V24+(T24*X24))</f>
        <v>1.1147029934063966</v>
      </c>
      <c r="Z24" s="36">
        <f>IF(F41&gt;0,V24+(T24*X24),V24+(T24*W24))</f>
        <v>5.5784650590729683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>
        <f>W20/(4*V20)</f>
        <v>4.8857791254772621E-3</v>
      </c>
      <c r="U26" s="66">
        <f>V20/(2*T26^2)</f>
        <v>26846.383754886432</v>
      </c>
      <c r="V26" s="66">
        <f>U20-(U26*T26)</f>
        <v>-127.91450603259416</v>
      </c>
      <c r="W26" s="66">
        <f>2*GAMMAINV((1-$Q$4/100)/2,U26/2,1)</f>
        <v>26394.124046900495</v>
      </c>
      <c r="X26" s="66">
        <f>2*GAMMAINV(1-(1-$Q$4/100)/2,U26/2,1)</f>
        <v>27302.432054339653</v>
      </c>
      <c r="Y26" s="66">
        <f>IF(F43&gt;0,V26+(T26*W26),V26+(T26*X26))</f>
        <v>1.0413542710097232</v>
      </c>
      <c r="Z26" s="66">
        <f>IF(F43&gt;0,V26+(T26*X26),V26+(T26*W26))</f>
        <v>5.479146573259797</v>
      </c>
    </row>
    <row r="27" spans="1:26" ht="14.7" thickBot="1" x14ac:dyDescent="0.6">
      <c r="A27" s="27"/>
      <c r="B27" s="45">
        <v>4.0999999999999996</v>
      </c>
      <c r="C27" s="48">
        <f>IF(H10="",NA(),H10)</f>
        <v>25.560354500034347</v>
      </c>
      <c r="D27" s="48">
        <f t="shared" si="2"/>
        <v>25.560354500034347</v>
      </c>
      <c r="E27" s="48"/>
      <c r="F27" s="48"/>
      <c r="G27" s="47">
        <v>3.5</v>
      </c>
      <c r="H27" s="47">
        <f>$C$43</f>
        <v>20</v>
      </c>
      <c r="I27" s="28"/>
      <c r="J27" s="3"/>
      <c r="K27" s="45">
        <v>4.0999999999999996</v>
      </c>
      <c r="L27" s="48">
        <f>IF(Q10="",NA(),Q10)</f>
        <v>1.2251744196493937</v>
      </c>
      <c r="M27" s="48">
        <f t="shared" si="3"/>
        <v>1.2251744196493937</v>
      </c>
      <c r="N27" s="49"/>
      <c r="O27" s="49"/>
      <c r="P27" s="47">
        <v>3.5</v>
      </c>
      <c r="Q27" s="47">
        <f>L$43</f>
        <v>0.5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>
        <f>IF(D10="",NA(),D10)</f>
        <v>23.4</v>
      </c>
      <c r="D28" s="48">
        <f t="shared" si="2"/>
        <v>23.4</v>
      </c>
      <c r="E28" s="48"/>
      <c r="F28" s="48"/>
      <c r="G28" s="47">
        <v>4</v>
      </c>
      <c r="H28" s="47">
        <f>$C$43</f>
        <v>20</v>
      </c>
      <c r="I28" s="28"/>
      <c r="J28" s="3"/>
      <c r="K28" s="46">
        <v>4.0999999999999996</v>
      </c>
      <c r="L28" s="47">
        <f>IF(M10="",NA(),M10)</f>
        <v>0.70710571923743482</v>
      </c>
      <c r="M28" s="48">
        <f t="shared" si="3"/>
        <v>0.70710571923743482</v>
      </c>
      <c r="N28" s="49"/>
      <c r="O28" s="49"/>
      <c r="P28" s="47">
        <v>4</v>
      </c>
      <c r="Q28" s="47">
        <f>L$43</f>
        <v>0.5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>
        <f>IF(G10="",NA(),G10)</f>
        <v>21.239645499965651</v>
      </c>
      <c r="D29" s="48">
        <f t="shared" si="2"/>
        <v>21.239645499965651</v>
      </c>
      <c r="E29" s="48"/>
      <c r="F29" s="48"/>
      <c r="G29" s="47">
        <v>4.5</v>
      </c>
      <c r="H29" s="47">
        <f>$C$43</f>
        <v>20</v>
      </c>
      <c r="I29" s="28"/>
      <c r="J29" s="3"/>
      <c r="K29" s="46">
        <v>4.0999999999999996</v>
      </c>
      <c r="L29" s="48">
        <f>IF(P10="",NA(),P10)</f>
        <v>0.23285389386374797</v>
      </c>
      <c r="M29" s="47">
        <f t="shared" si="3"/>
        <v>0.23285389386374797</v>
      </c>
      <c r="N29" s="49"/>
      <c r="O29" s="49"/>
      <c r="P29" s="47">
        <v>4.5</v>
      </c>
      <c r="Q29" s="47">
        <f>L$43</f>
        <v>0.5</v>
      </c>
      <c r="S29" s="52"/>
      <c r="V29" s="35">
        <f>SQRT(V17)</f>
        <v>1.0036427582336673</v>
      </c>
      <c r="W29" s="35">
        <f>NORMINV((1-$Q$4/100)/2,0,1)</f>
        <v>-1.9599639845400536</v>
      </c>
      <c r="X29" s="35">
        <f>NORMINV(1-(1-$Q$4/100)/2,0,1)</f>
        <v>1.9599639845400536</v>
      </c>
      <c r="Y29" s="35">
        <f>U17+W29*V29</f>
        <v>-2.4904086994744219</v>
      </c>
      <c r="Z29" s="35">
        <f>U17+X29*V29</f>
        <v>1.4437986194904346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>
        <f>SQRT(V18)</f>
        <v>1.1387441383897428</v>
      </c>
      <c r="W30" s="35">
        <f>NORMINV((1-$Q$4/100)/2,0,1)</f>
        <v>-1.9599639845400536</v>
      </c>
      <c r="X30" s="35">
        <f>NORMINV(1-(1-$Q$4/100)/2,0,1)</f>
        <v>1.9599639845400536</v>
      </c>
      <c r="Y30" s="35">
        <f>U18+W30*V30</f>
        <v>1.1047961598785889</v>
      </c>
      <c r="Z30" s="35">
        <f>U18+X30*V30</f>
        <v>5.5685911575785694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>
        <f>SQRT(V20)</f>
        <v>1.13211807551168</v>
      </c>
      <c r="W32" s="35">
        <f>NORMINV((1-$Q$4/100)/2,0,1)</f>
        <v>-1.9599639845400536</v>
      </c>
      <c r="X32" s="35">
        <f>NORMINV(1-(1-$Q$4/100)/2,0,1)</f>
        <v>1.9599639845400536</v>
      </c>
      <c r="Y32" s="35">
        <f>U20+W32*V32</f>
        <v>1.0320846573321658</v>
      </c>
      <c r="Z32" s="35">
        <f>U20+X32*V32</f>
        <v>5.4699059658315452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>Pretest</v>
      </c>
      <c r="C40" s="16">
        <v>20</v>
      </c>
      <c r="D40" s="34">
        <f>IFERROR(D7-C40,"")</f>
        <v>-0.69999999999999929</v>
      </c>
      <c r="E40" s="34">
        <f>Data!Z7</f>
        <v>1.3201745339158757</v>
      </c>
      <c r="F40" s="34">
        <f>IFERROR(D40/E40,"")</f>
        <v>-0.53023292149385204</v>
      </c>
      <c r="G40" s="53">
        <f>Data!Y7</f>
        <v>19</v>
      </c>
      <c r="H40" s="34">
        <f>IFERROR(IF(TDIST(ABS(F40),G40,2)&lt;0.001,"&lt; 0.001",TDIST(ABS(F40),G40,2)),"")</f>
        <v>0.60209292242601187</v>
      </c>
      <c r="I40" s="29"/>
      <c r="J40" s="3"/>
      <c r="K40" s="20" t="str">
        <f>K7</f>
        <v>Pretest</v>
      </c>
      <c r="L40" s="16">
        <v>0.2</v>
      </c>
      <c r="M40" s="3"/>
      <c r="N40" s="3"/>
      <c r="O40" s="3"/>
      <c r="P40" s="3"/>
      <c r="Q40" s="3"/>
    </row>
    <row r="41" spans="1:26" x14ac:dyDescent="0.55000000000000004">
      <c r="B41" s="22" t="str">
        <f>B8</f>
        <v>Posttest</v>
      </c>
      <c r="C41" s="17">
        <v>20</v>
      </c>
      <c r="D41" s="36">
        <f>IFERROR(D8-C41,"")</f>
        <v>3.6000000000000014</v>
      </c>
      <c r="E41" s="36">
        <f>Data!Z8</f>
        <v>1.0648155708853997</v>
      </c>
      <c r="F41" s="36">
        <f>IFERROR(D41/E41,"")</f>
        <v>3.380867164636391</v>
      </c>
      <c r="G41" s="54">
        <f>Data!Y8</f>
        <v>19</v>
      </c>
      <c r="H41" s="36">
        <f>IFERROR(IF(TDIST(ABS(F41),G41,2)&lt;0.001,"&lt; 0.001",TDIST(ABS(F41),G41,2)),"")</f>
        <v>3.1372928643839228E-3</v>
      </c>
      <c r="I41" s="29"/>
      <c r="J41" s="3"/>
      <c r="K41" s="22" t="str">
        <f>K8</f>
        <v>Posttest</v>
      </c>
      <c r="L41" s="17">
        <v>0.5</v>
      </c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>Followup</v>
      </c>
      <c r="C43" s="17">
        <v>20</v>
      </c>
      <c r="D43" s="66">
        <f>IFERROR(D10-C43,"")</f>
        <v>3.3999999999999986</v>
      </c>
      <c r="E43" s="66">
        <f>Data!Z10</f>
        <v>1.0321689784139028</v>
      </c>
      <c r="F43" s="66">
        <f>IFERROR(D43/E43,"")</f>
        <v>3.294034282278719</v>
      </c>
      <c r="G43" s="65">
        <f>Data!Y10</f>
        <v>19</v>
      </c>
      <c r="H43" s="66">
        <f>IFERROR(IF(TDIST(ABS(F43),G43,2)&lt;0.001,"&lt; 0.001",TDIST(ABS(F43),G43,2)),"")</f>
        <v>3.8162875962535286E-3</v>
      </c>
      <c r="I43" s="29"/>
      <c r="J43" s="3"/>
      <c r="K43" s="134" t="str">
        <f>K10</f>
        <v>Followup</v>
      </c>
      <c r="L43" s="64">
        <v>0.5</v>
      </c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>
        <v>2</v>
      </c>
      <c r="C7" s="70">
        <f>IF(B7="","",VLOOKUP($B7,Data!$U$7:$X$10,2,FALSE))</f>
        <v>20</v>
      </c>
      <c r="D7" s="34">
        <f>IF(B7="","",VLOOKUP($B7,Data!$U$7:$X$10,3,FALSE))</f>
        <v>23.6</v>
      </c>
      <c r="E7" s="34">
        <f>IF(B7="","",VLOOKUP($B7,Data!$U$7:$X$10,4,FALSE))</f>
        <v>4.7619999999999996</v>
      </c>
      <c r="F7" s="34">
        <f>IFERROR(E7/SQRT(C7),"")</f>
        <v>1.0648155708853997</v>
      </c>
      <c r="G7" s="34">
        <f>IFERROR(D7-TINV(1-$H$4/100,C7-1)*F7,"")</f>
        <v>21.371315396628344</v>
      </c>
      <c r="H7" s="34">
        <f>IFERROR(D7+TINV(1-$H$4/100,C7-1)*F7,"")</f>
        <v>25.828684603371659</v>
      </c>
      <c r="K7" s="131">
        <f>IF(B7="","",B7)</f>
        <v>2</v>
      </c>
      <c r="L7" s="163">
        <f>IFERROR((D7-C40)/E7,"")</f>
        <v>0.7559848803023943</v>
      </c>
      <c r="M7" s="163">
        <f>IFERROR((1-3/(4*G40-1))*L7,"")</f>
        <v>0.72574548509029846</v>
      </c>
      <c r="N7" s="164">
        <f t="shared" si="0"/>
        <v>19</v>
      </c>
      <c r="O7" s="163">
        <f>IFERROR(SQRT((N7+2)/(Data!V7*Data!V7)+((L7^2)/(2*(N7+2)))),"")</f>
        <v>0.25711370188367866</v>
      </c>
      <c r="P7" s="165">
        <f>IFERROR(Y17*SQRT(1/C7),"")</f>
        <v>0.24925516679792026</v>
      </c>
      <c r="Q7" s="165">
        <f>IFERROR(Z17*SQRT(1/C7),"")</f>
        <v>1.2473827082194537</v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>
        <v>1</v>
      </c>
      <c r="C8" s="74">
        <f>IF(B8="","",VLOOKUP($B8,Data!$U$7:$X$10,2,FALSE))</f>
        <v>20</v>
      </c>
      <c r="D8" s="37">
        <f>IF(B8="","",VLOOKUP($B8,Data!$U$7:$X$10,3,FALSE))</f>
        <v>19.3</v>
      </c>
      <c r="E8" s="37">
        <f>IF(B8="","",VLOOKUP($B8,Data!$U$7:$X$10,4,FALSE))</f>
        <v>5.9039999999999999</v>
      </c>
      <c r="F8" s="66">
        <f>IFERROR(E8/SQRT(C8),"")</f>
        <v>1.3201745339158757</v>
      </c>
      <c r="G8" s="66">
        <f>IFERROR(D8-TINV(1-$H$4/100,C8-1)*F8,"")</f>
        <v>16.536842944496797</v>
      </c>
      <c r="H8" s="66">
        <f>IFERROR(D8+TINV(1-$H$4/100,C8-1)*F8,"")</f>
        <v>22.063157055503204</v>
      </c>
      <c r="K8" s="166">
        <f>IF(B8="","",B8)</f>
        <v>1</v>
      </c>
      <c r="L8" s="167">
        <f>IFERROR((D8-C41)/E8,"")</f>
        <v>-0.11856368563685625</v>
      </c>
      <c r="M8" s="167">
        <f>IFERROR((1-3/(4*G41-1))*L8,"")</f>
        <v>-0.113821138211382</v>
      </c>
      <c r="N8" s="168">
        <f t="shared" si="0"/>
        <v>19</v>
      </c>
      <c r="O8" s="167">
        <f>IFERROR(SQRT((N8+2)/(Data!V8*Data!V8)+((L8^2)/(2*(N8+2)))),"")</f>
        <v>0.22985799692687053</v>
      </c>
      <c r="P8" s="169">
        <f>IFERROR(Y18*SQRT(1/C8),"")</f>
        <v>-0.5568723143781652</v>
      </c>
      <c r="Q8" s="169">
        <f>IFERROR(Z18*SQRT(1/C8),"")</f>
        <v>0.32284318590009647</v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>
        <f>VLOOKUP(SMALL(B7:B8,1),Data!V22:Z25,MATCH(LARGE(B7:B8,1),Data!V21:Z21,0),FALSE)</f>
        <v>0.49299999999999999</v>
      </c>
      <c r="D11" s="143">
        <f>IFERROR(D8-D7,"")</f>
        <v>-4.3000000000000007</v>
      </c>
      <c r="E11" s="143">
        <f>IFERROR(F11*SQRT(C7),"")</f>
        <v>5.4600933940730361</v>
      </c>
      <c r="F11" s="143">
        <f>IFERROR(SQRT(F7^2+F8^2-2*C11*F7*F8),"")</f>
        <v>1.2209139992644855</v>
      </c>
      <c r="G11" s="143">
        <f>IFERROR(D11-TINV(1-$H$4/100,G44)*F11,"")</f>
        <v>-6.855402368824417</v>
      </c>
      <c r="H11" s="143">
        <f>IFERROR(D11+TINV(1-$H$4/100,G44)*F11,"")</f>
        <v>-1.7445976311755844</v>
      </c>
      <c r="K11" s="170" t="str">
        <f>B11</f>
        <v>Difference</v>
      </c>
      <c r="L11" s="23">
        <f>IFERROR(D11/SQRT((E7^2+E8^2)/2),"")</f>
        <v>-0.80171811612841581</v>
      </c>
      <c r="M11" s="23">
        <f>IFERROR((1-3/(4*N11-1))*L11,"")</f>
        <v>-0.76964939148327915</v>
      </c>
      <c r="N11" s="54">
        <f>G44</f>
        <v>19</v>
      </c>
      <c r="O11" s="36">
        <f>IFERROR(SQRT((1/C7)+((L11^2)/(2*C7))*2*(1-C11)),"")</f>
        <v>0.2574757495792902</v>
      </c>
      <c r="P11" s="36">
        <f>IFERROR(Y19*SQRT(1/C7),"")</f>
        <v>-1.2811517861921233</v>
      </c>
      <c r="Q11" s="36">
        <f>IFERROR(Z19*SQRT(1/C7),"")</f>
        <v>-0.2733334740646749</v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>
        <f>EXP(((LN(2)-LN(G40))/2)+GAMMALN((G40+1)/2)-GAMMALN(G40/2))</f>
        <v>0.98693426752465663</v>
      </c>
      <c r="U17" s="165">
        <f>T17*F40</f>
        <v>3.3366936587285791</v>
      </c>
      <c r="V17" s="165">
        <f>1+(F40^2)*(1-T17^2)</f>
        <v>1.2967382127169977</v>
      </c>
      <c r="W17" s="165">
        <f>(2*U17^3)-((2*G40-1)/G40)*(F40^2*U17)</f>
        <v>2.708178265118022E-2</v>
      </c>
      <c r="X17" s="172">
        <f>W17/SQRT(V17)^3</f>
        <v>1.8339976921029566E-2</v>
      </c>
      <c r="Y17" s="173">
        <f t="shared" ref="Y17:Z19" si="2">IF($X17&lt;0.001,Y27,Y22)</f>
        <v>1.1147029934063966</v>
      </c>
      <c r="Z17" s="173">
        <f t="shared" si="2"/>
        <v>5.5784650590729683</v>
      </c>
    </row>
    <row r="18" spans="2:26" x14ac:dyDescent="0.55000000000000004">
      <c r="B18" s="41">
        <v>1.1000000000000001</v>
      </c>
      <c r="C18" s="138">
        <f>IF(H7="",NA(),H7)</f>
        <v>25.828684603371659</v>
      </c>
      <c r="D18" s="138">
        <f t="shared" ref="D18:D23" si="3">C18</f>
        <v>25.828684603371659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>
        <f>IF(Q7="",NA(),Q7)</f>
        <v>1.2473827082194537</v>
      </c>
      <c r="M18" s="138">
        <f t="shared" ref="M18:M23" si="5">L18</f>
        <v>1.2473827082194537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>
        <f>EXP(((LN(2)-LN(G41))/2)+GAMMALN((G41+1)/2)-GAMMALN(G41/2))</f>
        <v>0.98693426752465663</v>
      </c>
      <c r="U18" s="174">
        <f>T18*F41</f>
        <v>-0.52330503999199363</v>
      </c>
      <c r="V18" s="174">
        <f>1+(F41^2)*(1-T18^2)</f>
        <v>1.0072987861548834</v>
      </c>
      <c r="W18" s="174">
        <f>(2*U18^3)-((2*G41-1)/G41)*(F41^2*U18)</f>
        <v>-1.0447033630778257E-4</v>
      </c>
      <c r="X18" s="172">
        <f>W18/SQRT(V18)^3</f>
        <v>-1.0333692328221801E-4</v>
      </c>
      <c r="Y18" s="173">
        <f t="shared" si="2"/>
        <v>-2.4904086994744219</v>
      </c>
      <c r="Z18" s="173">
        <f t="shared" si="2"/>
        <v>1.4437986194904346</v>
      </c>
    </row>
    <row r="19" spans="2:26" ht="14.7" thickBot="1" x14ac:dyDescent="0.6">
      <c r="B19" s="41">
        <v>1.1000000000000001</v>
      </c>
      <c r="C19" s="138">
        <f>IF(D7="",NA(),D7)</f>
        <v>23.6</v>
      </c>
      <c r="D19" s="138">
        <f t="shared" si="3"/>
        <v>23.6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>
        <f>IF(M7="",NA(),M7)</f>
        <v>0.72574548509029846</v>
      </c>
      <c r="M19" s="138">
        <f t="shared" si="5"/>
        <v>0.72574548509029846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>
        <f>EXP(((LN(2)-LN(G44))/2)+GAMMALN((G44+1)/2)-GAMMALN(G44/2))</f>
        <v>0.98693426752465663</v>
      </c>
      <c r="U19" s="174">
        <f>T19*F44</f>
        <v>-3.4759347119556532</v>
      </c>
      <c r="V19" s="174">
        <f>1+(F44^2)*(1-T19^2)</f>
        <v>1.3220208749704752</v>
      </c>
      <c r="W19" s="174">
        <f>(2*U19^3)-((2*G44-1)/G44)*(F44^2*U19)</f>
        <v>-3.0615620929523857E-2</v>
      </c>
      <c r="X19" s="172">
        <f>W19/SQRT(V19)^3</f>
        <v>-2.0141212095488033E-2</v>
      </c>
      <c r="Y19" s="173">
        <f t="shared" si="2"/>
        <v>-5.7294849668417287</v>
      </c>
      <c r="Z19" s="173">
        <f t="shared" si="2"/>
        <v>-1.2223844570695777</v>
      </c>
    </row>
    <row r="20" spans="2:26" ht="14.7" thickBot="1" x14ac:dyDescent="0.6">
      <c r="B20" s="41">
        <v>1.1000000000000001</v>
      </c>
      <c r="C20" s="138">
        <f>IF(G7="",NA(),G7)</f>
        <v>21.371315396628344</v>
      </c>
      <c r="D20" s="138">
        <f t="shared" si="3"/>
        <v>21.371315396628344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>
        <f>IF(P7="",NA(),P7)</f>
        <v>0.24925516679792026</v>
      </c>
      <c r="M20" s="138">
        <f t="shared" si="5"/>
        <v>0.24925516679792026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>
        <f>IF(H8="",NA(),H8)</f>
        <v>22.063157055503204</v>
      </c>
      <c r="D21" s="138">
        <f t="shared" si="3"/>
        <v>22.063157055503204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>
        <f>IF(Q8="",NA(),Q8)</f>
        <v>0.32284318590009647</v>
      </c>
      <c r="M21" s="138">
        <f t="shared" si="5"/>
        <v>0.32284318590009647</v>
      </c>
      <c r="N21" s="115"/>
      <c r="O21" s="138">
        <v>3.15</v>
      </c>
      <c r="P21" s="138">
        <f>IF(P22&gt;$O$31,NA(),P22+$Q$16)</f>
        <v>1.7257454850902985</v>
      </c>
      <c r="Q21" s="138">
        <f t="shared" si="6"/>
        <v>1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>
        <f>IF(D8="",NA(),D8)</f>
        <v>19.3</v>
      </c>
      <c r="D22" s="138">
        <f t="shared" si="3"/>
        <v>19.3</v>
      </c>
      <c r="E22" s="115"/>
      <c r="F22" s="138">
        <v>3.15</v>
      </c>
      <c r="G22" s="138">
        <f t="shared" si="7"/>
        <v>28.6</v>
      </c>
      <c r="H22" s="138">
        <f>G22-$G$23</f>
        <v>5</v>
      </c>
      <c r="I22" s="138"/>
      <c r="J22" s="138"/>
      <c r="K22" s="41">
        <v>2.1</v>
      </c>
      <c r="L22" s="138">
        <f>IF(M8="",NA(),M8)</f>
        <v>-0.113821138211382</v>
      </c>
      <c r="M22" s="138">
        <f t="shared" si="5"/>
        <v>-0.113821138211382</v>
      </c>
      <c r="N22" s="115"/>
      <c r="O22" s="138">
        <v>3.15</v>
      </c>
      <c r="P22" s="138">
        <f>IF(P23&gt;$O$31,NA(),P23+$Q$16)</f>
        <v>1.2257454850902985</v>
      </c>
      <c r="Q22" s="138">
        <f t="shared" si="6"/>
        <v>0.5</v>
      </c>
      <c r="R22" s="138"/>
      <c r="S22" s="40"/>
      <c r="T22" s="165">
        <f>W17/(4*V17)</f>
        <v>5.2211353042563944E-3</v>
      </c>
      <c r="U22" s="165">
        <f>V17/(2*T22^2)</f>
        <v>23784.41189729964</v>
      </c>
      <c r="V22" s="165">
        <f>U17-(U22*T22)</f>
        <v>-120.84493898923839</v>
      </c>
      <c r="W22" s="165">
        <f>2*GAMMAINV((1-$Q$4/100)/2,U22/2,1)</f>
        <v>23358.835746551209</v>
      </c>
      <c r="X22" s="165">
        <f>2*GAMMAINV(1-(1-$Q$4/100)/2,U22/2,1)</f>
        <v>24213.776636902701</v>
      </c>
      <c r="Y22" s="165">
        <f>IF(F40&gt;0,V22+(T22*W22),V22+(T22*X22))</f>
        <v>1.1147029934063966</v>
      </c>
      <c r="Z22" s="165">
        <f>IF(F40&gt;0,V22+(T22*X22),V22+(T22*W22))</f>
        <v>5.5784650590729683</v>
      </c>
    </row>
    <row r="23" spans="2:26" x14ac:dyDescent="0.55000000000000004">
      <c r="B23" s="41">
        <v>2.1</v>
      </c>
      <c r="C23" s="138">
        <f>IF(G8="",NA(),G8)</f>
        <v>16.536842944496797</v>
      </c>
      <c r="D23" s="138">
        <f t="shared" si="3"/>
        <v>16.536842944496797</v>
      </c>
      <c r="E23" s="115"/>
      <c r="F23" s="138">
        <v>3.15</v>
      </c>
      <c r="G23" s="138">
        <f>C19</f>
        <v>23.6</v>
      </c>
      <c r="H23" s="138">
        <f>G23-$G$23</f>
        <v>0</v>
      </c>
      <c r="K23" s="41">
        <v>2.1</v>
      </c>
      <c r="L23" s="138">
        <f>IF(P8="",NA(),P8)</f>
        <v>-0.5568723143781652</v>
      </c>
      <c r="M23" s="138">
        <f t="shared" si="5"/>
        <v>-0.5568723143781652</v>
      </c>
      <c r="N23" s="115"/>
      <c r="O23" s="138">
        <v>3.15</v>
      </c>
      <c r="P23" s="138">
        <f>L19</f>
        <v>0.72574548509029846</v>
      </c>
      <c r="Q23" s="138">
        <f t="shared" si="6"/>
        <v>0</v>
      </c>
      <c r="S23" s="40"/>
      <c r="T23" s="174">
        <f>W18/(4*V18)</f>
        <v>-2.5928338677586545E-5</v>
      </c>
      <c r="U23" s="174">
        <f>V18/(2*T23^2)</f>
        <v>749167507.73376596</v>
      </c>
      <c r="V23" s="174">
        <f>U18-(U23*T23)</f>
        <v>19424.14556172453</v>
      </c>
      <c r="W23" s="174">
        <f>2*GAMMAINV((1-$Q$4/100)/2,U23/2,1)</f>
        <v>749091642.69022119</v>
      </c>
      <c r="X23" s="174">
        <f>2*GAMMAINV(1-(1-$Q$4/100)/2,U23/2,1)</f>
        <v>749243376.56592238</v>
      </c>
      <c r="Y23" s="174">
        <f>IF(F41&gt;0,V23+(T23*W23),V23+(T23*X23))</f>
        <v>-2.4904578152163594</v>
      </c>
      <c r="Z23" s="174">
        <f>IF(F41&gt;0,V23+(T23*X23),V23+(T23*W23))</f>
        <v>1.4437495028287231</v>
      </c>
    </row>
    <row r="24" spans="2:26" ht="14.7" thickBot="1" x14ac:dyDescent="0.6">
      <c r="B24" s="41">
        <v>2.75</v>
      </c>
      <c r="C24" s="138">
        <f>IF(H11="",NA(),H11+C25-$D$11)</f>
        <v>21.855402368824418</v>
      </c>
      <c r="D24" s="138">
        <f>H11</f>
        <v>-1.7445976311755844</v>
      </c>
      <c r="E24" s="115"/>
      <c r="F24" s="138">
        <v>3.15</v>
      </c>
      <c r="G24" s="138">
        <f>IF(G23&lt;$F$32,NA(),G23-$H$16)</f>
        <v>18.600000000000001</v>
      </c>
      <c r="H24" s="138">
        <f>G24-$G$23</f>
        <v>-5</v>
      </c>
      <c r="K24" s="41">
        <v>2.75</v>
      </c>
      <c r="L24" s="138">
        <f>IF(Q11="",NA(),Q11+L25-M11)</f>
        <v>0.38249477920722225</v>
      </c>
      <c r="M24" s="138">
        <f>Q11</f>
        <v>-0.2733334740646749</v>
      </c>
      <c r="N24" s="176"/>
      <c r="O24" s="138">
        <v>3.15</v>
      </c>
      <c r="P24" s="138">
        <f>IF(P23&lt;$O$32,NA(),P23-$Q$16)</f>
        <v>0.22574548509029846</v>
      </c>
      <c r="Q24" s="138">
        <f t="shared" si="6"/>
        <v>-0.5</v>
      </c>
      <c r="S24" s="40"/>
      <c r="T24" s="174">
        <f>W19/(4*V19)</f>
        <v>-5.7895494521233637E-3</v>
      </c>
      <c r="U24" s="174">
        <f>V19/(2*T24^2)</f>
        <v>19720.53902494537</v>
      </c>
      <c r="V24" s="174">
        <f>U19-(U24*T24)</f>
        <v>110.69710119549423</v>
      </c>
      <c r="W24" s="174">
        <f>2*GAMMAINV((1-$Q$4/100)/2,U24/2,1)</f>
        <v>19333.192285096728</v>
      </c>
      <c r="X24" s="174">
        <f>2*GAMMAINV(1-(1-$Q$4/100)/2,U24/2,1)</f>
        <v>20111.6743489281</v>
      </c>
      <c r="Y24" s="174">
        <f>IF(F44&gt;0,V24+(T24*W24),V24+(T24*X24))</f>
        <v>-5.7404320126259591</v>
      </c>
      <c r="Z24" s="174">
        <f>IF(F44&gt;0,V24+(T24*X24),V24+(T24*W24))</f>
        <v>-1.2333716064831748</v>
      </c>
    </row>
    <row r="25" spans="2:26" ht="14.7" thickBot="1" x14ac:dyDescent="0.6">
      <c r="B25" s="41">
        <v>2.75</v>
      </c>
      <c r="C25" s="138">
        <f>IF(D11="",NA(),C22)</f>
        <v>19.3</v>
      </c>
      <c r="D25" s="138">
        <f>D11</f>
        <v>-4.3000000000000007</v>
      </c>
      <c r="E25" s="115"/>
      <c r="F25" s="138">
        <v>3.15</v>
      </c>
      <c r="G25" s="138">
        <f t="shared" ref="G25:G28" si="8">IF(G24&lt;$F$32,NA(),G24-$H$16)</f>
        <v>13.600000000000001</v>
      </c>
      <c r="H25" s="138">
        <f t="shared" ref="H25:H28" si="9">G25-$G$23</f>
        <v>-10</v>
      </c>
      <c r="K25" s="41">
        <v>2.75</v>
      </c>
      <c r="L25" s="138">
        <f>IF(M11="",NA(),L22)</f>
        <v>-0.113821138211382</v>
      </c>
      <c r="M25" s="138">
        <f>M11</f>
        <v>-0.76964939148327915</v>
      </c>
      <c r="N25" s="176"/>
      <c r="O25" s="138">
        <v>3.15</v>
      </c>
      <c r="P25" s="138">
        <f>IF(P24&lt;$O$32,NA(),P24-$Q$16)</f>
        <v>-0.27425451490970154</v>
      </c>
      <c r="Q25" s="138">
        <f t="shared" si="6"/>
        <v>-1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>
        <f>IF(G11="",NA(),G11+C25-$D$11)</f>
        <v>16.744597631175584</v>
      </c>
      <c r="D26" s="138">
        <f>G11</f>
        <v>-6.855402368824417</v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>
        <f>IF(P11="",NA(),P11+L25-M11)</f>
        <v>-0.62532353292022624</v>
      </c>
      <c r="M26" s="138">
        <f>P11</f>
        <v>-1.2811517861921233</v>
      </c>
      <c r="N26" s="115"/>
      <c r="O26" s="138">
        <v>3.15</v>
      </c>
      <c r="P26" s="138">
        <f>IF(P25&lt;$O$32,NA(),P25-$Q$16)</f>
        <v>-0.77425451490970154</v>
      </c>
      <c r="Q26" s="138">
        <f t="shared" si="6"/>
        <v>-1.5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>
        <f>SQRT(V17)</f>
        <v>1.1387441383897428</v>
      </c>
      <c r="W27" s="178">
        <f>NORMINV((1-$Q$4/100)/2,0,1)</f>
        <v>-1.9599639845400536</v>
      </c>
      <c r="X27" s="178">
        <f>NORMINV(1-(1-$Q$4/100)/2,0,1)</f>
        <v>1.9599639845400536</v>
      </c>
      <c r="Y27" s="178">
        <f>U17+W27*V27</f>
        <v>1.1047961598785889</v>
      </c>
      <c r="Z27" s="178">
        <f>U17+X27*V27</f>
        <v>5.5685911575785694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>
        <f>SQRT(V18)</f>
        <v>1.0036427582336673</v>
      </c>
      <c r="W28" s="178">
        <f>NORMINV((1-$Q$4/100)/2,0,1)</f>
        <v>-1.9599639845400536</v>
      </c>
      <c r="X28" s="178">
        <f>NORMINV(1-(1-$Q$4/100)/2,0,1)</f>
        <v>1.9599639845400536</v>
      </c>
      <c r="Y28" s="178">
        <f>U18+W28*V28</f>
        <v>-2.4904086994744219</v>
      </c>
      <c r="Z28" s="178">
        <f>U18+X28*V28</f>
        <v>1.4437986194904346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>
        <f>SQRT(V19)</f>
        <v>1.1497916658988598</v>
      </c>
      <c r="W29" s="178">
        <f>NORMINV((1-$Q$4/100)/2,0,1)</f>
        <v>-1.9599639845400536</v>
      </c>
      <c r="X29" s="178">
        <f>NORMINV(1-(1-$Q$4/100)/2,0,1)</f>
        <v>1.9599639845400536</v>
      </c>
      <c r="Y29" s="178">
        <f>U19+W29*V29</f>
        <v>-5.7294849668417287</v>
      </c>
      <c r="Z29" s="178">
        <f>U19+X29*V29</f>
        <v>-1.2223844570695777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>
        <f>C19</f>
        <v>23.6</v>
      </c>
      <c r="D31" s="41">
        <v>2.1</v>
      </c>
      <c r="E31" s="138">
        <f>C22</f>
        <v>19.3</v>
      </c>
      <c r="F31" s="138">
        <f>MAX(C18:C26)</f>
        <v>25.828684603371659</v>
      </c>
      <c r="G31" s="138">
        <f>IF(F31-F32=0,1,F31-F32)</f>
        <v>9.291841658874862</v>
      </c>
      <c r="H31" s="138">
        <f>ROUNDUP(G31/G32,0)</f>
        <v>10</v>
      </c>
      <c r="K31" s="41">
        <v>1.1000000000000001</v>
      </c>
      <c r="L31" s="138">
        <f>L19</f>
        <v>0.72574548509029846</v>
      </c>
      <c r="M31" s="41">
        <v>2.1</v>
      </c>
      <c r="N31" s="138">
        <f>L22</f>
        <v>-0.113821138211382</v>
      </c>
      <c r="O31" s="138">
        <f>MAX(L$18:L$26)</f>
        <v>1.2473827082194537</v>
      </c>
      <c r="P31" s="138">
        <f>IF(O31-O32=0,1,O31-O32)</f>
        <v>1.87270624113968</v>
      </c>
      <c r="Q31" s="138">
        <f>ROUNDUP(P31/P32,0)</f>
        <v>2</v>
      </c>
      <c r="S31" s="40"/>
      <c r="T31" s="40"/>
      <c r="U31" s="40"/>
    </row>
    <row r="32" spans="2:26" x14ac:dyDescent="0.55000000000000004">
      <c r="B32" s="41">
        <v>3.15</v>
      </c>
      <c r="C32" s="138">
        <f>C19</f>
        <v>23.6</v>
      </c>
      <c r="D32" s="41">
        <v>3.15</v>
      </c>
      <c r="E32" s="138">
        <f>C22</f>
        <v>19.3</v>
      </c>
      <c r="F32" s="138">
        <f>MIN(C18:C26)</f>
        <v>16.536842944496797</v>
      </c>
      <c r="G32" s="138">
        <f>POWER(10,INT(LOG10(G31)))</f>
        <v>1</v>
      </c>
      <c r="H32" s="138">
        <f>CHOOSE(H31,10,5,5,2,2,2,2,1,1,1)</f>
        <v>1</v>
      </c>
      <c r="K32" s="41">
        <v>3.15</v>
      </c>
      <c r="L32" s="138">
        <f>L19</f>
        <v>0.72574548509029846</v>
      </c>
      <c r="M32" s="41">
        <v>3.15</v>
      </c>
      <c r="N32" s="138">
        <f>L22</f>
        <v>-0.113821138211382</v>
      </c>
      <c r="O32" s="138">
        <f>MIN(L$18:L$26)</f>
        <v>-0.62532353292022624</v>
      </c>
      <c r="P32" s="138">
        <f>POWER(10,INT(LOG10(P31)))</f>
        <v>1</v>
      </c>
      <c r="Q32" s="138">
        <f>CHOOSE(Q31,1,0.5,0.5,0.2,0.2,0.2,0.2,0.1,0.1,0.1)</f>
        <v>0.5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>
        <f>MAX($C$18:$C$26)</f>
        <v>25.828684603371659</v>
      </c>
      <c r="P34" s="138">
        <f>IF(O34-O35=0,1,O34-O35)</f>
        <v>9.291841658874862</v>
      </c>
      <c r="Q34" s="35">
        <f>P34/9</f>
        <v>1.0324268509860959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>
        <f>MIN($C$18:$C$26)</f>
        <v>16.536842944496797</v>
      </c>
      <c r="P35" s="35">
        <f>O34+P34/20</f>
        <v>26.293276686315401</v>
      </c>
      <c r="Q35" s="35">
        <f>ROUNDUP(Q34,0)</f>
        <v>2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>
        <f>IF(B7="","",B7)</f>
        <v>2</v>
      </c>
      <c r="C40" s="135">
        <v>20</v>
      </c>
      <c r="D40" s="34">
        <f>IFERROR(D7-C40,"")</f>
        <v>3.6000000000000014</v>
      </c>
      <c r="E40" s="34">
        <f>F7</f>
        <v>1.0648155708853997</v>
      </c>
      <c r="F40" s="34">
        <f>IFERROR(D40/F7,"")</f>
        <v>3.380867164636391</v>
      </c>
      <c r="G40" s="80">
        <f>IF(C7&lt;&gt;"",C7-1,"")</f>
        <v>19</v>
      </c>
      <c r="H40" s="34">
        <f>IFERROR(IF(TDIST(ABS(F40),G40,2)&lt;0.001,"&lt; 0.001",TDIST(ABS(F40),G40,2)),"")</f>
        <v>3.1372928643839228E-3</v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>
        <f>IF(B8="","",B8)</f>
        <v>1</v>
      </c>
      <c r="C41" s="145">
        <v>20</v>
      </c>
      <c r="D41" s="66">
        <f>IFERROR(D8-C41,"")</f>
        <v>-0.69999999999999929</v>
      </c>
      <c r="E41" s="66">
        <f>F8</f>
        <v>1.3201745339158757</v>
      </c>
      <c r="F41" s="66">
        <f>IFERROR(D41/F8,"")</f>
        <v>-0.53023292149385204</v>
      </c>
      <c r="G41" s="146">
        <f>IF(C8&lt;&gt;"",C8-1,"")</f>
        <v>19</v>
      </c>
      <c r="H41" s="66">
        <f>IFERROR(IF(TDIST(ABS(F41),G41,2)&lt;0.001,"&lt; 0.001",TDIST(ABS(F41),G41,2)),"")</f>
        <v>0.60209292242601187</v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>
        <v>0</v>
      </c>
      <c r="D44" s="143">
        <f>IFERROR(D11-C44,"")</f>
        <v>-4.3000000000000007</v>
      </c>
      <c r="E44" s="143">
        <f>F11</f>
        <v>1.2209139992644855</v>
      </c>
      <c r="F44" s="143">
        <f>IFERROR(D44/F11,"")</f>
        <v>-3.5219515892113997</v>
      </c>
      <c r="G44" s="147">
        <f>IF(C7&lt;&gt;"",C7-1,"")</f>
        <v>19</v>
      </c>
      <c r="H44" s="143">
        <f>IFERROR(IF(TDIST(ABS(F44),G44,2)&lt;0.001,"&lt; 0.001",TDIST(ABS(F44),G44,2)),"")</f>
        <v>2.2789095284560809E-3</v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>1 vs. 2</v>
      </c>
      <c r="C7" s="53">
        <f t="shared" si="0"/>
        <v>19</v>
      </c>
      <c r="D7" s="21">
        <f>IFERROR(Data!W7-Data!W8,"")</f>
        <v>-4.3000000000000007</v>
      </c>
      <c r="E7" s="21">
        <f>IFERROR(F7*SQRT(Data!$V$7),"")</f>
        <v>5.4600933940730361</v>
      </c>
      <c r="F7" s="34">
        <f>IFERROR(SQRT(Data!Z7^2+Data!Z8^2-2*Data!X22*Data!Z7*Data!Z8),"")</f>
        <v>1.2209139992644855</v>
      </c>
      <c r="G7" s="21">
        <f>IFERROR(D7-TINV(1-$H$4/100,G40)*F7,"")</f>
        <v>-6.855402368824417</v>
      </c>
      <c r="H7" s="21">
        <f t="shared" ref="H7:H12" si="2">IFERROR(D7+TINV(1-$H$4/100,G40)*F7,"")</f>
        <v>-1.7445976311755844</v>
      </c>
      <c r="J7" s="29"/>
      <c r="K7" s="20" t="str">
        <f t="shared" ref="K7:K12" si="3">B7</f>
        <v>1 vs. 2</v>
      </c>
      <c r="L7" s="21">
        <f>IFERROR(D7/SQRT((Data!X7^2+Data!X8^2)/2),"")</f>
        <v>-0.80171811612841581</v>
      </c>
      <c r="M7" s="21">
        <f t="shared" ref="M7:M12" si="4">IFERROR((1-3/(4*G40-1))*L7,"")</f>
        <v>-0.76964939148327915</v>
      </c>
      <c r="N7" s="53">
        <f t="shared" si="1"/>
        <v>19</v>
      </c>
      <c r="O7" s="34">
        <f>IFERROR(SQRT((1/Data!V7)+((L7^2)/(2*Data!V7))*2*(1-Data!X22)),"")</f>
        <v>0.2574757495792902</v>
      </c>
      <c r="P7" s="34">
        <f>IFERROR(Y17*SQRT(1/Data!V7),"")</f>
        <v>-1.2811517861921233</v>
      </c>
      <c r="Q7" s="34">
        <f>IFERROR(Z17*SQRT(1/Data!V7),"")</f>
        <v>-0.2733334740646749</v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>1 vs. 4</v>
      </c>
      <c r="C10" s="54">
        <f t="shared" si="0"/>
        <v>19</v>
      </c>
      <c r="D10" s="23">
        <f>IFERROR(Data!W7-Data!W10,"")</f>
        <v>-4.0999999999999979</v>
      </c>
      <c r="E10" s="23">
        <f>IFERROR(F10*SQRT(Data!$V$7),"")</f>
        <v>5.1913005877140268</v>
      </c>
      <c r="F10" s="23">
        <f>IFERROR(SQRT(Data!Z7^2+Data!Z10^2-2*Data!Z22*Data!Z7*Data!Z10),"")</f>
        <v>1.1608101005763174</v>
      </c>
      <c r="G10" s="23">
        <f t="shared" si="5"/>
        <v>-6.5296034631063584</v>
      </c>
      <c r="H10" s="23">
        <f t="shared" si="2"/>
        <v>-1.6703965368936373</v>
      </c>
      <c r="J10" s="29"/>
      <c r="K10" s="22" t="str">
        <f t="shared" si="3"/>
        <v>1 vs. 4</v>
      </c>
      <c r="L10" s="23">
        <f>IFERROR(D10/SQRT((Data!X7^2+Data!X10^2)/2),"")</f>
        <v>-0.77369045867180442</v>
      </c>
      <c r="M10" s="23">
        <f>IFERROR((1-3/(4*N10-1))*L10,"")</f>
        <v>-0.74274284032493221</v>
      </c>
      <c r="N10" s="54">
        <f t="shared" si="1"/>
        <v>19</v>
      </c>
      <c r="O10" s="36">
        <f>IFERROR(SQRT((1/Data!V8)+((L10^2)/(2*Data!V8))*2*(1-Data!Z22)),"")</f>
        <v>0.25275966584778331</v>
      </c>
      <c r="P10" s="36">
        <f>IFERROR(Y20*SQRT(1/Data!V7),"")</f>
        <v>-1.2837240193073953</v>
      </c>
      <c r="Q10" s="36">
        <f>IFERROR(Z20*SQRT(1/Data!V7),"")</f>
        <v>-0.27520343190880298</v>
      </c>
    </row>
    <row r="11" spans="1:26" x14ac:dyDescent="0.55000000000000004">
      <c r="B11" s="22" t="str">
        <f>IF(D11="","","2 vs. 4")</f>
        <v>2 vs. 4</v>
      </c>
      <c r="C11" s="54">
        <f t="shared" si="0"/>
        <v>19</v>
      </c>
      <c r="D11" s="23">
        <f>IFERROR(Data!W8-Data!W10,"")</f>
        <v>0.20000000000000284</v>
      </c>
      <c r="E11" s="23">
        <f>IFERROR(F11*SQRT(Data!$V$7),"")</f>
        <v>3.3644838367868548</v>
      </c>
      <c r="F11" s="23">
        <f>IFERROR(SQRT(Data!Z8^2+Data!Z10^2-2*Data!Z23*Data!Z8*Data!Z10),"")</f>
        <v>0.75232145682547147</v>
      </c>
      <c r="G11" s="23">
        <f t="shared" si="5"/>
        <v>-1.3746269057832108</v>
      </c>
      <c r="H11" s="23">
        <f t="shared" si="2"/>
        <v>1.7746269057832165</v>
      </c>
      <c r="J11" s="29"/>
      <c r="K11" s="22" t="str">
        <f t="shared" si="3"/>
        <v>2 vs. 4</v>
      </c>
      <c r="L11" s="23">
        <f>IFERROR(D11/SQRT((Data!X8^2+Data!X10^2)/2),"")</f>
        <v>4.2647849658405457E-2</v>
      </c>
      <c r="M11" s="23">
        <f t="shared" si="4"/>
        <v>4.0941935672069239E-2</v>
      </c>
      <c r="N11" s="54">
        <f t="shared" si="1"/>
        <v>19</v>
      </c>
      <c r="O11" s="36">
        <f>IFERROR(SQRT((1/Data!V8)+((L11^2)/(2*Data!V8))*2*(1-Data!Z23)),"")</f>
        <v>0.22365905320863774</v>
      </c>
      <c r="P11" s="36">
        <f>IFERROR(Y21*SQRT(1/Data!V8),"")</f>
        <v>-0.37999533329460128</v>
      </c>
      <c r="Q11" s="36">
        <f>IFERROR(Z21*SQRT(1/Data!V8),"")</f>
        <v>0.49733092655662292</v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>
        <f t="shared" ref="T17:T22" si="6">EXP(((LN(2)-LN(G40))/2)+GAMMALN((G40+1)/2)-GAMMALN(G40/2))</f>
        <v>0.98693426752465663</v>
      </c>
      <c r="U17" s="34">
        <f t="shared" ref="U17:U22" si="7">T17*F40</f>
        <v>-3.4759347119556532</v>
      </c>
      <c r="V17" s="34">
        <f t="shared" ref="V17:V22" si="8">1+(F40^2)*(1-T17^2)</f>
        <v>1.3220208749704752</v>
      </c>
      <c r="W17" s="34">
        <f t="shared" ref="W17:W22" si="9">(2*U17^3)-((2*G40-1)/G40)*(F40^2*U17)</f>
        <v>-3.0615620929523857E-2</v>
      </c>
      <c r="X17" s="56">
        <f t="shared" ref="X17:X22" si="10">W17/SQRT(V17)^3</f>
        <v>-2.0141212095488033E-2</v>
      </c>
      <c r="Y17" s="105">
        <f t="shared" ref="Y17:Z22" si="11">IF($X17&lt;0.001,Y33,Y25)</f>
        <v>-5.7294849668417287</v>
      </c>
      <c r="Z17" s="105">
        <f t="shared" si="11"/>
        <v>-1.2223844570695777</v>
      </c>
    </row>
    <row r="18" spans="2:26" x14ac:dyDescent="0.55000000000000004">
      <c r="B18" s="48">
        <v>1.1000000000000001</v>
      </c>
      <c r="C18" s="47">
        <f>IF(H7="",NA(),H7)</f>
        <v>-1.7445976311755844</v>
      </c>
      <c r="D18" s="48">
        <f t="shared" ref="D18:D35" si="12">C18</f>
        <v>-1.7445976311755844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>
        <f>IF(Q7="",NA(),Q7)</f>
        <v>-0.2733334740646749</v>
      </c>
      <c r="M18" s="48">
        <f t="shared" ref="M18:M35" si="13">L18</f>
        <v>-0.2733334740646749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>
        <f>IF(D7="",NA(),D7)</f>
        <v>-4.3000000000000007</v>
      </c>
      <c r="D19" s="48">
        <f t="shared" si="12"/>
        <v>-4.3000000000000007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>
        <f>IF(M7="",NA(),M7)</f>
        <v>-0.76964939148327915</v>
      </c>
      <c r="M19" s="48">
        <f t="shared" si="13"/>
        <v>-0.76964939148327915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>
        <f>IF(G7="",NA(),G7)</f>
        <v>-6.855402368824417</v>
      </c>
      <c r="D20" s="48">
        <f t="shared" si="12"/>
        <v>-6.855402368824417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>
        <f>IF(P7="",NA(),P7)</f>
        <v>-1.2811517861921233</v>
      </c>
      <c r="M20" s="48">
        <f t="shared" si="13"/>
        <v>-1.2811517861921233</v>
      </c>
      <c r="N20" s="48"/>
      <c r="O20" s="48"/>
      <c r="P20" s="47">
        <v>1.5</v>
      </c>
      <c r="Q20" s="47">
        <f>L$40</f>
        <v>0</v>
      </c>
      <c r="S20" s="4"/>
      <c r="T20" s="36">
        <f t="shared" si="6"/>
        <v>0.98693426752465663</v>
      </c>
      <c r="U20" s="36">
        <f t="shared" si="7"/>
        <v>-3.4858677529099067</v>
      </c>
      <c r="V20" s="36">
        <f t="shared" si="8"/>
        <v>1.3238639572648299</v>
      </c>
      <c r="W20" s="36">
        <f t="shared" si="9"/>
        <v>-3.0878838827902655E-2</v>
      </c>
      <c r="X20" s="56">
        <f t="shared" si="10"/>
        <v>-2.0271968512742187E-2</v>
      </c>
      <c r="Y20" s="105">
        <f t="shared" si="11"/>
        <v>-5.7409883430411774</v>
      </c>
      <c r="Z20" s="105">
        <f t="shared" si="11"/>
        <v>-1.2307471627786364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>
        <f t="shared" si="6"/>
        <v>0.98693426752465663</v>
      </c>
      <c r="U21" s="106">
        <f t="shared" si="7"/>
        <v>0.2623703627141466</v>
      </c>
      <c r="V21" s="106">
        <f t="shared" si="8"/>
        <v>1.0018347223691679</v>
      </c>
      <c r="W21" s="106">
        <f t="shared" si="9"/>
        <v>1.3166567422354114E-5</v>
      </c>
      <c r="X21" s="56">
        <f t="shared" si="10"/>
        <v>1.3130414853764705E-5</v>
      </c>
      <c r="Y21" s="105">
        <f t="shared" si="11"/>
        <v>-1.6993907927588352</v>
      </c>
      <c r="Z21" s="105">
        <f t="shared" si="11"/>
        <v>2.2241315181871286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>
        <f t="shared" ref="T25:T30" si="14">W17/(4*V17)</f>
        <v>-5.7895494521233637E-3</v>
      </c>
      <c r="U25" s="34">
        <f t="shared" ref="U25:U30" si="15">V17/(2*T25^2)</f>
        <v>19720.53902494537</v>
      </c>
      <c r="V25" s="34">
        <f t="shared" ref="V25:V30" si="16">U17-(U25*T25)</f>
        <v>110.69710119549423</v>
      </c>
      <c r="W25" s="34">
        <f t="shared" ref="W25:W30" si="17">2*GAMMAINV((1-$Q$4/100)/2,U25/2,1)</f>
        <v>19333.192285096728</v>
      </c>
      <c r="X25" s="34">
        <f t="shared" ref="X25:X30" si="18">2*GAMMAINV(1-(1-$Q$4/100)/2,U25/2,1)</f>
        <v>20111.6743489281</v>
      </c>
      <c r="Y25" s="34">
        <f t="shared" ref="Y25:Y30" si="19">IF(F40&gt;0,V25+(T25*W25),V25+(T25*X25))</f>
        <v>-5.7404320126259591</v>
      </c>
      <c r="Z25" s="34">
        <f t="shared" ref="Z25:Z30" si="20">IF(F40&gt;0,V25+(T25*X25),V25+(T25*W25))</f>
        <v>-1.2333716064831748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>
        <f>IF(H10="",NA(),H10)</f>
        <v>-1.6703965368936373</v>
      </c>
      <c r="D27" s="48">
        <f t="shared" si="12"/>
        <v>-1.6703965368936373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>
        <f>IF(Q10="",NA(),Q10)</f>
        <v>-0.27520343190880298</v>
      </c>
      <c r="M27" s="48">
        <f t="shared" si="13"/>
        <v>-0.27520343190880298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>
        <f>IF(D10="",NA(),D10)</f>
        <v>-4.0999999999999979</v>
      </c>
      <c r="D28" s="48">
        <f t="shared" si="12"/>
        <v>-4.0999999999999979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>
        <f>IF(M10="",NA(),M10)</f>
        <v>-0.74274284032493221</v>
      </c>
      <c r="M28" s="48">
        <f t="shared" si="13"/>
        <v>-0.74274284032493221</v>
      </c>
      <c r="N28" s="48"/>
      <c r="O28" s="48"/>
      <c r="P28" s="47">
        <v>4</v>
      </c>
      <c r="Q28" s="47">
        <f>L$43</f>
        <v>0</v>
      </c>
      <c r="S28" s="52"/>
      <c r="T28" s="36">
        <f t="shared" si="14"/>
        <v>-5.8311956184115598E-3</v>
      </c>
      <c r="U28" s="36">
        <f t="shared" si="15"/>
        <v>19466.9602032119</v>
      </c>
      <c r="V28" s="36">
        <f t="shared" si="16"/>
        <v>110.02978528785152</v>
      </c>
      <c r="W28" s="36">
        <f t="shared" si="17"/>
        <v>19082.124155295311</v>
      </c>
      <c r="X28" s="36">
        <f t="shared" si="18"/>
        <v>19855.584834902696</v>
      </c>
      <c r="Y28" s="36">
        <f t="shared" si="19"/>
        <v>-5.7520140024320909</v>
      </c>
      <c r="Z28" s="36">
        <f t="shared" si="20"/>
        <v>-1.2418134764918705</v>
      </c>
    </row>
    <row r="29" spans="2:26" x14ac:dyDescent="0.55000000000000004">
      <c r="B29" s="48">
        <v>4.0999999999999996</v>
      </c>
      <c r="C29" s="48">
        <f>IF(G10="",NA(),G10)</f>
        <v>-6.5296034631063584</v>
      </c>
      <c r="D29" s="48">
        <f t="shared" si="12"/>
        <v>-6.5296034631063584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>
        <f>IF(P10="",NA(),P10)</f>
        <v>-1.2837240193073953</v>
      </c>
      <c r="M29" s="48">
        <f t="shared" si="13"/>
        <v>-1.2837240193073953</v>
      </c>
      <c r="N29" s="48"/>
      <c r="O29" s="48"/>
      <c r="P29" s="47">
        <v>4.5</v>
      </c>
      <c r="Q29" s="47">
        <f>L$43</f>
        <v>0</v>
      </c>
      <c r="S29" s="52"/>
      <c r="T29" s="106">
        <f t="shared" si="14"/>
        <v>3.2856136666977944E-6</v>
      </c>
      <c r="U29" s="106">
        <f t="shared" si="15"/>
        <v>46401614472.466675</v>
      </c>
      <c r="V29" s="106">
        <f t="shared" si="16"/>
        <v>-152457.51629721597</v>
      </c>
      <c r="W29" s="106">
        <f t="shared" si="17"/>
        <v>46413351947.636818</v>
      </c>
      <c r="X29" s="66">
        <f t="shared" si="18"/>
        <v>46414546284.902199</v>
      </c>
      <c r="Y29" s="66">
        <f t="shared" si="19"/>
        <v>38.827179194253404</v>
      </c>
      <c r="Z29" s="66">
        <f t="shared" si="20"/>
        <v>42.751310036022915</v>
      </c>
    </row>
    <row r="30" spans="2:26" ht="14.7" thickBot="1" x14ac:dyDescent="0.6">
      <c r="B30" s="48">
        <v>5.0999999999999996</v>
      </c>
      <c r="C30" s="48">
        <f>IF(H11="",NA(),H11)</f>
        <v>1.7746269057832165</v>
      </c>
      <c r="D30" s="48">
        <f t="shared" si="12"/>
        <v>1.7746269057832165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>
        <f>IF(Q11="",NA(),Q11)</f>
        <v>0.49733092655662292</v>
      </c>
      <c r="M30" s="48">
        <f t="shared" si="13"/>
        <v>0.49733092655662292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>
        <f>IF(D11="",NA(),D11)</f>
        <v>0.20000000000000284</v>
      </c>
      <c r="D31" s="48">
        <f t="shared" si="12"/>
        <v>0.20000000000000284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>
        <f>IF(M11="",NA(),M11)</f>
        <v>4.0941935672069239E-2</v>
      </c>
      <c r="M31" s="48">
        <f t="shared" si="13"/>
        <v>4.0941935672069239E-2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>
        <f>IF(G11="",NA(),G11)</f>
        <v>-1.3746269057832108</v>
      </c>
      <c r="D32" s="48">
        <f t="shared" si="12"/>
        <v>-1.3746269057832108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>
        <f>IF(P11="",NA(),P11)</f>
        <v>-0.37999533329460128</v>
      </c>
      <c r="M32" s="48">
        <f t="shared" si="13"/>
        <v>-0.37999533329460128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>
        <f t="shared" ref="V33:V38" si="21">SQRT(V17)</f>
        <v>1.1497916658988598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>
        <f t="shared" ref="Y33:Y38" si="24">U17+W33*V33</f>
        <v>-5.7294849668417287</v>
      </c>
      <c r="Z33" s="35">
        <f t="shared" ref="Z33:Z38" si="25">U17+X33*V33</f>
        <v>-1.2223844570695777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>
        <f t="shared" si="21"/>
        <v>1.1505928720728413</v>
      </c>
      <c r="W36" s="35">
        <f t="shared" si="22"/>
        <v>-1.9599639845400536</v>
      </c>
      <c r="X36" s="35">
        <f t="shared" si="23"/>
        <v>1.9599639845400536</v>
      </c>
      <c r="Y36" s="35">
        <f t="shared" si="24"/>
        <v>-5.7409883430411774</v>
      </c>
      <c r="Z36" s="35">
        <f t="shared" si="25"/>
        <v>-1.2307471627786364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>
        <f t="shared" si="21"/>
        <v>1.0009169407943739</v>
      </c>
      <c r="W37" s="35">
        <f t="shared" si="22"/>
        <v>-1.9599639845400536</v>
      </c>
      <c r="X37" s="35">
        <f t="shared" si="23"/>
        <v>1.9599639845400536</v>
      </c>
      <c r="Y37" s="35">
        <f t="shared" si="24"/>
        <v>-1.6993907927588352</v>
      </c>
      <c r="Z37" s="35">
        <f t="shared" si="25"/>
        <v>2.2241315181871286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>1 vs. 2</v>
      </c>
      <c r="C40" s="16">
        <v>0</v>
      </c>
      <c r="D40" s="21">
        <f t="shared" ref="D40:D45" si="27">IFERROR(D7-C40,"")</f>
        <v>-4.3000000000000007</v>
      </c>
      <c r="E40" s="21">
        <f t="shared" ref="E40:E45" si="28">F7</f>
        <v>1.2209139992644855</v>
      </c>
      <c r="F40" s="34">
        <f t="shared" ref="F40:F45" si="29">IFERROR(D40/E40,"")</f>
        <v>-3.5219515892113997</v>
      </c>
      <c r="G40" s="53">
        <f>IF(B40="","",Data!V7-1)</f>
        <v>19</v>
      </c>
      <c r="H40" s="21">
        <f t="shared" ref="H40:H45" si="30">IFERROR(IF(TDIST(ABS(F40),G40,2)&lt;0.001,"&lt; 0.001",TDIST(ABS(F40),G40,2)),"")</f>
        <v>2.2789095284560809E-3</v>
      </c>
      <c r="J40" s="29"/>
      <c r="K40" s="20" t="str">
        <f t="shared" ref="K40:K45" si="31">K7</f>
        <v>1 vs. 2</v>
      </c>
      <c r="L40" s="16">
        <v>0</v>
      </c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>1 vs. 4</v>
      </c>
      <c r="C43" s="17">
        <v>0</v>
      </c>
      <c r="D43" s="23">
        <f t="shared" si="27"/>
        <v>-4.0999999999999979</v>
      </c>
      <c r="E43" s="23">
        <f t="shared" si="28"/>
        <v>1.1608101005763174</v>
      </c>
      <c r="F43" s="36">
        <f t="shared" si="29"/>
        <v>-3.5320161307731865</v>
      </c>
      <c r="G43" s="54">
        <f>IF(B43="","",Data!V7-1)</f>
        <v>19</v>
      </c>
      <c r="H43" s="23">
        <f t="shared" si="30"/>
        <v>2.2274109704272398E-3</v>
      </c>
      <c r="J43" s="29"/>
      <c r="K43" s="22" t="str">
        <f t="shared" si="31"/>
        <v>1 vs. 4</v>
      </c>
      <c r="L43" s="17">
        <v>0</v>
      </c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>2 vs. 4</v>
      </c>
      <c r="C44" s="17">
        <v>0</v>
      </c>
      <c r="D44" s="23">
        <f t="shared" si="27"/>
        <v>0.20000000000000284</v>
      </c>
      <c r="E44" s="23">
        <f t="shared" si="28"/>
        <v>0.75232145682547147</v>
      </c>
      <c r="F44" s="36">
        <f t="shared" si="29"/>
        <v>0.26584380677367836</v>
      </c>
      <c r="G44" s="54">
        <f>IF(B44="","",Data!V7-1)</f>
        <v>19</v>
      </c>
      <c r="H44" s="23">
        <f t="shared" si="30"/>
        <v>0.79322278573312222</v>
      </c>
      <c r="J44" s="29"/>
      <c r="K44" s="22" t="str">
        <f t="shared" si="31"/>
        <v>2 vs. 4</v>
      </c>
      <c r="L44" s="17">
        <v>0</v>
      </c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2020-10-10T21:37:15Z</dcterms:modified>
</cp:coreProperties>
</file>