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GitHub\BASE\EASE\"/>
    </mc:Choice>
  </mc:AlternateContent>
  <xr:revisionPtr revIDLastSave="17" documentId="114_{1005B5FA-B6D2-4F23-9301-9CFA46B43EDC}" xr6:coauthVersionLast="45" xr6:coauthVersionMax="45" xr10:uidLastSave="{3D32B6AD-038E-4B7C-9FB7-DD0F91051276}"/>
  <bookViews>
    <workbookView xWindow="-96" yWindow="-96" windowWidth="19392" windowHeight="10392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K8" i="20"/>
  <c r="K7" i="20"/>
  <c r="L4" i="1"/>
  <c r="M4" i="1"/>
  <c r="V7" i="1" a="1"/>
  <c r="V7" i="1"/>
  <c r="E8" i="20"/>
  <c r="V8" i="1" a="1"/>
  <c r="V8" i="1"/>
  <c r="E7" i="20"/>
  <c r="U7" i="1"/>
  <c r="D8" i="20"/>
  <c r="U8" i="1"/>
  <c r="D7" i="20"/>
  <c r="T7" i="1"/>
  <c r="C8" i="20"/>
  <c r="T8" i="1"/>
  <c r="C7" i="20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W7" i="1"/>
  <c r="G40" i="22"/>
  <c r="D7" i="22"/>
  <c r="E7" i="22"/>
  <c r="L7" i="22"/>
  <c r="O7" i="22"/>
  <c r="N6" i="20"/>
  <c r="N7" i="20"/>
  <c r="N8" i="20"/>
  <c r="N11" i="20"/>
  <c r="D7" i="8"/>
  <c r="B7" i="8"/>
  <c r="T7" i="8"/>
  <c r="V7" i="8"/>
  <c r="G40" i="8"/>
  <c r="E7" i="8"/>
  <c r="W7" i="8"/>
  <c r="X7" i="8"/>
  <c r="Y7" i="8"/>
  <c r="Z7" i="8"/>
  <c r="U9" i="1"/>
  <c r="D8" i="8"/>
  <c r="B8" i="8"/>
  <c r="T8" i="8"/>
  <c r="U8" i="8"/>
  <c r="V8" i="8"/>
  <c r="T9" i="1"/>
  <c r="G41" i="8"/>
  <c r="V9" i="1" a="1"/>
  <c r="V9" i="1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U10" i="1"/>
  <c r="D10" i="8"/>
  <c r="B10" i="8"/>
  <c r="T10" i="8"/>
  <c r="U10" i="8"/>
  <c r="V10" i="8"/>
  <c r="W10" i="8"/>
  <c r="X10" i="8"/>
  <c r="T10" i="1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R10" i="1"/>
  <c r="B10" i="22"/>
  <c r="K10" i="22"/>
  <c r="K43" i="22"/>
  <c r="R9" i="1"/>
  <c r="B9" i="22"/>
  <c r="K9" i="22"/>
  <c r="K42" i="22"/>
  <c r="R8" i="1"/>
  <c r="B8" i="22"/>
  <c r="K8" i="22"/>
  <c r="K41" i="22"/>
  <c r="R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41" i="20"/>
  <c r="K40" i="20"/>
  <c r="W10" i="1"/>
  <c r="W9" i="1"/>
  <c r="W8" i="1"/>
  <c r="V10" i="1" a="1"/>
  <c r="V10" i="1"/>
  <c r="X10" i="1"/>
  <c r="X9" i="1"/>
  <c r="X8" i="1"/>
  <c r="X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U11" i="1"/>
  <c r="T11" i="1"/>
  <c r="W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V11" i="1"/>
  <c r="S34" i="1"/>
  <c r="T34" i="1"/>
  <c r="U34" i="1"/>
  <c r="C7" i="22"/>
  <c r="M7" i="22"/>
  <c r="X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T33" i="1" a="1"/>
  <c r="T33" i="1"/>
  <c r="S33" i="1" a="1"/>
  <c r="S33" i="1"/>
  <c r="U33" i="1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T32" i="1"/>
  <c r="S32" i="1"/>
  <c r="U32" i="1"/>
  <c r="V32" i="1"/>
  <c r="W32" i="1"/>
  <c r="X32" i="1"/>
</calcChain>
</file>

<file path=xl/sharedStrings.xml><?xml version="1.0" encoding="utf-8"?>
<sst xmlns="http://schemas.openxmlformats.org/spreadsheetml/2006/main" count="338" uniqueCount="144">
  <si>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</si>
  <si>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</si>
  <si>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</si>
  <si>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</si>
  <si>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</si>
  <si>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</si>
  <si>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</si>
  <si>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</si>
  <si>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</si>
  <si>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</si>
  <si>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</si>
  <si>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</si>
  <si>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</si>
  <si>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</si>
  <si>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</si>
  <si>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</si>
  <si>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</si>
  <si>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</si>
  <si>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</si>
  <si>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</si>
  <si>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</si>
  <si>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</si>
  <si>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</si>
  <si>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</si>
  <si>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</si>
  <si>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</si>
  <si>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Raw Data</t>
  </si>
  <si>
    <t>Description</t>
  </si>
  <si>
    <t>Value</t>
  </si>
  <si>
    <t>Variable</t>
  </si>
  <si>
    <t>Project Name</t>
  </si>
  <si>
    <t>Project Description</t>
  </si>
  <si>
    <t>ID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</si>
  <si>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</si>
  <si>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</si>
  <si>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</si>
  <si>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</si>
  <si>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</si>
  <si>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Input Method: Raw Data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</si>
  <si>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</si>
  <si>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</si>
  <si>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</si>
  <si>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</si>
  <si>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</si>
  <si>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</si>
  <si>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</si>
  <si>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</si>
  <si>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</si>
  <si>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</si>
  <si>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</si>
  <si>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</si>
  <si>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</si>
  <si>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</si>
  <si>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</si>
  <si>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</si>
  <si>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</si>
  <si>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</si>
  <si>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</si>
  <si>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</si>
  <si>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</si>
  <si>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</si>
  <si>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</si>
  <si>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</si>
  <si>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</si>
  <si>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</si>
  <si>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</si>
  <si>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</si>
  <si>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</si>
  <si>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</si>
  <si>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</si>
  <si>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</si>
  <si>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</si>
  <si>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</si>
  <si>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</si>
  <si>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</si>
  <si>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</si>
  <si>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</si>
  <si>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</si>
  <si>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</si>
  <si>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</si>
  <si>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</si>
  <si>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</si>
  <si>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</si>
  <si>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</si>
  <si>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</si>
  <si>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</si>
  <si>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</si>
  <si>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</si>
  <si>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</si>
  <si>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</si>
  <si>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</si>
  <si>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</si>
  <si>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</si>
  <si>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</si>
  <si>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</si>
  <si>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</si>
  <si>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</si>
  <si>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</si>
  <si>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</si>
  <si>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</si>
  <si>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</si>
  <si>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</si>
  <si>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</si>
  <si>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</si>
  <si>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</si>
  <si>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</si>
  <si>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</si>
  <si>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</si>
  <si>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This module uses raw data as input.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</si>
  <si>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</si>
  <si>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</si>
  <si>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</si>
  <si>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</si>
  <si>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</si>
  <si>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</si>
  <si>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</si>
  <si>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</si>
  <si>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</si>
  <si>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</si>
  <si>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</si>
  <si>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</si>
  <si>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</si>
  <si>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</si>
  <si>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http://www4.uwsp.edu/psych/cw/</t>
  </si>
  <si>
    <t>Using this Module</t>
  </si>
  <si>
    <t>OneComp:</t>
  </si>
  <si>
    <t>EASE: Estimation Approach to Statistics with Excel</t>
  </si>
  <si>
    <t>Data from Rattan (2012)</t>
  </si>
  <si>
    <t>This is the full data from Rattan (2012) as used in Chap. 14 of Cumming and Calin-Jageman (2016) to demonstrate One-Way designs.</t>
  </si>
  <si>
    <t>Feedback</t>
  </si>
  <si>
    <t>Type of Feedback Provided</t>
  </si>
  <si>
    <t>Motivation</t>
  </si>
  <si>
    <t>How Students felt about Course</t>
  </si>
  <si>
    <t>Reassure</t>
  </si>
  <si>
    <t>Encouragement and Reassurance</t>
  </si>
  <si>
    <t>Challenge</t>
  </si>
  <si>
    <t>Encouragement and Challenge</t>
  </si>
  <si>
    <t>Encourage</t>
  </si>
  <si>
    <t>Just Encouragement</t>
  </si>
  <si>
    <t>EASE: Estimation Approach to Statistics with Excel [Excel Spreadsheet].</t>
  </si>
  <si>
    <t>How to Cite</t>
  </si>
  <si>
    <t>cwendorf@uwsp.edu</t>
  </si>
  <si>
    <t>Version: 2.20200104</t>
  </si>
  <si>
    <t>https://cwendorf.github.io/BASE/EASE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</si>
</sst>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10" applyNumberFormat="0" applyFont="0" applyAlignment="0" applyProtection="0"/>
    <xf numFmtId="0" fontId="14" fillId="0" borderId="0" applyNumberFormat="0" applyFill="0" applyBorder="0" applyAlignment="0" applyProtection="0"/>
  </cellStyleXfs>
  <cellXfs count="218">
    <xf numFmtId="0" fontId="0" fillId="0" borderId="0" xfId="0"/>
    <xf numFmtId="0" fontId="2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0" fillId="0" borderId="0" xfId="0" applyBorder="1" applyProtection="1">
      <protection hidden="1"/>
    </xf>
    <xf numFmtId="0" fontId="4" fillId="0" borderId="0" xfId="0" applyFont="1" applyBorder="1" applyProtection="1">
      <protection hidden="1"/>
    </xf>
    <xf numFmtId="0" fontId="0" fillId="0" borderId="0" xfId="0" applyFill="1" applyBorder="1" applyProtection="1"/>
    <xf numFmtId="0" fontId="0" fillId="0" borderId="0" xfId="0" applyFill="1" applyBorder="1" applyAlignment="1" applyProtection="1">
      <alignment horizontal="center"/>
      <protection hidden="1"/>
    </xf>
    <xf numFmtId="0" fontId="5" fillId="0" borderId="0" xfId="0" applyFont="1" applyBorder="1" applyProtection="1">
      <protection hidden="1"/>
    </xf>
    <xf numFmtId="0" fontId="5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6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8" fillId="0" borderId="0" xfId="0" applyFont="1" applyBorder="1" applyProtection="1"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8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5" fillId="0" borderId="0" xfId="0" applyFont="1" applyProtection="1"/>
    <xf numFmtId="0" fontId="10" fillId="0" borderId="0" xfId="5" applyFont="1" applyFill="1" applyBorder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5" fillId="0" borderId="0" xfId="0" applyFont="1" applyBorder="1" applyProtection="1"/>
    <xf numFmtId="0" fontId="6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64" fontId="6" fillId="0" borderId="1" xfId="0" applyNumberFormat="1" applyFont="1" applyBorder="1" applyAlignment="1" applyProtection="1">
      <alignment horizontal="center"/>
    </xf>
    <xf numFmtId="0" fontId="12" fillId="0" borderId="1" xfId="0" applyFont="1" applyFill="1" applyBorder="1" applyAlignment="1" applyProtection="1">
      <alignment horizontal="center"/>
      <protection hidden="1"/>
    </xf>
    <xf numFmtId="164" fontId="8" fillId="0" borderId="3" xfId="0" applyNumberFormat="1" applyFont="1" applyFill="1" applyBorder="1" applyAlignment="1" applyProtection="1">
      <alignment horizontal="center"/>
      <protection hidden="1"/>
    </xf>
    <xf numFmtId="1" fontId="8" fillId="0" borderId="3" xfId="0" applyNumberFormat="1" applyFont="1" applyFill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Fill="1" applyBorder="1" applyAlignment="1" applyProtection="1">
      <alignment horizontal="center"/>
      <protection hidden="1"/>
    </xf>
    <xf numFmtId="1" fontId="8" fillId="0" borderId="4" xfId="5" applyNumberFormat="1" applyFont="1" applyFill="1" applyBorder="1" applyAlignment="1" applyProtection="1">
      <alignment horizontal="center"/>
      <protection hidden="1"/>
    </xf>
    <xf numFmtId="164" fontId="8" fillId="0" borderId="4" xfId="5" applyNumberFormat="1" applyFont="1" applyFill="1" applyBorder="1" applyAlignment="1" applyProtection="1">
      <alignment horizontal="center"/>
      <protection hidden="1"/>
    </xf>
    <xf numFmtId="165" fontId="8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8" fillId="0" borderId="5" xfId="0" applyNumberFormat="1" applyFont="1" applyFill="1" applyBorder="1" applyAlignment="1" applyProtection="1">
      <alignment horizontal="center"/>
      <protection hidden="1"/>
    </xf>
    <xf numFmtId="1" fontId="8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8" fillId="0" borderId="0" xfId="0" applyFont="1" applyProtection="1"/>
    <xf numFmtId="0" fontId="6" fillId="0" borderId="1" xfId="0" applyFont="1" applyFill="1" applyBorder="1" applyAlignment="1" applyProtection="1">
      <alignment horizontal="center"/>
      <protection hidden="1"/>
    </xf>
    <xf numFmtId="0" fontId="6" fillId="0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Protection="1"/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8" fillId="0" borderId="0" xfId="0" applyFont="1" applyBorder="1" applyProtection="1"/>
    <xf numFmtId="0" fontId="0" fillId="0" borderId="0" xfId="0" applyFont="1" applyBorder="1" applyProtection="1">
      <protection hidden="1"/>
    </xf>
    <xf numFmtId="0" fontId="0" fillId="0" borderId="0" xfId="0" applyFont="1" applyBorder="1" applyProtection="1"/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1" fontId="0" fillId="0" borderId="3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4" fontId="0" fillId="3" borderId="3" xfId="0" applyNumberFormat="1" applyFont="1" applyFill="1" applyBorder="1" applyAlignment="1" applyProtection="1">
      <alignment horizontal="center"/>
      <protection locked="0"/>
    </xf>
    <xf numFmtId="1" fontId="0" fillId="0" borderId="3" xfId="0" applyNumberFormat="1" applyFont="1" applyBorder="1" applyAlignment="1" applyProtection="1">
      <alignment horizontal="center"/>
      <protection hidden="1"/>
    </xf>
    <xf numFmtId="1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0" fillId="3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64" fontId="0" fillId="3" borderId="7" xfId="0" applyNumberFormat="1" applyFont="1" applyFill="1" applyBorder="1" applyAlignment="1" applyProtection="1">
      <alignment horizontal="center"/>
      <protection locked="0"/>
    </xf>
    <xf numFmtId="1" fontId="0" fillId="0" borderId="7" xfId="0" applyNumberFormat="1" applyFont="1" applyBorder="1" applyAlignment="1" applyProtection="1">
      <alignment horizontal="center"/>
      <protection hidden="1"/>
    </xf>
    <xf numFmtId="0" fontId="0" fillId="0" borderId="2" xfId="0" applyFont="1" applyBorder="1" applyProtection="1"/>
    <xf numFmtId="0" fontId="13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0" fontId="6" fillId="0" borderId="1" xfId="0" applyFont="1" applyBorder="1" applyAlignment="1" applyProtection="1">
      <alignment horizontal="center"/>
    </xf>
    <xf numFmtId="0" fontId="9" fillId="0" borderId="0" xfId="0" applyFont="1" applyAlignment="1" applyProtection="1">
      <alignment horizontal="left"/>
    </xf>
    <xf numFmtId="0" fontId="9" fillId="0" borderId="0" xfId="0" applyFont="1" applyProtection="1">
      <protection hidden="1"/>
    </xf>
    <xf numFmtId="0" fontId="0" fillId="0" borderId="0" xfId="0" applyFill="1" applyProtection="1"/>
    <xf numFmtId="0" fontId="0" fillId="0" borderId="0" xfId="0" applyFill="1" applyProtection="1">
      <protection hidden="1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2" fillId="0" borderId="0" xfId="0" applyFont="1" applyFill="1" applyBorder="1" applyAlignment="1" applyProtection="1">
      <alignment vertical="center"/>
    </xf>
    <xf numFmtId="0" fontId="0" fillId="0" borderId="0" xfId="0" applyFill="1" applyBorder="1" applyProtection="1">
      <protection hidden="1"/>
    </xf>
    <xf numFmtId="0" fontId="2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164" fontId="0" fillId="0" borderId="7" xfId="0" applyNumberFormat="1" applyFont="1" applyBorder="1" applyAlignment="1" applyProtection="1">
      <alignment horizontal="center"/>
    </xf>
    <xf numFmtId="0" fontId="15" fillId="0" borderId="0" xfId="0" applyFont="1" applyFill="1" applyBorder="1" applyProtection="1">
      <protection hidden="1"/>
    </xf>
    <xf numFmtId="0" fontId="15" fillId="0" borderId="0" xfId="0" applyFont="1" applyFill="1" applyProtection="1">
      <protection hidden="1"/>
    </xf>
    <xf numFmtId="0" fontId="8" fillId="0" borderId="0" xfId="0" applyFont="1" applyAlignment="1" applyProtection="1">
      <alignment horizontal="left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8" fillId="0" borderId="3" xfId="0" applyFont="1" applyFill="1" applyBorder="1" applyAlignment="1" applyProtection="1">
      <alignment horizontal="center"/>
      <protection hidden="1"/>
    </xf>
    <xf numFmtId="0" fontId="8" fillId="0" borderId="4" xfId="0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</xf>
    <xf numFmtId="164" fontId="0" fillId="0" borderId="11" xfId="0" applyNumberFormat="1" applyBorder="1" applyAlignment="1" applyProtection="1">
      <alignment horizontal="center"/>
    </xf>
    <xf numFmtId="1" fontId="0" fillId="0" borderId="11" xfId="0" applyNumberFormat="1" applyBorder="1" applyAlignment="1" applyProtection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2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left"/>
    </xf>
    <xf numFmtId="164" fontId="8" fillId="0" borderId="0" xfId="0" applyNumberFormat="1" applyFont="1" applyProtection="1"/>
    <xf numFmtId="164" fontId="0" fillId="3" borderId="8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1" xfId="6" applyNumberFormat="1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11" xfId="0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11" xfId="0" applyNumberFormat="1" applyFont="1" applyBorder="1" applyAlignment="1" applyProtection="1">
      <alignment horizontal="center"/>
      <protection hidden="1"/>
    </xf>
    <xf numFmtId="0" fontId="14" fillId="0" borderId="0" xfId="7" applyProtection="1">
      <protection hidden="1"/>
    </xf>
    <xf numFmtId="0" fontId="15" fillId="0" borderId="0" xfId="0" applyFont="1" applyFill="1" applyAlignment="1" applyProtection="1">
      <protection hidden="1"/>
    </xf>
    <xf numFmtId="0" fontId="2" fillId="0" borderId="0" xfId="0" applyFont="1" applyFill="1" applyAlignment="1" applyProtection="1">
      <alignment horizontal="center"/>
      <protection hidden="1"/>
    </xf>
    <xf numFmtId="0" fontId="2" fillId="0" borderId="0" xfId="0" applyFont="1" applyFill="1" applyAlignment="1">
      <alignment horizontal="center"/>
    </xf>
    <xf numFmtId="0" fontId="15" fillId="0" borderId="0" xfId="0" applyFont="1" applyFill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5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Alignment="1" applyProtection="1"/>
    <xf numFmtId="0" fontId="6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Means!$D$7:$D$10</c:f>
              <c:numCache>
                <c:formatCode>0.000</c:formatCode>
                <c:ptCount val="4"/>
                <c:pt idx="0">
                  <c:v>3.3333333333333335</c:v>
                </c:pt>
                <c:pt idx="1">
                  <c:v>5.2647058823529411</c:v>
                </c:pt>
                <c:pt idx="2">
                  <c:v>4.4473684210526319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4.2868401233589877</c:v>
                </c:pt>
                <c:pt idx="1">
                  <c:v>3.3333333333333335</c:v>
                </c:pt>
                <c:pt idx="2">
                  <c:v>2.3798265433076793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6.0093270401095964</c:v>
                </c:pt>
                <c:pt idx="1">
                  <c:v>5.2647058823529411</c:v>
                </c:pt>
                <c:pt idx="2">
                  <c:v>4.5200847245962859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5.137908101899809</c:v>
                </c:pt>
                <c:pt idx="1">
                  <c:v>4.4473684210526319</c:v>
                </c:pt>
                <c:pt idx="2">
                  <c:v>3.7568287402054548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3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5.5</c:v>
                      </c:pt>
                      <c:pt idx="1">
                        <c:v>5</c:v>
                      </c:pt>
                      <c:pt idx="2">
                        <c:v>5.5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2.5</c:v>
                      </c:pt>
                      <c:pt idx="6">
                        <c:v>4.5</c:v>
                      </c:pt>
                      <c:pt idx="7">
                        <c:v>1</c:v>
                      </c:pt>
                      <c:pt idx="8">
                        <c:v>3.5</c:v>
                      </c:pt>
                      <c:pt idx="9">
                        <c:v>1.5</c:v>
                      </c:pt>
                      <c:pt idx="10">
                        <c:v>5.5</c:v>
                      </c:pt>
                      <c:pt idx="11">
                        <c:v>6</c:v>
                      </c:pt>
                      <c:pt idx="12">
                        <c:v>1.5</c:v>
                      </c:pt>
                      <c:pt idx="13">
                        <c:v>1</c:v>
                      </c:pt>
                      <c:pt idx="14">
                        <c:v>3.5</c:v>
                      </c:pt>
                      <c:pt idx="15">
                        <c:v>2.5</c:v>
                      </c:pt>
                      <c:pt idx="16">
                        <c:v>3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6</c:v>
                      </c:pt>
                      <c:pt idx="20">
                        <c:v>4.5</c:v>
                      </c:pt>
                      <c:pt idx="21">
                        <c:v>4.5</c:v>
                      </c:pt>
                      <c:pt idx="22">
                        <c:v>6</c:v>
                      </c:pt>
                      <c:pt idx="23">
                        <c:v>7</c:v>
                      </c:pt>
                      <c:pt idx="24">
                        <c:v>3</c:v>
                      </c:pt>
                      <c:pt idx="25">
                        <c:v>7</c:v>
                      </c:pt>
                      <c:pt idx="26">
                        <c:v>3.5</c:v>
                      </c:pt>
                      <c:pt idx="27">
                        <c:v>5</c:v>
                      </c:pt>
                      <c:pt idx="28">
                        <c:v>4.5</c:v>
                      </c:pt>
                      <c:pt idx="29">
                        <c:v>5.5</c:v>
                      </c:pt>
                      <c:pt idx="30">
                        <c:v>6.5</c:v>
                      </c:pt>
                      <c:pt idx="31">
                        <c:v>6</c:v>
                      </c:pt>
                      <c:pt idx="32">
                        <c:v>6</c:v>
                      </c:pt>
                      <c:pt idx="33">
                        <c:v>7</c:v>
                      </c:pt>
                      <c:pt idx="34">
                        <c:v>5.5</c:v>
                      </c:pt>
                      <c:pt idx="35">
                        <c:v>6</c:v>
                      </c:pt>
                      <c:pt idx="36">
                        <c:v>2.5</c:v>
                      </c:pt>
                      <c:pt idx="37">
                        <c:v>4.5</c:v>
                      </c:pt>
                      <c:pt idx="38">
                        <c:v>3.5</c:v>
                      </c:pt>
                      <c:pt idx="39">
                        <c:v>6</c:v>
                      </c:pt>
                      <c:pt idx="40">
                        <c:v>5</c:v>
                      </c:pt>
                      <c:pt idx="41">
                        <c:v>6</c:v>
                      </c:pt>
                      <c:pt idx="42">
                        <c:v>3.5</c:v>
                      </c:pt>
                      <c:pt idx="43">
                        <c:v>4</c:v>
                      </c:pt>
                      <c:pt idx="44">
                        <c:v>3</c:v>
                      </c:pt>
                      <c:pt idx="45">
                        <c:v>5.5</c:v>
                      </c:pt>
                      <c:pt idx="46">
                        <c:v>3</c:v>
                      </c:pt>
                      <c:pt idx="47">
                        <c:v>6</c:v>
                      </c:pt>
                      <c:pt idx="48">
                        <c:v>3</c:v>
                      </c:pt>
                      <c:pt idx="49">
                        <c:v>5</c:v>
                      </c:pt>
                      <c:pt idx="50">
                        <c:v>6</c:v>
                      </c:pt>
                      <c:pt idx="51">
                        <c:v>6.5</c:v>
                      </c:pt>
                      <c:pt idx="52">
                        <c:v>3.5</c:v>
                      </c:pt>
                      <c:pt idx="53">
                        <c:v>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Means!$M$7:$M$10</c:f>
              <c:numCache>
                <c:formatCode>0.000</c:formatCode>
                <c:ptCount val="4"/>
                <c:pt idx="0">
                  <c:v>-0.33212255039440353</c:v>
                </c:pt>
                <c:pt idx="1">
                  <c:v>0.83168116679289616</c:v>
                </c:pt>
                <c:pt idx="2">
                  <c:v>0.29906141629453026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0.13368691786943732</c:v>
                </c:pt>
                <c:pt idx="1">
                  <c:v>-0.33212255039440353</c:v>
                </c:pt>
                <c:pt idx="2">
                  <c:v>-0.81892292082458307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1.425696241701548</c:v>
                </c:pt>
                <c:pt idx="1">
                  <c:v>0.83168116679289616</c:v>
                </c:pt>
                <c:pt idx="2">
                  <c:v>0.3013652468929317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0.76906422089825144</c:v>
                </c:pt>
                <c:pt idx="1">
                  <c:v>0.29906141629453026</c:v>
                </c:pt>
                <c:pt idx="2">
                  <c:v>-0.15275563377426665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5.2647058823529411</c:v>
                </c:pt>
                <c:pt idx="1">
                  <c:v>3.3333333333333335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6.2647058823529411</c:v>
                </c:pt>
                <c:pt idx="5">
                  <c:v>5.2647058823529411</c:v>
                </c:pt>
                <c:pt idx="6">
                  <c:v>4.2647058823529411</c:v>
                </c:pt>
                <c:pt idx="7">
                  <c:v>3.2647058823529411</c:v>
                </c:pt>
                <c:pt idx="8">
                  <c:v>2.2647058823529411</c:v>
                </c:pt>
                <c:pt idx="9">
                  <c:v>1.2647058823529411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5.2647058823529411</c:v>
                </c:pt>
                <c:pt idx="1">
                  <c:v>5.2647058823529411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3.3333333333333335</c:v>
                </c:pt>
                <c:pt idx="1">
                  <c:v>3.3333333333333335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6.0093270401095964</c:v>
                </c:pt>
                <c:pt idx="1">
                  <c:v>5.2647058823529411</c:v>
                </c:pt>
                <c:pt idx="2">
                  <c:v>4.5200847245962859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4.2868401233589877</c:v>
                </c:pt>
                <c:pt idx="1">
                  <c:v>3.3333333333333335</c:v>
                </c:pt>
                <c:pt idx="2">
                  <c:v>2.3798265433076793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4.5072734133617534</c:v>
                </c:pt>
                <c:pt idx="1">
                  <c:v>3.3333333333333335</c:v>
                </c:pt>
                <c:pt idx="2">
                  <c:v>2.1579980113369874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0.83168116679289616</c:v>
                </c:pt>
                <c:pt idx="1">
                  <c:v>-0.33212255039440353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1.8316811667928961</c:v>
                </c:pt>
                <c:pt idx="4">
                  <c:v>1.3316811667928961</c:v>
                </c:pt>
                <c:pt idx="5">
                  <c:v>0.83168116679289616</c:v>
                </c:pt>
                <c:pt idx="6">
                  <c:v>0.33168116679289616</c:v>
                </c:pt>
                <c:pt idx="7">
                  <c:v>-0.16831883320710384</c:v>
                </c:pt>
                <c:pt idx="8">
                  <c:v>-0.66831883320710384</c:v>
                </c:pt>
                <c:pt idx="9">
                  <c:v>-1.1683188332071039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0.83168116679289616</c:v>
                </c:pt>
                <c:pt idx="1">
                  <c:v>0.83168116679289616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-0.33212255039440353</c:v>
                </c:pt>
                <c:pt idx="1">
                  <c:v>-0.33212255039440353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1.425696241701548</c:v>
                </c:pt>
                <c:pt idx="1">
                  <c:v>0.83168116679289616</c:v>
                </c:pt>
                <c:pt idx="2">
                  <c:v>0.3013652468929317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0.13368691786943732</c:v>
                </c:pt>
                <c:pt idx="1">
                  <c:v>-0.33212255039440353</c:v>
                </c:pt>
                <c:pt idx="2">
                  <c:v>-0.81892292082458307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0.36701191612949891</c:v>
                </c:pt>
                <c:pt idx="1">
                  <c:v>-0.33212255039440353</c:v>
                </c:pt>
                <c:pt idx="2">
                  <c:v>-1.0660208740444117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-1.9313725490196076</c:v>
                </c:pt>
                <c:pt idx="1">
                  <c:v>-1.1140350877192984</c:v>
                </c:pt>
                <c:pt idx="2">
                  <c:v>0.81733746130030926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-0.7574324689911871</c:v>
                </c:pt>
                <c:pt idx="1">
                  <c:v>-1.9313725490196076</c:v>
                </c:pt>
                <c:pt idx="2">
                  <c:v>-3.1053126290480284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1.1527273190231613E-2</c:v>
                </c:pt>
                <c:pt idx="1">
                  <c:v>-1.1140350877192984</c:v>
                </c:pt>
                <c:pt idx="2">
                  <c:v>-2.2395974486288281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1.7943499588095069</c:v>
                </c:pt>
                <c:pt idx="1">
                  <c:v>0.81733746130030926</c:v>
                </c:pt>
                <c:pt idx="2">
                  <c:v>-0.15967503620888834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-0.5</c:v>
                </c:pt>
                <c:pt idx="4">
                  <c:v>-0.5</c:v>
                </c:pt>
                <c:pt idx="5">
                  <c:v>-0.5</c:v>
                </c:pt>
                <c:pt idx="6">
                  <c:v>-0.5</c:v>
                </c:pt>
                <c:pt idx="7">
                  <c:v>-0.5</c:v>
                </c:pt>
                <c:pt idx="8">
                  <c:v>-0.5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-0.40696215713558581</c:v>
                </c:pt>
                <c:pt idx="1">
                  <c:v>-1.1060966236594882</c:v>
                </c:pt>
                <c:pt idx="2">
                  <c:v>-1.8399949473094963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6.6697332674151757E-3</c:v>
                </c:pt>
                <c:pt idx="1">
                  <c:v>-0.64663670418723795</c:v>
                </c:pt>
                <c:pt idx="2">
                  <c:v>-1.3190647057051854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1.2315769752355692</c:v>
                </c:pt>
                <c:pt idx="1">
                  <c:v>0.55496730263445881</c:v>
                </c:pt>
                <c:pt idx="2">
                  <c:v>-0.10440686159742485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302895</xdr:colOff>
      <xdr:row>14</xdr:row>
      <xdr:rowOff>152397</xdr:rowOff>
    </xdr:from>
    <xdr:to>
      <xdr:col>8</xdr:col>
      <xdr:colOff>9525</xdr:colOff>
      <xdr:row>34</xdr:row>
      <xdr:rowOff>188592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14</xdr:row>
      <xdr:rowOff>160017</xdr:rowOff>
    </xdr:from>
    <xdr:to>
      <xdr:col>17</xdr:col>
      <xdr:colOff>13335</xdr:colOff>
      <xdr:row>35</xdr:row>
      <xdr:rowOff>5712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www4.uwsp.edu/psych/cw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3"/>
  <sheetViews>
    <sheetView tabSelected="1" showRuler="0" zoomScaleNormal="100" workbookViewId="0">
      <selection activeCell="K33" sqref="K33"/>
    </sheetView>
  </sheetViews>
  <sheetFormatPr defaultColWidth="11.15625" defaultRowHeight="15" customHeight="1" x14ac:dyDescent="0.55000000000000004"/>
  <cols>
    <col min="1" max="1" width="4.578125" style="3" customWidth="1"/>
    <col min="2" max="8" width="11.15625" style="31"/>
    <col min="9" max="10" width="4.578125" style="31" customWidth="1"/>
    <col min="11" max="17" width="11.15625" style="31"/>
    <col min="18" max="19" width="4.578125" style="31" customWidth="1"/>
    <col min="20" max="16384" width="11.15625" style="31"/>
  </cols>
  <sheetData>
    <row r="1" spans="1:17" s="145" customFormat="1" ht="15" customHeight="1" x14ac:dyDescent="0.55000000000000004">
      <c r="A1" s="149"/>
    </row>
    <row r="2" spans="1:17" s="145" customFormat="1" ht="18" customHeight="1" x14ac:dyDescent="0.7">
      <c r="A2" s="149"/>
      <c r="B2" s="199" t="s">
        <v>126</v>
      </c>
      <c r="C2" s="199"/>
      <c r="D2" s="199"/>
      <c r="E2" s="199"/>
      <c r="F2" s="199"/>
      <c r="G2" s="199"/>
      <c r="H2" s="199"/>
      <c r="I2" s="150"/>
      <c r="J2" s="150"/>
      <c r="K2" s="200" t="s">
        <v>89</v>
      </c>
      <c r="L2" s="200"/>
      <c r="M2" s="200"/>
      <c r="N2" s="200"/>
      <c r="O2" s="200"/>
      <c r="P2" s="200"/>
      <c r="Q2" s="200"/>
    </row>
    <row r="3" spans="1:17" s="145" customFormat="1" ht="18" customHeight="1" x14ac:dyDescent="0.7">
      <c r="A3" s="149"/>
      <c r="B3" s="201" t="s">
        <v>39</v>
      </c>
      <c r="C3" s="201"/>
      <c r="D3" s="201"/>
      <c r="E3" s="201"/>
      <c r="F3" s="201"/>
      <c r="G3" s="201"/>
      <c r="H3" s="201"/>
      <c r="I3" s="198"/>
      <c r="J3" s="198"/>
      <c r="K3" s="201" t="s">
        <v>142</v>
      </c>
      <c r="L3" s="201"/>
      <c r="M3" s="201"/>
      <c r="N3" s="201"/>
      <c r="O3" s="201"/>
      <c r="P3" s="201"/>
      <c r="Q3" s="201"/>
    </row>
    <row r="4" spans="1:17" s="155" customFormat="1" ht="18" customHeight="1" x14ac:dyDescent="0.7">
      <c r="A4" s="154"/>
      <c r="B4" s="201" t="s">
        <v>38</v>
      </c>
      <c r="C4" s="201"/>
      <c r="D4" s="201"/>
      <c r="E4" s="201"/>
      <c r="F4" s="201"/>
      <c r="G4" s="201"/>
      <c r="H4" s="201"/>
      <c r="I4" s="198"/>
      <c r="J4" s="198"/>
      <c r="K4" s="202" t="s">
        <v>143</v>
      </c>
      <c r="L4" s="201"/>
      <c r="M4" s="201"/>
      <c r="N4" s="201"/>
      <c r="O4" s="201"/>
      <c r="P4" s="201"/>
      <c r="Q4" s="201"/>
    </row>
    <row r="5" spans="1:17" s="145" customFormat="1" ht="15" customHeight="1" x14ac:dyDescent="0.55000000000000004">
      <c r="A5" s="149"/>
      <c r="I5" s="151"/>
      <c r="J5" s="151"/>
      <c r="K5" s="151"/>
      <c r="L5" s="151"/>
      <c r="M5" s="151"/>
      <c r="N5" s="151"/>
      <c r="O5" s="151"/>
      <c r="P5" s="151"/>
      <c r="Q5" s="151"/>
    </row>
    <row r="6" spans="1:17" s="145" customFormat="1" ht="15" customHeight="1" x14ac:dyDescent="0.6">
      <c r="A6" s="149"/>
      <c r="B6" s="7" t="s">
        <v>90</v>
      </c>
      <c r="K6" s="7" t="s">
        <v>91</v>
      </c>
    </row>
    <row r="8" spans="1:17" ht="15" customHeight="1" x14ac:dyDescent="0.55000000000000004">
      <c r="B8" s="31" t="s">
        <v>103</v>
      </c>
      <c r="K8" s="28" t="s">
        <v>24</v>
      </c>
    </row>
    <row r="9" spans="1:17" ht="15" customHeight="1" x14ac:dyDescent="0.55000000000000004">
      <c r="B9" s="31" t="s">
        <v>106</v>
      </c>
      <c r="K9" s="28" t="s">
        <v>35</v>
      </c>
    </row>
    <row r="10" spans="1:17" ht="15" customHeight="1" x14ac:dyDescent="0.55000000000000004">
      <c r="B10" s="31" t="s">
        <v>112</v>
      </c>
      <c r="K10" s="28" t="s">
        <v>34</v>
      </c>
    </row>
    <row r="11" spans="1:17" ht="15" customHeight="1" x14ac:dyDescent="0.55000000000000004">
      <c r="B11" s="31" t="s">
        <v>122</v>
      </c>
    </row>
    <row r="13" spans="1:17" ht="15" customHeight="1" x14ac:dyDescent="0.6">
      <c r="B13" s="7" t="s">
        <v>92</v>
      </c>
      <c r="K13" s="7" t="s">
        <v>93</v>
      </c>
    </row>
    <row r="14" spans="1:17" ht="15" customHeight="1" x14ac:dyDescent="0.55000000000000004">
      <c r="K14"/>
    </row>
    <row r="15" spans="1:17" ht="15" customHeight="1" x14ac:dyDescent="0.55000000000000004">
      <c r="B15" s="31" t="s">
        <v>9</v>
      </c>
      <c r="K15" s="54" t="s">
        <v>109</v>
      </c>
    </row>
    <row r="16" spans="1:17" ht="15" customHeight="1" x14ac:dyDescent="0.55000000000000004">
      <c r="A16" s="31"/>
      <c r="B16" s="31" t="s">
        <v>108</v>
      </c>
      <c r="K16" s="42" t="s">
        <v>49</v>
      </c>
    </row>
    <row r="17" spans="1:17" ht="15" customHeight="1" x14ac:dyDescent="0.55000000000000004">
      <c r="A17" s="31"/>
      <c r="B17" s="31" t="s">
        <v>104</v>
      </c>
      <c r="K17" s="42" t="s">
        <v>94</v>
      </c>
    </row>
    <row r="18" spans="1:17" ht="15" customHeight="1" x14ac:dyDescent="0.55000000000000004">
      <c r="A18" s="31"/>
      <c r="B18" s="31" t="s">
        <v>105</v>
      </c>
      <c r="K18" s="152" t="s">
        <v>107</v>
      </c>
    </row>
    <row r="20" spans="1:17" ht="15" customHeight="1" x14ac:dyDescent="0.6">
      <c r="A20" s="31"/>
      <c r="B20" s="7" t="s">
        <v>95</v>
      </c>
      <c r="K20" s="7" t="s">
        <v>5</v>
      </c>
    </row>
    <row r="22" spans="1:17" ht="15" customHeight="1" x14ac:dyDescent="0.55000000000000004">
      <c r="A22" s="31"/>
      <c r="B22" s="28" t="s">
        <v>96</v>
      </c>
      <c r="C22" s="31" t="s">
        <v>8</v>
      </c>
      <c r="K22" s="31" t="s">
        <v>67</v>
      </c>
      <c r="L22"/>
      <c r="M22"/>
      <c r="N22"/>
      <c r="O22"/>
      <c r="Q22"/>
    </row>
    <row r="23" spans="1:17" ht="15" customHeight="1" x14ac:dyDescent="0.55000000000000004">
      <c r="A23" s="31"/>
      <c r="B23" s="28" t="s">
        <v>97</v>
      </c>
      <c r="C23" s="31" t="s">
        <v>44</v>
      </c>
      <c r="K23" s="31" t="s">
        <v>6</v>
      </c>
      <c r="L23"/>
      <c r="M23"/>
      <c r="N23"/>
      <c r="O23"/>
      <c r="Q23"/>
    </row>
    <row r="24" spans="1:17" ht="15" customHeight="1" x14ac:dyDescent="0.55000000000000004">
      <c r="A24" s="31"/>
      <c r="B24" s="28" t="s">
        <v>101</v>
      </c>
      <c r="C24" s="31" t="s">
        <v>45</v>
      </c>
      <c r="K24" s="31" t="s">
        <v>7</v>
      </c>
      <c r="L24"/>
      <c r="M24"/>
      <c r="N24"/>
      <c r="O24"/>
      <c r="Q24"/>
    </row>
    <row r="25" spans="1:17" ht="15" customHeight="1" x14ac:dyDescent="0.55000000000000004">
      <c r="A25" s="31"/>
      <c r="B25" s="31" t="s">
        <v>125</v>
      </c>
      <c r="C25" s="31" t="s">
        <v>111</v>
      </c>
      <c r="K25" s="197" t="s">
        <v>141</v>
      </c>
      <c r="L25"/>
      <c r="M25"/>
      <c r="N25"/>
      <c r="O25"/>
      <c r="Q25"/>
    </row>
    <row r="26" spans="1:17" ht="15" customHeight="1" x14ac:dyDescent="0.55000000000000004">
      <c r="A26" s="31"/>
      <c r="B26" s="28" t="s">
        <v>102</v>
      </c>
      <c r="C26" s="31" t="s">
        <v>10</v>
      </c>
      <c r="K26" s="197" t="s">
        <v>123</v>
      </c>
      <c r="L26"/>
      <c r="M26"/>
      <c r="N26"/>
      <c r="O26"/>
      <c r="Q26"/>
    </row>
    <row r="27" spans="1:17" ht="15" customHeight="1" x14ac:dyDescent="0.55000000000000004">
      <c r="A27" s="31"/>
      <c r="L27"/>
      <c r="M27"/>
      <c r="N27"/>
      <c r="O27"/>
      <c r="P27"/>
      <c r="Q27"/>
    </row>
    <row r="28" spans="1:17" ht="15" customHeight="1" x14ac:dyDescent="0.6">
      <c r="A28" s="31"/>
      <c r="B28" s="7" t="s">
        <v>124</v>
      </c>
      <c r="K28" s="7" t="s">
        <v>140</v>
      </c>
      <c r="L28"/>
      <c r="M28"/>
      <c r="N28"/>
      <c r="O28"/>
      <c r="P28"/>
      <c r="Q28"/>
    </row>
    <row r="29" spans="1:17" ht="15" customHeight="1" x14ac:dyDescent="0.55000000000000004">
      <c r="A29" s="31"/>
      <c r="B29" s="30"/>
      <c r="L29"/>
      <c r="M29"/>
      <c r="N29"/>
      <c r="O29"/>
      <c r="P29"/>
      <c r="Q29"/>
    </row>
    <row r="30" spans="1:17" ht="15" customHeight="1" x14ac:dyDescent="0.55000000000000004">
      <c r="A30" s="31"/>
      <c r="B30" s="30" t="s">
        <v>98</v>
      </c>
      <c r="K30" s="31" t="s">
        <v>48</v>
      </c>
      <c r="L30"/>
      <c r="M30"/>
      <c r="N30"/>
      <c r="O30"/>
      <c r="P30"/>
      <c r="Q30"/>
    </row>
    <row r="31" spans="1:17" ht="15" customHeight="1" x14ac:dyDescent="0.55000000000000004">
      <c r="A31" s="31"/>
      <c r="B31" s="30" t="s">
        <v>99</v>
      </c>
      <c r="K31" s="28" t="s">
        <v>139</v>
      </c>
      <c r="L31"/>
      <c r="M31"/>
      <c r="N31"/>
      <c r="O31"/>
      <c r="P31"/>
      <c r="Q31"/>
    </row>
    <row r="32" spans="1:17" ht="15" customHeight="1" x14ac:dyDescent="0.55000000000000004">
      <c r="A32" s="31"/>
      <c r="B32" s="30" t="s">
        <v>100</v>
      </c>
      <c r="K32" s="31" t="s">
        <v>143</v>
      </c>
      <c r="L32"/>
      <c r="M32"/>
      <c r="N32"/>
      <c r="O32"/>
      <c r="P32"/>
      <c r="Q32"/>
    </row>
    <row r="33" spans="1:17" ht="15" customHeight="1" x14ac:dyDescent="0.55000000000000004">
      <c r="A33" s="31"/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73D6330-88C6-48CA-AE84-A1C0A8CC8449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Y58"/>
  <sheetViews>
    <sheetView showRuler="0" zoomScaleNormal="100" workbookViewId="0">
      <selection activeCell="M45" sqref="M45"/>
    </sheetView>
  </sheetViews>
  <sheetFormatPr defaultColWidth="11.15625" defaultRowHeight="14.4" x14ac:dyDescent="0.55000000000000004"/>
  <cols>
    <col min="1" max="1" width="4.578125" style="5" customWidth="1"/>
    <col min="2" max="5" width="11.15625" style="5"/>
    <col min="6" max="6" width="11.15625" style="44"/>
    <col min="7" max="8" width="11.15625" style="5"/>
    <col min="9" max="10" width="4.578125" style="5" customWidth="1"/>
    <col min="11" max="13" width="18.578125" style="21" customWidth="1"/>
    <col min="14" max="15" width="11.15625" style="5"/>
    <col min="16" max="16" width="4.578125" style="5" customWidth="1"/>
    <col min="17" max="17" width="4.578125" style="5" hidden="1" customWidth="1"/>
    <col min="18" max="24" width="11.15625" style="5" hidden="1" customWidth="1"/>
    <col min="25" max="25" width="4.578125" style="5" hidden="1" customWidth="1"/>
    <col min="26" max="16384" width="11.15625" style="5"/>
  </cols>
  <sheetData>
    <row r="1" spans="2:24" x14ac:dyDescent="0.55000000000000004">
      <c r="F1" s="5"/>
      <c r="K1" s="44"/>
      <c r="L1" s="5"/>
      <c r="M1" s="5"/>
    </row>
    <row r="2" spans="2:24" ht="15" customHeight="1" x14ac:dyDescent="0.55000000000000004">
      <c r="B2" s="206" t="s">
        <v>33</v>
      </c>
      <c r="C2" s="206"/>
      <c r="D2" s="206"/>
      <c r="E2" s="206"/>
      <c r="F2" s="206"/>
      <c r="G2" s="206"/>
      <c r="H2" s="206"/>
      <c r="K2" s="206" t="s">
        <v>26</v>
      </c>
      <c r="L2" s="206"/>
      <c r="M2" s="206"/>
      <c r="N2" s="148"/>
      <c r="O2" s="148"/>
      <c r="R2" s="206" t="s">
        <v>65</v>
      </c>
      <c r="S2" s="206"/>
      <c r="T2" s="206"/>
      <c r="U2" s="206"/>
      <c r="V2" s="206"/>
      <c r="W2" s="206"/>
      <c r="X2" s="206"/>
    </row>
    <row r="3" spans="2:24" ht="18.600000000000001" thickBot="1" x14ac:dyDescent="0.75">
      <c r="E3" s="1"/>
      <c r="K3" s="44"/>
      <c r="L3" s="6"/>
      <c r="M3" s="6"/>
      <c r="R3"/>
      <c r="S3"/>
      <c r="T3"/>
      <c r="U3"/>
    </row>
    <row r="4" spans="2:24" ht="15.9" thickBot="1" x14ac:dyDescent="0.65">
      <c r="B4" s="13" t="s">
        <v>33</v>
      </c>
      <c r="F4" s="5"/>
      <c r="K4" s="90" t="s">
        <v>32</v>
      </c>
      <c r="L4" s="90" t="str">
        <f>IF(B22="","",B22)</f>
        <v>Feedback</v>
      </c>
      <c r="M4" s="90" t="str">
        <f>IF(B23="","",B23)</f>
        <v>Motivation</v>
      </c>
      <c r="R4" s="65" t="s">
        <v>62</v>
      </c>
      <c r="S4" s="54"/>
      <c r="T4" s="54"/>
      <c r="U4" s="54"/>
      <c r="V4" s="54"/>
      <c r="W4"/>
      <c r="X4"/>
    </row>
    <row r="5" spans="2:24" ht="14.7" thickBot="1" x14ac:dyDescent="0.6">
      <c r="K5" s="20">
        <v>1</v>
      </c>
      <c r="L5" s="20">
        <v>1</v>
      </c>
      <c r="M5" s="21">
        <v>5.5</v>
      </c>
      <c r="Q5" s="35"/>
      <c r="R5" s="54"/>
      <c r="S5" s="54"/>
      <c r="T5" s="54"/>
      <c r="U5" s="54"/>
      <c r="V5" s="54"/>
      <c r="W5" s="54"/>
      <c r="X5" s="54"/>
    </row>
    <row r="6" spans="2:24" ht="14.7" thickBot="1" x14ac:dyDescent="0.6">
      <c r="B6" s="210" t="s">
        <v>30</v>
      </c>
      <c r="C6" s="210"/>
      <c r="D6" s="210"/>
      <c r="E6" s="210"/>
      <c r="F6" s="210"/>
      <c r="G6" s="210"/>
      <c r="H6" s="210"/>
      <c r="K6" s="21">
        <v>2</v>
      </c>
      <c r="L6" s="21">
        <v>1</v>
      </c>
      <c r="M6" s="21">
        <v>5</v>
      </c>
      <c r="Q6" s="35"/>
      <c r="R6" s="160" t="s">
        <v>63</v>
      </c>
      <c r="S6" s="67" t="s">
        <v>0</v>
      </c>
      <c r="T6" s="67" t="s">
        <v>1</v>
      </c>
      <c r="U6" s="67" t="s">
        <v>13</v>
      </c>
      <c r="V6" s="67" t="s">
        <v>69</v>
      </c>
      <c r="W6" s="180" t="s">
        <v>2</v>
      </c>
      <c r="X6" s="91" t="s">
        <v>85</v>
      </c>
    </row>
    <row r="7" spans="2:24" x14ac:dyDescent="0.55000000000000004">
      <c r="B7" s="213" t="s">
        <v>127</v>
      </c>
      <c r="C7" s="213"/>
      <c r="D7" s="213"/>
      <c r="E7" s="213"/>
      <c r="F7" s="213"/>
      <c r="G7" s="213"/>
      <c r="H7" s="213"/>
      <c r="K7" s="21">
        <v>3</v>
      </c>
      <c r="L7" s="21">
        <v>1</v>
      </c>
      <c r="M7" s="21">
        <v>5.5</v>
      </c>
      <c r="Q7" s="35"/>
      <c r="R7" s="163" t="str">
        <f>IF($B$26="","",$B$26)</f>
        <v>Reassure</v>
      </c>
      <c r="S7" s="69">
        <v>1</v>
      </c>
      <c r="T7" s="22">
        <f>IF(COUNTIF($L:$L,$S7)=0,"",COUNTIF($L:$L,$S7))</f>
        <v>18</v>
      </c>
      <c r="U7" s="23">
        <f>IFERROR(AVERAGEIFS($M:$M,$L:$L,$S7),"")</f>
        <v>3.3333333333333335</v>
      </c>
      <c r="V7" s="23">
        <f t="array" ref="V7">IFERROR(STDEV(IF($L:$L=$S7,$M:$M)),"")</f>
        <v>1.917412472118426</v>
      </c>
      <c r="W7" s="22">
        <f>IFERROR(T7-1,"")</f>
        <v>17</v>
      </c>
      <c r="X7" s="94">
        <f>IFERROR(V7/SQRT(T7),"")</f>
        <v>0.45193845378886705</v>
      </c>
    </row>
    <row r="8" spans="2:24" ht="14.7" thickBot="1" x14ac:dyDescent="0.6">
      <c r="B8" s="214"/>
      <c r="C8" s="214"/>
      <c r="D8" s="214"/>
      <c r="E8" s="214"/>
      <c r="F8" s="214"/>
      <c r="G8" s="214"/>
      <c r="H8" s="214"/>
      <c r="K8" s="21">
        <v>4</v>
      </c>
      <c r="L8" s="21">
        <v>1</v>
      </c>
      <c r="M8" s="21">
        <v>6</v>
      </c>
      <c r="Q8" s="35"/>
      <c r="R8" s="164" t="str">
        <f>IF($B$27="","",$B$27)</f>
        <v>Challenge</v>
      </c>
      <c r="S8" s="71">
        <v>2</v>
      </c>
      <c r="T8" s="24">
        <f>IF(COUNTIF($L:$L,$S8)=0,"",COUNTIF($L:$L,$S8))</f>
        <v>17</v>
      </c>
      <c r="U8" s="25">
        <f>IFERROR(AVERAGEIFS($M:$M,$L:$L,$S8),"")</f>
        <v>5.2647058823529411</v>
      </c>
      <c r="V8" s="25">
        <f t="array" ref="V8">IFERROR(STDEV(IF($L:$L=$S8,$M:$M)),"")</f>
        <v>1.448249450401496</v>
      </c>
      <c r="W8" s="24">
        <f>IFERROR(T8-1,"")</f>
        <v>16</v>
      </c>
      <c r="X8" s="95">
        <f>IFERROR(V8/SQRT(T8),"")</f>
        <v>0.35125208566165256</v>
      </c>
    </row>
    <row r="9" spans="2:24" ht="14.7" thickBot="1" x14ac:dyDescent="0.6">
      <c r="B9" s="9"/>
      <c r="C9" s="9"/>
      <c r="D9" s="9"/>
      <c r="E9" s="9"/>
      <c r="F9" s="45"/>
      <c r="G9" s="9"/>
      <c r="H9" s="9"/>
      <c r="K9" s="21">
        <v>5</v>
      </c>
      <c r="L9" s="21">
        <v>1</v>
      </c>
      <c r="M9" s="21">
        <v>1</v>
      </c>
      <c r="Q9" s="35"/>
      <c r="R9" s="164" t="str">
        <f>IF($B$28="","",$B$28)</f>
        <v>Encourage</v>
      </c>
      <c r="S9" s="71">
        <v>3</v>
      </c>
      <c r="T9" s="24">
        <f>IF(COUNTIF($L:$L,$S9)=0,"",COUNTIF($L:$L,$S9))</f>
        <v>19</v>
      </c>
      <c r="U9" s="25">
        <f>IFERROR(AVERAGEIFS($M:$M,$L:$L,$S9),"")</f>
        <v>4.4473684210526319</v>
      </c>
      <c r="V9" s="25">
        <f t="array" ref="V9">IFERROR(STDEV(IF($L:$L=$S9,$M:$M)),"")</f>
        <v>1.4327007988227582</v>
      </c>
      <c r="W9" s="24">
        <f>IFERROR(T9-1,"")</f>
        <v>18</v>
      </c>
      <c r="X9" s="95">
        <f>IFERROR(V9/SQRT(T9),"")</f>
        <v>0.32868410517886315</v>
      </c>
    </row>
    <row r="10" spans="2:24" ht="14.7" thickBot="1" x14ac:dyDescent="0.6">
      <c r="B10" s="212" t="s">
        <v>31</v>
      </c>
      <c r="C10" s="212"/>
      <c r="D10" s="212"/>
      <c r="E10" s="212"/>
      <c r="F10" s="212"/>
      <c r="G10" s="212"/>
      <c r="H10" s="212"/>
      <c r="K10" s="21">
        <v>6</v>
      </c>
      <c r="L10" s="21">
        <v>1</v>
      </c>
      <c r="M10" s="21">
        <v>2.5</v>
      </c>
      <c r="R10" s="164" t="str">
        <f>IF($B$29="","",$B$29)</f>
        <v/>
      </c>
      <c r="S10" s="71">
        <v>4</v>
      </c>
      <c r="T10" s="24" t="str">
        <f>IF(COUNTIF($L:$L,$S10)=0,"",COUNTIF($L:$L,$S10))</f>
        <v/>
      </c>
      <c r="U10" s="25" t="str">
        <f>IFERROR(AVERAGEIFS($M:$M,$L:$L,$S10),"")</f>
        <v/>
      </c>
      <c r="V10" s="25" t="str">
        <f t="array" ref="V10">IFERROR(STDEV(IF($L:$L=$S10,$M:$M)),"")</f>
        <v/>
      </c>
      <c r="W10" s="24" t="str">
        <f>IFERROR(T10-1,"")</f>
        <v/>
      </c>
      <c r="X10" s="95" t="str">
        <f>IFERROR(V10/SQRT(T10),"")</f>
        <v/>
      </c>
    </row>
    <row r="11" spans="2:24" ht="14.7" thickBot="1" x14ac:dyDescent="0.6">
      <c r="B11" s="207" t="s">
        <v>128</v>
      </c>
      <c r="C11" s="207"/>
      <c r="D11" s="207"/>
      <c r="E11" s="207"/>
      <c r="F11" s="207"/>
      <c r="G11" s="207"/>
      <c r="H11" s="207"/>
      <c r="K11" s="21">
        <v>7</v>
      </c>
      <c r="L11" s="21">
        <v>1</v>
      </c>
      <c r="M11" s="21">
        <v>4.5</v>
      </c>
      <c r="Q11" s="35"/>
      <c r="R11" s="74" t="s">
        <v>52</v>
      </c>
      <c r="S11" s="74" t="s">
        <v>52</v>
      </c>
      <c r="T11" s="26">
        <f>IFERROR(COUNT($L:$L),"")</f>
        <v>54</v>
      </c>
      <c r="U11" s="27">
        <f>IFERROR(AVERAGE($M:$M),"")</f>
        <v>4.333333333333333</v>
      </c>
      <c r="V11" s="27">
        <f>IFERROR(STDEV($M:$M),"")</f>
        <v>1.7697670670735495</v>
      </c>
      <c r="W11" s="26">
        <f>IFERROR(T11-1,"")</f>
        <v>53</v>
      </c>
      <c r="X11" s="96">
        <f>IFERROR(V11/SQRT(T11),"")</f>
        <v>0.24083479321734044</v>
      </c>
    </row>
    <row r="12" spans="2:24" x14ac:dyDescent="0.55000000000000004">
      <c r="B12" s="208"/>
      <c r="C12" s="208"/>
      <c r="D12" s="208"/>
      <c r="E12" s="208"/>
      <c r="F12" s="208"/>
      <c r="G12" s="208"/>
      <c r="H12" s="208"/>
      <c r="K12" s="21">
        <v>8</v>
      </c>
      <c r="L12" s="21">
        <v>1</v>
      </c>
      <c r="M12" s="21">
        <v>1</v>
      </c>
      <c r="Q12" s="35"/>
      <c r="R12" s="40"/>
      <c r="S12" s="40"/>
      <c r="T12" s="40"/>
      <c r="U12" s="40"/>
      <c r="V12" s="40"/>
      <c r="W12" s="40"/>
      <c r="X12" s="40"/>
    </row>
    <row r="13" spans="2:24" x14ac:dyDescent="0.55000000000000004">
      <c r="B13" s="208"/>
      <c r="C13" s="208"/>
      <c r="D13" s="208"/>
      <c r="E13" s="208"/>
      <c r="F13" s="208"/>
      <c r="G13" s="208"/>
      <c r="H13" s="208"/>
      <c r="K13" s="21">
        <v>9</v>
      </c>
      <c r="L13" s="21">
        <v>1</v>
      </c>
      <c r="M13" s="21">
        <v>3.5</v>
      </c>
      <c r="Q13" s="54"/>
      <c r="R13" s="54" t="s">
        <v>64</v>
      </c>
      <c r="S13" s="54"/>
      <c r="T13" s="54"/>
      <c r="U13" s="54"/>
      <c r="V13" s="54"/>
      <c r="W13" s="54"/>
      <c r="X13" s="54"/>
    </row>
    <row r="14" spans="2:24" ht="14.7" thickBot="1" x14ac:dyDescent="0.6">
      <c r="B14" s="209"/>
      <c r="C14" s="209"/>
      <c r="D14" s="209"/>
      <c r="E14" s="209"/>
      <c r="F14" s="209"/>
      <c r="G14" s="209"/>
      <c r="H14" s="209"/>
      <c r="K14" s="21">
        <v>10</v>
      </c>
      <c r="L14" s="21">
        <v>1</v>
      </c>
      <c r="M14" s="21">
        <v>1.5</v>
      </c>
      <c r="Q14" s="54"/>
      <c r="R14" s="54"/>
      <c r="S14" s="54"/>
      <c r="T14" s="54"/>
      <c r="U14" s="54"/>
      <c r="V14" s="54"/>
      <c r="W14" s="54"/>
      <c r="X14" s="54"/>
    </row>
    <row r="15" spans="2:24" x14ac:dyDescent="0.55000000000000004">
      <c r="K15" s="21">
        <v>11</v>
      </c>
      <c r="L15" s="21">
        <v>1</v>
      </c>
      <c r="M15" s="21">
        <v>5.5</v>
      </c>
    </row>
    <row r="16" spans="2:24" x14ac:dyDescent="0.55000000000000004">
      <c r="K16" s="21">
        <v>12</v>
      </c>
      <c r="L16" s="21">
        <v>1</v>
      </c>
      <c r="M16" s="21">
        <v>6</v>
      </c>
    </row>
    <row r="17" spans="2:24" x14ac:dyDescent="0.55000000000000004">
      <c r="K17" s="21">
        <v>13</v>
      </c>
      <c r="L17" s="21">
        <v>1</v>
      </c>
      <c r="M17" s="21">
        <v>1.5</v>
      </c>
    </row>
    <row r="18" spans="2:24" x14ac:dyDescent="0.55000000000000004">
      <c r="K18" s="21">
        <v>14</v>
      </c>
      <c r="L18" s="21">
        <v>1</v>
      </c>
      <c r="M18" s="21">
        <v>1</v>
      </c>
    </row>
    <row r="19" spans="2:24" ht="15.6" x14ac:dyDescent="0.6">
      <c r="B19" s="13" t="s">
        <v>42</v>
      </c>
      <c r="C19" s="14"/>
      <c r="D19" s="15"/>
      <c r="E19" s="15"/>
      <c r="F19" s="15"/>
      <c r="G19" s="15"/>
      <c r="H19" s="16"/>
      <c r="K19" s="21">
        <v>15</v>
      </c>
      <c r="L19" s="21">
        <v>1</v>
      </c>
      <c r="M19" s="21">
        <v>3.5</v>
      </c>
      <c r="R19" s="65" t="s">
        <v>73</v>
      </c>
      <c r="S19" s="54"/>
      <c r="T19" s="54"/>
      <c r="U19" s="54"/>
      <c r="W19" s="99"/>
      <c r="X19" s="109"/>
    </row>
    <row r="20" spans="2:24" ht="14.7" thickBot="1" x14ac:dyDescent="0.6">
      <c r="B20" s="14"/>
      <c r="C20" s="14"/>
      <c r="D20" s="15"/>
      <c r="E20" s="15"/>
      <c r="F20" s="15"/>
      <c r="G20" s="15"/>
      <c r="H20" s="15"/>
      <c r="K20" s="21">
        <v>16</v>
      </c>
      <c r="L20" s="21">
        <v>1</v>
      </c>
      <c r="M20" s="21">
        <v>2.5</v>
      </c>
      <c r="Q20" s="35"/>
      <c r="R20" s="54"/>
      <c r="S20" s="54"/>
      <c r="T20" s="54"/>
      <c r="U20" s="54"/>
      <c r="V20" s="54"/>
      <c r="W20" s="54"/>
      <c r="X20" s="54"/>
    </row>
    <row r="21" spans="2:24" ht="14.7" thickBot="1" x14ac:dyDescent="0.6">
      <c r="B21" s="210" t="s">
        <v>29</v>
      </c>
      <c r="C21" s="210"/>
      <c r="D21" s="211" t="s">
        <v>27</v>
      </c>
      <c r="E21" s="211"/>
      <c r="F21" s="211"/>
      <c r="G21" s="211"/>
      <c r="H21" s="11" t="s">
        <v>28</v>
      </c>
      <c r="K21" s="21">
        <v>17</v>
      </c>
      <c r="L21" s="21">
        <v>1</v>
      </c>
      <c r="M21" s="21">
        <v>3</v>
      </c>
      <c r="Q21" s="35"/>
      <c r="R21" s="160" t="s">
        <v>63</v>
      </c>
      <c r="S21" s="66"/>
      <c r="T21" s="108" t="s">
        <v>74</v>
      </c>
      <c r="U21" s="108">
        <v>1</v>
      </c>
      <c r="V21" s="108">
        <v>2</v>
      </c>
      <c r="W21" s="108">
        <v>3</v>
      </c>
      <c r="X21" s="108">
        <v>4</v>
      </c>
    </row>
    <row r="22" spans="2:24" x14ac:dyDescent="0.55000000000000004">
      <c r="B22" s="204" t="s">
        <v>129</v>
      </c>
      <c r="C22" s="204"/>
      <c r="D22" s="204" t="s">
        <v>130</v>
      </c>
      <c r="E22" s="204"/>
      <c r="F22" s="204"/>
      <c r="G22" s="204"/>
      <c r="H22" s="105">
        <v>1</v>
      </c>
      <c r="K22" s="21">
        <v>18</v>
      </c>
      <c r="L22" s="21">
        <v>1</v>
      </c>
      <c r="M22" s="21">
        <v>1</v>
      </c>
      <c r="Q22" s="35"/>
      <c r="R22" s="163"/>
      <c r="S22" s="68"/>
      <c r="T22" s="69"/>
      <c r="U22" s="94">
        <v>1</v>
      </c>
      <c r="V22" s="110"/>
      <c r="W22" s="110"/>
      <c r="X22" s="110"/>
    </row>
    <row r="23" spans="2:24" ht="14.7" thickBot="1" x14ac:dyDescent="0.6">
      <c r="B23" s="203" t="s">
        <v>131</v>
      </c>
      <c r="C23" s="203"/>
      <c r="D23" s="203" t="s">
        <v>132</v>
      </c>
      <c r="E23" s="203"/>
      <c r="F23" s="203"/>
      <c r="G23" s="203"/>
      <c r="H23" s="106">
        <v>2</v>
      </c>
      <c r="K23" s="21">
        <v>19</v>
      </c>
      <c r="L23" s="21">
        <v>2</v>
      </c>
      <c r="M23" s="21">
        <v>2</v>
      </c>
      <c r="Q23" s="35"/>
      <c r="R23" s="164"/>
      <c r="S23" s="70"/>
      <c r="T23" s="71"/>
      <c r="U23" s="95"/>
      <c r="V23" s="95">
        <v>1</v>
      </c>
      <c r="W23" s="111"/>
      <c r="X23" s="111"/>
    </row>
    <row r="24" spans="2:24" ht="14.7" thickBot="1" x14ac:dyDescent="0.6">
      <c r="B24" s="12"/>
      <c r="C24" s="12"/>
      <c r="D24" s="12"/>
      <c r="E24" s="12"/>
      <c r="F24" s="12"/>
      <c r="G24" s="12"/>
      <c r="H24" s="12"/>
      <c r="K24" s="21">
        <v>20</v>
      </c>
      <c r="L24" s="21">
        <v>2</v>
      </c>
      <c r="M24" s="21">
        <v>6</v>
      </c>
      <c r="Q24" s="35"/>
      <c r="R24" s="164"/>
      <c r="S24" s="70"/>
      <c r="T24" s="71"/>
      <c r="U24" s="95"/>
      <c r="V24" s="95"/>
      <c r="W24" s="95">
        <v>1</v>
      </c>
      <c r="X24" s="111"/>
    </row>
    <row r="25" spans="2:24" ht="14.7" thickBot="1" x14ac:dyDescent="0.6">
      <c r="B25" s="98" t="str">
        <f>IF(B22="","",B22)</f>
        <v>Feedback</v>
      </c>
      <c r="C25" s="98"/>
      <c r="D25" s="97" t="s">
        <v>27</v>
      </c>
      <c r="E25" s="97"/>
      <c r="F25" s="97"/>
      <c r="G25" s="97"/>
      <c r="H25" s="11" t="s">
        <v>28</v>
      </c>
      <c r="K25" s="21">
        <v>21</v>
      </c>
      <c r="L25" s="21">
        <v>2</v>
      </c>
      <c r="M25" s="21">
        <v>4.5</v>
      </c>
      <c r="Q25" s="35"/>
      <c r="R25" s="74"/>
      <c r="S25" s="72"/>
      <c r="T25" s="73"/>
      <c r="U25" s="96"/>
      <c r="V25" s="96"/>
      <c r="W25" s="96"/>
      <c r="X25" s="96">
        <v>1</v>
      </c>
    </row>
    <row r="26" spans="2:24" x14ac:dyDescent="0.55000000000000004">
      <c r="B26" s="204" t="s">
        <v>133</v>
      </c>
      <c r="C26" s="204"/>
      <c r="D26" s="204" t="s">
        <v>134</v>
      </c>
      <c r="E26" s="204"/>
      <c r="F26" s="204"/>
      <c r="G26" s="204"/>
      <c r="H26" s="105">
        <v>1</v>
      </c>
      <c r="K26" s="21">
        <v>22</v>
      </c>
      <c r="L26" s="21">
        <v>2</v>
      </c>
      <c r="M26" s="21">
        <v>4.5</v>
      </c>
      <c r="Q26" s="35"/>
      <c r="R26" s="40"/>
      <c r="S26" s="40"/>
      <c r="T26" s="40"/>
      <c r="U26" s="40"/>
      <c r="V26" s="40"/>
      <c r="W26" s="40"/>
      <c r="X26" s="40"/>
    </row>
    <row r="27" spans="2:24" x14ac:dyDescent="0.55000000000000004">
      <c r="B27" s="205" t="s">
        <v>135</v>
      </c>
      <c r="C27" s="205"/>
      <c r="D27" s="205" t="s">
        <v>136</v>
      </c>
      <c r="E27" s="205"/>
      <c r="F27" s="205"/>
      <c r="G27" s="205"/>
      <c r="H27" s="53">
        <v>2</v>
      </c>
      <c r="K27" s="21">
        <v>23</v>
      </c>
      <c r="L27" s="21">
        <v>2</v>
      </c>
      <c r="M27" s="21">
        <v>6</v>
      </c>
      <c r="Q27" s="54"/>
      <c r="R27" s="54" t="s">
        <v>75</v>
      </c>
      <c r="S27" s="54"/>
      <c r="T27" s="54"/>
      <c r="U27" s="54"/>
      <c r="V27" s="54"/>
      <c r="W27" s="54"/>
      <c r="X27" s="54"/>
    </row>
    <row r="28" spans="2:24" x14ac:dyDescent="0.55000000000000004">
      <c r="B28" s="205" t="s">
        <v>137</v>
      </c>
      <c r="C28" s="205"/>
      <c r="D28" s="205" t="s">
        <v>138</v>
      </c>
      <c r="E28" s="205"/>
      <c r="F28" s="205"/>
      <c r="G28" s="205"/>
      <c r="H28" s="53">
        <v>3</v>
      </c>
      <c r="K28" s="21">
        <v>24</v>
      </c>
      <c r="L28" s="21">
        <v>2</v>
      </c>
      <c r="M28" s="21">
        <v>7</v>
      </c>
      <c r="Q28" s="54"/>
      <c r="R28"/>
      <c r="S28" s="54"/>
      <c r="T28" s="54"/>
      <c r="U28" s="54"/>
      <c r="V28" s="54"/>
      <c r="W28" s="54"/>
      <c r="X28" s="54"/>
    </row>
    <row r="29" spans="2:24" ht="15.9" thickBot="1" x14ac:dyDescent="0.65">
      <c r="B29" s="203"/>
      <c r="C29" s="203"/>
      <c r="D29" s="203"/>
      <c r="E29" s="203"/>
      <c r="F29" s="203"/>
      <c r="G29" s="203"/>
      <c r="H29" s="106"/>
      <c r="K29" s="21">
        <v>25</v>
      </c>
      <c r="L29" s="21">
        <v>2</v>
      </c>
      <c r="M29" s="21">
        <v>3</v>
      </c>
      <c r="R29" s="61" t="s">
        <v>55</v>
      </c>
      <c r="S29" s="58"/>
      <c r="T29" s="58"/>
      <c r="U29" s="58"/>
      <c r="V29" s="58"/>
      <c r="W29" s="58"/>
      <c r="X29" s="28"/>
    </row>
    <row r="30" spans="2:24" ht="14.7" thickBot="1" x14ac:dyDescent="0.6">
      <c r="B30" s="10"/>
      <c r="C30" s="10"/>
      <c r="D30" s="10"/>
      <c r="E30" s="10"/>
      <c r="F30" s="46"/>
      <c r="G30" s="10"/>
      <c r="H30" s="10"/>
      <c r="K30" s="21">
        <v>26</v>
      </c>
      <c r="L30" s="21">
        <v>2</v>
      </c>
      <c r="M30" s="21">
        <v>7</v>
      </c>
      <c r="Q30" s="28"/>
      <c r="R30" s="58"/>
      <c r="S30" s="58"/>
      <c r="T30" s="58"/>
      <c r="U30" s="58"/>
      <c r="V30" s="58"/>
      <c r="W30" s="58"/>
      <c r="X30" s="28"/>
    </row>
    <row r="31" spans="2:24" ht="14.7" thickBot="1" x14ac:dyDescent="0.6">
      <c r="B31" s="47"/>
      <c r="C31" s="47"/>
      <c r="E31" s="47"/>
      <c r="F31" s="47"/>
      <c r="K31" s="21">
        <v>27</v>
      </c>
      <c r="L31" s="21">
        <v>2</v>
      </c>
      <c r="M31" s="21">
        <v>3.5</v>
      </c>
      <c r="Q31" s="28"/>
      <c r="R31" s="77" t="s">
        <v>56</v>
      </c>
      <c r="S31" s="77" t="s">
        <v>57</v>
      </c>
      <c r="T31" s="77" t="s">
        <v>2</v>
      </c>
      <c r="U31" s="77" t="s">
        <v>58</v>
      </c>
      <c r="V31" s="77" t="s">
        <v>51</v>
      </c>
      <c r="W31" s="77" t="s">
        <v>53</v>
      </c>
      <c r="X31" s="77" t="s">
        <v>59</v>
      </c>
    </row>
    <row r="32" spans="2:24" x14ac:dyDescent="0.55000000000000004">
      <c r="B32" s="47"/>
      <c r="C32" s="47"/>
      <c r="E32" s="47"/>
      <c r="F32" s="47"/>
      <c r="K32" s="21">
        <v>28</v>
      </c>
      <c r="L32" s="21">
        <v>2</v>
      </c>
      <c r="M32" s="20">
        <v>5</v>
      </c>
      <c r="Q32" s="28"/>
      <c r="R32" s="165" t="s">
        <v>60</v>
      </c>
      <c r="S32" s="94">
        <f>S34-S33</f>
        <v>32.993808049535573</v>
      </c>
      <c r="T32" s="79">
        <f>IFERROR(T34-T33,"")</f>
        <v>2</v>
      </c>
      <c r="U32" s="78">
        <f>IFERROR(S32/T32,"")</f>
        <v>16.496904024767787</v>
      </c>
      <c r="V32" s="78">
        <f>IFERROR(U32/U33,"")</f>
        <v>6.3255859966015615</v>
      </c>
      <c r="W32" s="78">
        <f>IFERROR(IF(FDIST(V32,T32,T33)&lt;0.001,"&lt; 0.001",FDIST(V32,T32,T33)),"")</f>
        <v>3.5154115290774814E-3</v>
      </c>
      <c r="X32" s="80">
        <f>IFERROR(S32/S34,"")</f>
        <v>0.19875787981647935</v>
      </c>
    </row>
    <row r="33" spans="2:24" x14ac:dyDescent="0.55000000000000004">
      <c r="B33" s="47"/>
      <c r="C33" s="47"/>
      <c r="E33" s="47"/>
      <c r="F33" s="47"/>
      <c r="K33" s="21">
        <v>29</v>
      </c>
      <c r="L33" s="21">
        <v>2</v>
      </c>
      <c r="M33" s="21">
        <v>4.5</v>
      </c>
      <c r="Q33" s="28"/>
      <c r="R33" s="166" t="s">
        <v>61</v>
      </c>
      <c r="S33" s="81">
        <f t="array" ref="S33">SUM(IF(T7:T10&lt;&gt;"",V7:V10^2*((T7:T10)-1),0))</f>
        <v>133.00619195046443</v>
      </c>
      <c r="T33" s="82">
        <f t="array" ref="T33">SUM(IF(T7:T10&lt;&gt;"",T7:T10-1))</f>
        <v>51</v>
      </c>
      <c r="U33" s="83">
        <f>IFERROR(S33/T33,"")</f>
        <v>2.6079645480483222</v>
      </c>
      <c r="V33" s="81"/>
      <c r="W33" s="84"/>
      <c r="X33" s="85"/>
    </row>
    <row r="34" spans="2:24" ht="14.7" thickBot="1" x14ac:dyDescent="0.6">
      <c r="B34" s="47"/>
      <c r="C34" s="47"/>
      <c r="E34" s="47"/>
      <c r="F34" s="47"/>
      <c r="K34" s="21">
        <v>30</v>
      </c>
      <c r="L34" s="21">
        <v>2</v>
      </c>
      <c r="M34" s="21">
        <v>5.5</v>
      </c>
      <c r="Q34" s="28"/>
      <c r="R34" s="167" t="s">
        <v>50</v>
      </c>
      <c r="S34" s="86">
        <f>(V11^2)*(T11-1)</f>
        <v>166</v>
      </c>
      <c r="T34" s="87">
        <f>T11-1</f>
        <v>53</v>
      </c>
      <c r="U34" s="86">
        <f>IFERROR(S34/T34,"")</f>
        <v>3.1320754716981134</v>
      </c>
      <c r="V34" s="86"/>
      <c r="W34" s="86"/>
      <c r="X34" s="88"/>
    </row>
    <row r="35" spans="2:24" x14ac:dyDescent="0.55000000000000004">
      <c r="B35" s="47"/>
      <c r="C35" s="47"/>
      <c r="E35" s="47"/>
      <c r="F35" s="47"/>
      <c r="K35" s="21">
        <v>31</v>
      </c>
      <c r="L35" s="21">
        <v>2</v>
      </c>
      <c r="M35" s="21">
        <v>6.5</v>
      </c>
      <c r="Q35" s="28"/>
      <c r="R35" s="59"/>
      <c r="S35" s="59"/>
      <c r="T35" s="59"/>
      <c r="U35" s="59"/>
      <c r="V35" s="59"/>
      <c r="W35" s="59"/>
      <c r="X35" s="59"/>
    </row>
    <row r="36" spans="2:24" x14ac:dyDescent="0.55000000000000004">
      <c r="B36" s="47"/>
      <c r="C36" s="47"/>
      <c r="E36" s="47"/>
      <c r="F36" s="47"/>
      <c r="K36" s="21">
        <v>32</v>
      </c>
      <c r="L36" s="21">
        <v>2</v>
      </c>
      <c r="M36" s="21">
        <v>6</v>
      </c>
    </row>
    <row r="37" spans="2:24" x14ac:dyDescent="0.55000000000000004">
      <c r="B37" s="47"/>
      <c r="C37" s="47"/>
      <c r="E37" s="47"/>
      <c r="F37" s="47"/>
      <c r="K37" s="21">
        <v>33</v>
      </c>
      <c r="L37" s="21">
        <v>2</v>
      </c>
      <c r="M37" s="21">
        <v>6</v>
      </c>
    </row>
    <row r="38" spans="2:24" x14ac:dyDescent="0.55000000000000004">
      <c r="B38" s="47"/>
      <c r="C38" s="47"/>
      <c r="K38" s="21">
        <v>34</v>
      </c>
      <c r="L38" s="21">
        <v>2</v>
      </c>
      <c r="M38" s="21">
        <v>7</v>
      </c>
    </row>
    <row r="39" spans="2:24" x14ac:dyDescent="0.55000000000000004">
      <c r="B39" s="47"/>
      <c r="C39" s="47"/>
      <c r="K39" s="21">
        <v>35</v>
      </c>
      <c r="L39" s="21">
        <v>2</v>
      </c>
      <c r="M39" s="21">
        <v>5.5</v>
      </c>
    </row>
    <row r="40" spans="2:24" x14ac:dyDescent="0.55000000000000004">
      <c r="B40" s="47"/>
      <c r="C40" s="47"/>
      <c r="K40" s="21">
        <v>36</v>
      </c>
      <c r="L40" s="21">
        <v>3</v>
      </c>
      <c r="M40" s="21">
        <v>6</v>
      </c>
    </row>
    <row r="41" spans="2:24" x14ac:dyDescent="0.55000000000000004">
      <c r="B41" s="47"/>
      <c r="C41" s="47"/>
      <c r="K41" s="21">
        <v>37</v>
      </c>
      <c r="L41" s="21">
        <v>3</v>
      </c>
      <c r="M41" s="21">
        <v>2.5</v>
      </c>
    </row>
    <row r="42" spans="2:24" x14ac:dyDescent="0.55000000000000004">
      <c r="B42" s="47"/>
      <c r="C42" s="47"/>
      <c r="K42" s="21">
        <v>38</v>
      </c>
      <c r="L42" s="21">
        <v>3</v>
      </c>
      <c r="M42" s="21">
        <v>4.5</v>
      </c>
    </row>
    <row r="43" spans="2:24" x14ac:dyDescent="0.55000000000000004">
      <c r="B43" s="47"/>
      <c r="C43" s="47"/>
      <c r="K43" s="21">
        <v>39</v>
      </c>
      <c r="L43" s="21">
        <v>3</v>
      </c>
      <c r="M43" s="21">
        <v>3.5</v>
      </c>
    </row>
    <row r="44" spans="2:24" x14ac:dyDescent="0.55000000000000004">
      <c r="K44" s="21">
        <v>40</v>
      </c>
      <c r="L44" s="21">
        <v>3</v>
      </c>
      <c r="M44" s="21">
        <v>6</v>
      </c>
    </row>
    <row r="45" spans="2:24" x14ac:dyDescent="0.55000000000000004">
      <c r="K45" s="21">
        <v>41</v>
      </c>
      <c r="L45" s="21">
        <v>3</v>
      </c>
      <c r="M45" s="21">
        <v>5</v>
      </c>
    </row>
    <row r="46" spans="2:24" x14ac:dyDescent="0.55000000000000004">
      <c r="K46" s="21">
        <v>42</v>
      </c>
      <c r="L46" s="21">
        <v>3</v>
      </c>
      <c r="M46" s="21">
        <v>6</v>
      </c>
    </row>
    <row r="47" spans="2:24" x14ac:dyDescent="0.55000000000000004">
      <c r="K47" s="21">
        <v>43</v>
      </c>
      <c r="L47" s="21">
        <v>3</v>
      </c>
      <c r="M47" s="21">
        <v>3.5</v>
      </c>
    </row>
    <row r="48" spans="2:24" x14ac:dyDescent="0.55000000000000004">
      <c r="K48" s="21">
        <v>44</v>
      </c>
      <c r="L48" s="21">
        <v>3</v>
      </c>
      <c r="M48" s="21">
        <v>4</v>
      </c>
    </row>
    <row r="49" spans="11:13" x14ac:dyDescent="0.55000000000000004">
      <c r="K49" s="21">
        <v>45</v>
      </c>
      <c r="L49" s="21">
        <v>3</v>
      </c>
      <c r="M49" s="21">
        <v>3</v>
      </c>
    </row>
    <row r="50" spans="11:13" x14ac:dyDescent="0.55000000000000004">
      <c r="K50" s="21">
        <v>46</v>
      </c>
      <c r="L50" s="21">
        <v>3</v>
      </c>
      <c r="M50" s="21">
        <v>5.5</v>
      </c>
    </row>
    <row r="51" spans="11:13" x14ac:dyDescent="0.55000000000000004">
      <c r="K51" s="21">
        <v>47</v>
      </c>
      <c r="L51" s="21">
        <v>3</v>
      </c>
      <c r="M51" s="21">
        <v>3</v>
      </c>
    </row>
    <row r="52" spans="11:13" x14ac:dyDescent="0.55000000000000004">
      <c r="K52" s="21">
        <v>48</v>
      </c>
      <c r="L52" s="21">
        <v>3</v>
      </c>
      <c r="M52" s="21">
        <v>6</v>
      </c>
    </row>
    <row r="53" spans="11:13" x14ac:dyDescent="0.55000000000000004">
      <c r="K53" s="21">
        <v>49</v>
      </c>
      <c r="L53" s="21">
        <v>3</v>
      </c>
      <c r="M53" s="21">
        <v>3</v>
      </c>
    </row>
    <row r="54" spans="11:13" x14ac:dyDescent="0.55000000000000004">
      <c r="K54" s="21">
        <v>50</v>
      </c>
      <c r="L54" s="21">
        <v>3</v>
      </c>
      <c r="M54" s="21">
        <v>5</v>
      </c>
    </row>
    <row r="55" spans="11:13" x14ac:dyDescent="0.55000000000000004">
      <c r="K55" s="21">
        <v>51</v>
      </c>
      <c r="L55" s="21">
        <v>3</v>
      </c>
      <c r="M55" s="21">
        <v>6</v>
      </c>
    </row>
    <row r="56" spans="11:13" x14ac:dyDescent="0.55000000000000004">
      <c r="K56" s="21">
        <v>52</v>
      </c>
      <c r="L56" s="21">
        <v>3</v>
      </c>
      <c r="M56" s="21">
        <v>6.5</v>
      </c>
    </row>
    <row r="57" spans="11:13" x14ac:dyDescent="0.55000000000000004">
      <c r="K57" s="21">
        <v>53</v>
      </c>
      <c r="L57" s="21">
        <v>3</v>
      </c>
      <c r="M57" s="21">
        <v>3.5</v>
      </c>
    </row>
    <row r="58" spans="11:13" x14ac:dyDescent="0.55000000000000004">
      <c r="K58" s="21">
        <v>54</v>
      </c>
      <c r="L58" s="21">
        <v>3</v>
      </c>
      <c r="M58" s="21">
        <v>2</v>
      </c>
    </row>
  </sheetData>
  <sheetProtection sheet="1" selectLockedCells="1" sort="0" autoFilter="0"/>
  <autoFilter ref="K4:M4" xr:uid="{00000000-0009-0000-0000-000001000000}"/>
  <mergeCells count="21">
    <mergeCell ref="B22:C22"/>
    <mergeCell ref="D22:G22"/>
    <mergeCell ref="B23:C23"/>
    <mergeCell ref="D23:G23"/>
    <mergeCell ref="R2:X2"/>
    <mergeCell ref="B11:H14"/>
    <mergeCell ref="B21:C21"/>
    <mergeCell ref="D21:G21"/>
    <mergeCell ref="K2:M2"/>
    <mergeCell ref="B10:H10"/>
    <mergeCell ref="B7:H8"/>
    <mergeCell ref="B2:H2"/>
    <mergeCell ref="B6:H6"/>
    <mergeCell ref="B29:C29"/>
    <mergeCell ref="D29:G29"/>
    <mergeCell ref="B26:C26"/>
    <mergeCell ref="D26:G26"/>
    <mergeCell ref="B27:C27"/>
    <mergeCell ref="D27:G27"/>
    <mergeCell ref="B28:C28"/>
    <mergeCell ref="D28:G28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"/>
  <sheetViews>
    <sheetView showRuler="0" topLeftCell="A10" zoomScaleNormal="100" workbookViewId="0">
      <selection activeCell="L43" sqref="L43"/>
    </sheetView>
  </sheetViews>
  <sheetFormatPr defaultColWidth="11.15625" defaultRowHeight="14.4" x14ac:dyDescent="0.55000000000000004"/>
  <cols>
    <col min="1" max="1" width="4.578125" style="119" customWidth="1"/>
    <col min="2" max="8" width="11.15625" style="42"/>
    <col min="9" max="9" width="4.578125" style="42" customWidth="1"/>
    <col min="10" max="10" width="4.578125" style="119" customWidth="1"/>
    <col min="11" max="17" width="11.15625" style="42"/>
    <col min="18" max="18" width="4.578125" style="119" customWidth="1"/>
    <col min="19" max="19" width="4.578125" style="42" hidden="1" customWidth="1"/>
    <col min="20" max="26" width="0" style="42" hidden="1" customWidth="1"/>
    <col min="27" max="27" width="4.578125" style="42" hidden="1" customWidth="1"/>
    <col min="28" max="16384" width="11.15625" style="42"/>
  </cols>
  <sheetData>
    <row r="1" spans="1:26" s="147" customFormat="1" x14ac:dyDescent="0.55000000000000004">
      <c r="A1" s="146"/>
      <c r="J1" s="146"/>
      <c r="R1" s="146"/>
    </row>
    <row r="2" spans="1:26" s="147" customFormat="1" ht="15" customHeight="1" x14ac:dyDescent="0.55000000000000004">
      <c r="A2" s="146"/>
      <c r="B2" s="215" t="s">
        <v>43</v>
      </c>
      <c r="C2" s="215"/>
      <c r="D2" s="215"/>
      <c r="E2" s="215"/>
      <c r="F2" s="215"/>
      <c r="G2" s="215"/>
      <c r="H2" s="215"/>
      <c r="I2" s="146"/>
      <c r="J2" s="146"/>
      <c r="K2" s="215" t="s">
        <v>77</v>
      </c>
      <c r="L2" s="215"/>
      <c r="M2" s="215"/>
      <c r="N2" s="215"/>
      <c r="O2" s="215"/>
      <c r="P2" s="215"/>
      <c r="Q2" s="215"/>
      <c r="R2" s="146"/>
      <c r="T2" s="215" t="s">
        <v>65</v>
      </c>
      <c r="U2" s="215"/>
      <c r="V2" s="215"/>
      <c r="W2" s="215"/>
      <c r="X2" s="215"/>
      <c r="Y2" s="215"/>
      <c r="Z2" s="215"/>
    </row>
    <row r="3" spans="1:26" x14ac:dyDescent="0.55000000000000004">
      <c r="A3" s="118"/>
      <c r="B3" s="28"/>
      <c r="C3" s="28"/>
      <c r="D3" s="28"/>
      <c r="E3" s="28"/>
      <c r="F3" s="28"/>
      <c r="G3" s="28"/>
      <c r="H3" s="28"/>
      <c r="I3" s="28"/>
      <c r="J3" s="118"/>
      <c r="K3" s="28"/>
      <c r="L3" s="28"/>
      <c r="M3" s="28"/>
      <c r="N3" s="28"/>
      <c r="O3" s="28"/>
      <c r="P3" s="28"/>
      <c r="Q3" s="28"/>
    </row>
    <row r="4" spans="1:26" ht="15.6" x14ac:dyDescent="0.6">
      <c r="B4" s="7" t="s">
        <v>117</v>
      </c>
      <c r="C4" s="28"/>
      <c r="D4" s="28"/>
      <c r="E4" s="28"/>
      <c r="F4" s="28"/>
      <c r="G4" s="120" t="s">
        <v>40</v>
      </c>
      <c r="H4" s="121">
        <v>95</v>
      </c>
      <c r="I4" s="28"/>
      <c r="K4" s="7" t="s">
        <v>117</v>
      </c>
      <c r="L4" s="28"/>
      <c r="M4" s="28"/>
      <c r="N4" s="28"/>
      <c r="O4" s="28"/>
      <c r="P4" s="120" t="s">
        <v>40</v>
      </c>
      <c r="Q4" s="121">
        <v>95</v>
      </c>
    </row>
    <row r="5" spans="1:26" ht="14.7" thickBot="1" x14ac:dyDescent="0.6">
      <c r="A5" s="118"/>
      <c r="B5" s="28"/>
      <c r="C5" s="28"/>
      <c r="D5" s="28"/>
      <c r="E5" s="28"/>
      <c r="F5" s="28"/>
      <c r="G5" s="28"/>
      <c r="H5" s="28"/>
      <c r="I5" s="28"/>
      <c r="J5" s="118"/>
      <c r="K5" s="28"/>
      <c r="L5" s="28"/>
      <c r="M5" s="28"/>
      <c r="N5" s="28"/>
      <c r="O5" s="28"/>
      <c r="P5" s="28"/>
      <c r="Q5" s="28"/>
    </row>
    <row r="6" spans="1:26" ht="14.7" thickBot="1" x14ac:dyDescent="0.6">
      <c r="A6" s="118"/>
      <c r="B6" s="159" t="s">
        <v>0</v>
      </c>
      <c r="C6" s="115" t="s">
        <v>1</v>
      </c>
      <c r="D6" s="115" t="s">
        <v>13</v>
      </c>
      <c r="E6" s="176" t="s">
        <v>69</v>
      </c>
      <c r="F6" s="188" t="s">
        <v>85</v>
      </c>
      <c r="G6" s="216" t="s">
        <v>88</v>
      </c>
      <c r="H6" s="216"/>
      <c r="J6" s="118"/>
      <c r="K6" s="157" t="s">
        <v>0</v>
      </c>
      <c r="L6" s="115" t="s">
        <v>3</v>
      </c>
      <c r="M6" s="115" t="s">
        <v>25</v>
      </c>
      <c r="N6" s="188" t="s">
        <v>2</v>
      </c>
      <c r="O6" s="115" t="s">
        <v>85</v>
      </c>
      <c r="P6" s="216" t="s">
        <v>66</v>
      </c>
      <c r="Q6" s="216"/>
    </row>
    <row r="7" spans="1:26" x14ac:dyDescent="0.55000000000000004">
      <c r="A7" s="118"/>
      <c r="B7" s="161" t="str">
        <f>IF(Data!R7="","",Data!R7)</f>
        <v>Reassure</v>
      </c>
      <c r="C7" s="122">
        <f>Data!T7</f>
        <v>18</v>
      </c>
      <c r="D7" s="123">
        <f>Data!U7</f>
        <v>3.3333333333333335</v>
      </c>
      <c r="E7" s="123">
        <f>Data!V7</f>
        <v>1.917412472118426</v>
      </c>
      <c r="F7" s="123">
        <f>Data!X7</f>
        <v>0.45193845378886705</v>
      </c>
      <c r="G7" s="80">
        <f>IFERROR(Data!U7-TINV(1-$H$4/100,Data!T7-1)*Data!X7,"")</f>
        <v>2.3798265433076793</v>
      </c>
      <c r="H7" s="80">
        <f>IFERROR(Data!U7+TINV(1-$H$4/100,Data!T7-1)*Data!X7,"")</f>
        <v>4.2868401233589877</v>
      </c>
      <c r="J7" s="118"/>
      <c r="K7" s="161" t="str">
        <f>B7</f>
        <v>Reassure</v>
      </c>
      <c r="L7" s="80">
        <f>IFERROR((D7-C40)/E7,"")</f>
        <v>-0.34769079494414118</v>
      </c>
      <c r="M7" s="80">
        <f>IFERROR((1-3/(4*G40-1))*L7,"")</f>
        <v>-0.33212255039440353</v>
      </c>
      <c r="N7" s="125">
        <f>Data!W7</f>
        <v>17</v>
      </c>
      <c r="O7" s="80">
        <f>IFERROR(SQRT((G40+2)/(Data!T7*Data!T7)+((L7^2)/(2*(G40+2)))),"")</f>
        <v>0.24864283994989594</v>
      </c>
      <c r="P7" s="123">
        <f>IFERROR(Y17*SQRT(1/C7),"")</f>
        <v>-0.81892292082458307</v>
      </c>
      <c r="Q7" s="123">
        <f>IFERROR(Z17*SQRT(1/C7),"")</f>
        <v>0.13368691786943732</v>
      </c>
    </row>
    <row r="8" spans="1:26" x14ac:dyDescent="0.55000000000000004">
      <c r="A8" s="118"/>
      <c r="B8" s="85" t="str">
        <f>IF(Data!R8="","",Data!R8)</f>
        <v>Challenge</v>
      </c>
      <c r="C8" s="126">
        <f>Data!T8</f>
        <v>17</v>
      </c>
      <c r="D8" s="127">
        <f>Data!U8</f>
        <v>5.2647058823529411</v>
      </c>
      <c r="E8" s="127">
        <f>Data!V8</f>
        <v>1.448249450401496</v>
      </c>
      <c r="F8" s="127">
        <f>Data!X8</f>
        <v>0.35125208566165256</v>
      </c>
      <c r="G8" s="128">
        <f>IFERROR(Data!U8-TINV(1-$H$4/100,Data!T8-1)*Data!X8,"")</f>
        <v>4.5200847245962859</v>
      </c>
      <c r="H8" s="128">
        <f>IFERROR(Data!U8+TINV(1-$H$4/100,Data!T8-1)*Data!X8,"")</f>
        <v>6.0093270401095964</v>
      </c>
      <c r="J8" s="118"/>
      <c r="K8" s="85" t="str">
        <f>B8</f>
        <v>Challenge</v>
      </c>
      <c r="L8" s="128">
        <f>IFERROR((D8-C41)/E8,"")</f>
        <v>0.87326522513254101</v>
      </c>
      <c r="M8" s="128">
        <f>IFERROR((1-3/(4*G41-1))*L8,"")</f>
        <v>0.83168116679289616</v>
      </c>
      <c r="N8" s="130">
        <f>Data!W8</f>
        <v>16</v>
      </c>
      <c r="O8" s="128">
        <f>IFERROR(SQRT((G41+2)/(Data!T8*Data!T8)+((L8^2)/(2*(G41+2)))),"")</f>
        <v>0.2889063038376975</v>
      </c>
      <c r="P8" s="127">
        <f>IFERROR(Y18*SQRT(1/C8),"")</f>
        <v>0.3013652468929317</v>
      </c>
      <c r="Q8" s="127">
        <f>IFERROR(Z18*SQRT(1/C8),"")</f>
        <v>1.425696241701548</v>
      </c>
    </row>
    <row r="9" spans="1:26" x14ac:dyDescent="0.55000000000000004">
      <c r="A9" s="118"/>
      <c r="B9" s="85" t="str">
        <f>IF(Data!R9="","",Data!R9)</f>
        <v>Encourage</v>
      </c>
      <c r="C9" s="126">
        <f>Data!T9</f>
        <v>19</v>
      </c>
      <c r="D9" s="127">
        <f>Data!U9</f>
        <v>4.4473684210526319</v>
      </c>
      <c r="E9" s="127">
        <f>Data!V9</f>
        <v>1.4327007988227582</v>
      </c>
      <c r="F9" s="127">
        <f>Data!X9</f>
        <v>0.32868410517886315</v>
      </c>
      <c r="G9" s="128">
        <f>IFERROR(Data!U9-TINV(1-$H$4/100,Data!T9-1)*Data!X9,"")</f>
        <v>3.7568287402054548</v>
      </c>
      <c r="H9" s="128">
        <f>IFERROR(Data!U9+TINV(1-$H$4/100,Data!T9-1)*Data!X9,"")</f>
        <v>5.137908101899809</v>
      </c>
      <c r="J9" s="118"/>
      <c r="K9" s="85" t="str">
        <f>B9</f>
        <v>Encourage</v>
      </c>
      <c r="L9" s="128">
        <f>IFERROR((D9-C42)/E9,"")</f>
        <v>0.31225530230752424</v>
      </c>
      <c r="M9" s="128">
        <f>IFERROR((1-3/(4*G42-1))*L9,"")</f>
        <v>0.29906141629453026</v>
      </c>
      <c r="N9" s="130">
        <f>Data!W9</f>
        <v>18</v>
      </c>
      <c r="O9" s="128">
        <f>IFERROR(SQRT((G42+2)/(Data!T9*Data!T9)+((L9^2)/(2*(G42+2)))),"")</f>
        <v>0.24049791349477562</v>
      </c>
      <c r="P9" s="127">
        <f>IFERROR(Y19*SQRT(1/C9),"")</f>
        <v>-0.15275563377426665</v>
      </c>
      <c r="Q9" s="127">
        <f>IFERROR(Z19*SQRT(1/C9),"")</f>
        <v>0.76906422089825144</v>
      </c>
    </row>
    <row r="10" spans="1:26" ht="14.7" thickBot="1" x14ac:dyDescent="0.6">
      <c r="A10" s="118"/>
      <c r="B10" s="85" t="str">
        <f>IF(Data!R10="","",Data!R10)</f>
        <v/>
      </c>
      <c r="C10" s="126" t="str">
        <f>Data!T10</f>
        <v/>
      </c>
      <c r="D10" s="127" t="str">
        <f>Data!U10</f>
        <v/>
      </c>
      <c r="E10" s="127" t="str">
        <f>Data!V10</f>
        <v/>
      </c>
      <c r="F10" s="127" t="str">
        <f>Data!X10</f>
        <v/>
      </c>
      <c r="G10" s="128" t="str">
        <f>IFERROR(Data!U10-TINV(1-$H$4/100,Data!T10-1)*Data!X10,"")</f>
        <v/>
      </c>
      <c r="H10" s="128" t="str">
        <f>IFERROR(Data!U10+TINV(1-$H$4/100,Data!T10-1)*Data!X10,"")</f>
        <v/>
      </c>
      <c r="J10" s="118"/>
      <c r="K10" s="162" t="str">
        <f>B10</f>
        <v/>
      </c>
      <c r="L10" s="131" t="str">
        <f>IFERROR((D10-C43)/E10,"")</f>
        <v/>
      </c>
      <c r="M10" s="131" t="str">
        <f>IFERROR((1-3/(4*G43-1))*L10,"")</f>
        <v/>
      </c>
      <c r="N10" s="133" t="str">
        <f>Data!W10</f>
        <v/>
      </c>
      <c r="O10" s="128" t="str">
        <f>IFERROR(SQRT((G43+2)/(Data!T10*Data!T10)+((L10^2)/(2*(G43+2)))),"")</f>
        <v/>
      </c>
      <c r="P10" s="127" t="str">
        <f>IFERROR(Y20*SQRT(1/C10),"")</f>
        <v/>
      </c>
      <c r="Q10" s="127" t="str">
        <f>IFERROR(Z20*SQRT(1/C10),"")</f>
        <v/>
      </c>
    </row>
    <row r="11" spans="1:26" x14ac:dyDescent="0.55000000000000004">
      <c r="A11" s="118"/>
      <c r="B11" s="59"/>
      <c r="C11" s="59"/>
      <c r="D11" s="59"/>
      <c r="E11" s="59"/>
      <c r="F11" s="59"/>
      <c r="G11" s="59"/>
      <c r="H11" s="59"/>
      <c r="I11" s="28"/>
      <c r="J11" s="118"/>
      <c r="K11" s="59"/>
      <c r="L11" s="59"/>
      <c r="M11" s="59"/>
      <c r="N11" s="59"/>
      <c r="O11" s="59"/>
      <c r="P11" s="59"/>
      <c r="Q11" s="59"/>
    </row>
    <row r="12" spans="1:26" x14ac:dyDescent="0.55000000000000004">
      <c r="A12" s="118"/>
    </row>
    <row r="13" spans="1:26" x14ac:dyDescent="0.55000000000000004">
      <c r="A13" s="118"/>
    </row>
    <row r="14" spans="1:26" ht="15.6" x14ac:dyDescent="0.6">
      <c r="B14" s="8" t="s">
        <v>119</v>
      </c>
      <c r="C14" s="28"/>
      <c r="D14" s="28"/>
      <c r="E14" s="28"/>
      <c r="F14" s="28"/>
      <c r="G14" s="28"/>
      <c r="H14" s="28"/>
      <c r="I14" s="28"/>
      <c r="K14" s="8" t="s">
        <v>119</v>
      </c>
      <c r="L14" s="28"/>
      <c r="M14" s="28"/>
      <c r="N14" s="28"/>
      <c r="O14" s="28"/>
      <c r="P14" s="28"/>
      <c r="Q14" s="28"/>
      <c r="T14" s="8" t="s">
        <v>23</v>
      </c>
    </row>
    <row r="15" spans="1:26" ht="14.7" thickBot="1" x14ac:dyDescent="0.6">
      <c r="A15" s="29"/>
      <c r="B15" s="30"/>
      <c r="C15" s="30"/>
      <c r="D15" s="30"/>
      <c r="E15" s="30"/>
      <c r="F15" s="30"/>
      <c r="G15" s="30"/>
      <c r="H15" s="30"/>
      <c r="I15" s="30"/>
      <c r="J15" s="118"/>
      <c r="K15" s="28"/>
      <c r="L15" s="28"/>
      <c r="M15" s="28"/>
      <c r="N15" s="28"/>
      <c r="O15" s="28"/>
      <c r="P15" s="28"/>
      <c r="Q15" s="28"/>
    </row>
    <row r="16" spans="1:26" ht="14.7" thickBot="1" x14ac:dyDescent="0.6">
      <c r="A16" s="29"/>
      <c r="B16" s="142" t="s">
        <v>81</v>
      </c>
      <c r="C16" s="52"/>
      <c r="D16" s="52"/>
      <c r="E16" s="52"/>
      <c r="F16" s="52"/>
      <c r="G16" s="142" t="s">
        <v>83</v>
      </c>
      <c r="H16" s="52"/>
      <c r="I16" s="30"/>
      <c r="J16" s="118"/>
      <c r="K16" s="142" t="s">
        <v>81</v>
      </c>
      <c r="L16" s="52"/>
      <c r="M16" s="52"/>
      <c r="N16" s="48"/>
      <c r="O16" s="143"/>
      <c r="P16" s="142" t="s">
        <v>83</v>
      </c>
      <c r="Q16" s="52"/>
      <c r="R16" s="117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1:26" x14ac:dyDescent="0.55000000000000004">
      <c r="A17" s="29"/>
      <c r="B17" s="49" t="s">
        <v>0</v>
      </c>
      <c r="C17" s="49" t="s">
        <v>79</v>
      </c>
      <c r="D17" s="49" t="s">
        <v>76</v>
      </c>
      <c r="E17" s="48"/>
      <c r="F17" s="52"/>
      <c r="G17" s="49" t="s">
        <v>36</v>
      </c>
      <c r="H17" s="49" t="s">
        <v>79</v>
      </c>
      <c r="I17" s="30"/>
      <c r="J17" s="118"/>
      <c r="K17" s="49" t="s">
        <v>0</v>
      </c>
      <c r="L17" s="49" t="s">
        <v>79</v>
      </c>
      <c r="M17" s="49" t="s">
        <v>76</v>
      </c>
      <c r="N17" s="52"/>
      <c r="O17" s="143"/>
      <c r="P17" s="49" t="s">
        <v>36</v>
      </c>
      <c r="Q17" s="49" t="s">
        <v>79</v>
      </c>
      <c r="R17" s="117"/>
      <c r="S17" s="135"/>
      <c r="T17" s="123">
        <f>EXP(((LN(2)-LN(G40))/2)+GAMMALN((G40+1)/2)-GAMMALN(G40/2))</f>
        <v>0.98541004380808173</v>
      </c>
      <c r="U17" s="123">
        <f>T17*F40</f>
        <v>-1.4536050732082462</v>
      </c>
      <c r="V17" s="123">
        <f>1+(F40^2)*(1-T17^2)</f>
        <v>1.0630322911432482</v>
      </c>
      <c r="W17" s="123">
        <f>(2*U17^3)-((2*G40-1)/G40)*(F40^2*U17)</f>
        <v>-2.8133330071273832E-3</v>
      </c>
      <c r="X17" s="136">
        <f>W17/SQRT(V17)^3</f>
        <v>-2.5668557070804821E-3</v>
      </c>
      <c r="Y17" s="137">
        <f t="shared" ref="Y17:Z20" si="0">IF($X17&lt;0.001,Y29,Y23)</f>
        <v>-3.4743957035049413</v>
      </c>
      <c r="Z17" s="137">
        <f t="shared" si="0"/>
        <v>0.56718555708844898</v>
      </c>
    </row>
    <row r="18" spans="1:26" x14ac:dyDescent="0.55000000000000004">
      <c r="A18" s="29"/>
      <c r="B18" s="48">
        <v>1.1000000000000001</v>
      </c>
      <c r="C18" s="51">
        <f>IF(H7="",NA(),H7)</f>
        <v>4.2868401233589877</v>
      </c>
      <c r="D18" s="51">
        <f t="shared" ref="D18:D20" si="1">C18</f>
        <v>4.2868401233589877</v>
      </c>
      <c r="E18" s="52"/>
      <c r="F18" s="52"/>
      <c r="G18" s="50">
        <v>0.5</v>
      </c>
      <c r="H18" s="50">
        <f>C$40</f>
        <v>4</v>
      </c>
      <c r="I18" s="30"/>
      <c r="J18" s="118"/>
      <c r="K18" s="48">
        <v>1.1000000000000001</v>
      </c>
      <c r="L18" s="51">
        <f>IF(Q7="",NA(),Q7)</f>
        <v>0.13368691786943732</v>
      </c>
      <c r="M18" s="51">
        <f t="shared" ref="M18:M29" si="2">L18</f>
        <v>0.13368691786943732</v>
      </c>
      <c r="N18" s="52"/>
      <c r="O18" s="143"/>
      <c r="P18" s="50">
        <v>0.5</v>
      </c>
      <c r="Q18" s="50">
        <f>L$40</f>
        <v>-0.25</v>
      </c>
      <c r="R18" s="117"/>
      <c r="T18" s="127">
        <f>EXP(((LN(2)-LN(G41))/2)+GAMMALN((G41+1)/2)-GAMMALN(G41/2))</f>
        <v>0.98450640547183288</v>
      </c>
      <c r="U18" s="127">
        <f>T18*F41</f>
        <v>3.544779071899216</v>
      </c>
      <c r="V18" s="127">
        <f>1+(F41^2)*(1-T18^2)</f>
        <v>1.398607939663715</v>
      </c>
      <c r="W18" s="127">
        <f>(2*U18^3)-((2*G41-1)/G41)*(F41^2*U18)</f>
        <v>4.6217835148794961E-2</v>
      </c>
      <c r="X18" s="136">
        <f>W18/SQRT(V18)^3</f>
        <v>2.7942522879091911E-2</v>
      </c>
      <c r="Y18" s="137">
        <f t="shared" si="0"/>
        <v>1.2425607448299019</v>
      </c>
      <c r="Z18" s="137">
        <f t="shared" si="0"/>
        <v>5.8782961945816083</v>
      </c>
    </row>
    <row r="19" spans="1:26" x14ac:dyDescent="0.55000000000000004">
      <c r="A19" s="29"/>
      <c r="B19" s="48">
        <v>1.1000000000000001</v>
      </c>
      <c r="C19" s="50">
        <f>IF(D7="",NA(),D7)</f>
        <v>3.3333333333333335</v>
      </c>
      <c r="D19" s="51">
        <f t="shared" si="1"/>
        <v>3.3333333333333335</v>
      </c>
      <c r="E19" s="52"/>
      <c r="F19" s="52"/>
      <c r="G19" s="50">
        <v>1</v>
      </c>
      <c r="H19" s="50">
        <f>C$40</f>
        <v>4</v>
      </c>
      <c r="I19" s="30"/>
      <c r="J19" s="118"/>
      <c r="K19" s="48">
        <v>1.1000000000000001</v>
      </c>
      <c r="L19" s="50">
        <f>IF(M7="",NA(),M7)</f>
        <v>-0.33212255039440353</v>
      </c>
      <c r="M19" s="51">
        <f t="shared" si="2"/>
        <v>-0.33212255039440353</v>
      </c>
      <c r="N19" s="52"/>
      <c r="O19" s="143"/>
      <c r="P19" s="50">
        <v>1</v>
      </c>
      <c r="Q19" s="50">
        <f>L$40</f>
        <v>-0.25</v>
      </c>
      <c r="R19" s="117"/>
      <c r="T19" s="127">
        <f>EXP(((LN(2)-LN(G42))/2)+GAMMALN((G42+1)/2)-GAMMALN(G42/2))</f>
        <v>0.98621413686019177</v>
      </c>
      <c r="U19" s="127">
        <f>T19*F42</f>
        <v>1.3423255164311507</v>
      </c>
      <c r="V19" s="127">
        <f>1+(F42^2)*(1-T19^2)</f>
        <v>1.0507263105019482</v>
      </c>
      <c r="W19" s="127">
        <f>(2*U19^3)-((2*G42-1)/G42)*(F42^2*U19)</f>
        <v>1.9700062118825912E-3</v>
      </c>
      <c r="X19" s="136">
        <f>W19/SQRT(V19)^3</f>
        <v>1.829082037221496E-3</v>
      </c>
      <c r="Y19" s="137">
        <f t="shared" si="0"/>
        <v>-0.66584637067853691</v>
      </c>
      <c r="Z19" s="137">
        <f t="shared" si="0"/>
        <v>3.3522732199883194</v>
      </c>
    </row>
    <row r="20" spans="1:26" ht="14.7" thickBot="1" x14ac:dyDescent="0.6">
      <c r="A20" s="29"/>
      <c r="B20" s="48">
        <v>1.1000000000000001</v>
      </c>
      <c r="C20" s="51">
        <f>IF(G7="",NA(),G7)</f>
        <v>2.3798265433076793</v>
      </c>
      <c r="D20" s="51">
        <f t="shared" si="1"/>
        <v>2.3798265433076793</v>
      </c>
      <c r="E20" s="52"/>
      <c r="F20" s="52"/>
      <c r="G20" s="50">
        <v>1.5</v>
      </c>
      <c r="H20" s="50">
        <f>C$40</f>
        <v>4</v>
      </c>
      <c r="I20" s="30"/>
      <c r="J20" s="118"/>
      <c r="K20" s="48">
        <v>1.1000000000000001</v>
      </c>
      <c r="L20" s="51">
        <f>IF(P7="",NA(),P7)</f>
        <v>-0.81892292082458307</v>
      </c>
      <c r="M20" s="51">
        <f t="shared" si="2"/>
        <v>-0.81892292082458307</v>
      </c>
      <c r="N20" s="52"/>
      <c r="O20" s="143"/>
      <c r="P20" s="50">
        <v>1.5</v>
      </c>
      <c r="Q20" s="50">
        <f>L$40</f>
        <v>-0.25</v>
      </c>
      <c r="R20" s="117"/>
      <c r="T20" s="127" t="e">
        <f>EXP(((LN(2)-LN(G43))/2)+GAMMALN((G43+1)/2)-GAMMALN(G43/2))</f>
        <v>#VALUE!</v>
      </c>
      <c r="U20" s="127" t="e">
        <f>T20*F43</f>
        <v>#VALUE!</v>
      </c>
      <c r="V20" s="127" t="e">
        <f>1+(F43^2)*(1-T20^2)</f>
        <v>#VALUE!</v>
      </c>
      <c r="W20" s="127" t="e">
        <f>(2*U20^3)-((2*G43-1)/G43)*(F43^2*U20)</f>
        <v>#VALUE!</v>
      </c>
      <c r="X20" s="136" t="e">
        <f>W20/SQRT(V20)^3</f>
        <v>#VALUE!</v>
      </c>
      <c r="Y20" s="137" t="e">
        <f t="shared" si="0"/>
        <v>#VALUE!</v>
      </c>
      <c r="Z20" s="137" t="e">
        <f t="shared" si="0"/>
        <v>#VALUE!</v>
      </c>
    </row>
    <row r="21" spans="1:26" ht="14.7" thickBot="1" x14ac:dyDescent="0.6">
      <c r="A21" s="29"/>
      <c r="B21" s="48">
        <v>2.1</v>
      </c>
      <c r="C21" s="51">
        <f>IF(H8="",NA(),H8)</f>
        <v>6.0093270401095964</v>
      </c>
      <c r="D21" s="51">
        <f t="shared" ref="D21:D23" si="3">C21</f>
        <v>6.0093270401095964</v>
      </c>
      <c r="E21" s="52"/>
      <c r="F21" s="52"/>
      <c r="G21" s="50">
        <v>1.5</v>
      </c>
      <c r="H21" s="50">
        <f>C$41</f>
        <v>4</v>
      </c>
      <c r="I21" s="30"/>
      <c r="J21" s="118"/>
      <c r="K21" s="48">
        <v>2.1</v>
      </c>
      <c r="L21" s="51">
        <f>IF(Q8="",NA(),Q8)</f>
        <v>1.425696241701548</v>
      </c>
      <c r="M21" s="51">
        <f t="shared" si="2"/>
        <v>1.425696241701548</v>
      </c>
      <c r="N21" s="143"/>
      <c r="O21" s="143"/>
      <c r="P21" s="50">
        <v>1.5</v>
      </c>
      <c r="Q21" s="50">
        <f>L$41</f>
        <v>0.5</v>
      </c>
      <c r="R21" s="117"/>
      <c r="T21" s="138"/>
      <c r="U21" s="138"/>
      <c r="V21" s="138"/>
      <c r="W21" s="138"/>
      <c r="X21" s="138"/>
      <c r="Y21" s="138"/>
      <c r="Z21" s="138"/>
    </row>
    <row r="22" spans="1:26" ht="14.7" thickBot="1" x14ac:dyDescent="0.6">
      <c r="A22" s="29"/>
      <c r="B22" s="48">
        <v>2.1</v>
      </c>
      <c r="C22" s="50">
        <f>IF(D8="",NA(),D8)</f>
        <v>5.2647058823529411</v>
      </c>
      <c r="D22" s="51">
        <f t="shared" si="3"/>
        <v>5.2647058823529411</v>
      </c>
      <c r="E22" s="51"/>
      <c r="F22" s="52"/>
      <c r="G22" s="50">
        <v>2</v>
      </c>
      <c r="H22" s="50">
        <f>C$41</f>
        <v>4</v>
      </c>
      <c r="I22" s="30"/>
      <c r="J22" s="118"/>
      <c r="K22" s="48">
        <v>2.1</v>
      </c>
      <c r="L22" s="50">
        <f>IF(M8="",NA(),M8)</f>
        <v>0.83168116679289616</v>
      </c>
      <c r="M22" s="51">
        <f t="shared" si="2"/>
        <v>0.83168116679289616</v>
      </c>
      <c r="N22" s="143"/>
      <c r="O22" s="143"/>
      <c r="P22" s="50">
        <v>2</v>
      </c>
      <c r="Q22" s="50">
        <f>L$41</f>
        <v>0.5</v>
      </c>
      <c r="R22" s="117"/>
      <c r="T22" s="76" t="s">
        <v>16</v>
      </c>
      <c r="U22" s="76" t="s">
        <v>17</v>
      </c>
      <c r="V22" s="76" t="s">
        <v>18</v>
      </c>
      <c r="W22" s="76" t="s">
        <v>19</v>
      </c>
      <c r="X22" s="76" t="s">
        <v>20</v>
      </c>
      <c r="Y22" s="76" t="s">
        <v>21</v>
      </c>
      <c r="Z22" s="76" t="s">
        <v>22</v>
      </c>
    </row>
    <row r="23" spans="1:26" x14ac:dyDescent="0.55000000000000004">
      <c r="A23" s="29"/>
      <c r="B23" s="48">
        <v>2.1</v>
      </c>
      <c r="C23" s="51">
        <f>IF(G8="",NA(),G8)</f>
        <v>4.5200847245962859</v>
      </c>
      <c r="D23" s="51">
        <f t="shared" si="3"/>
        <v>4.5200847245962859</v>
      </c>
      <c r="E23" s="51"/>
      <c r="F23" s="52"/>
      <c r="G23" s="50">
        <v>2.5</v>
      </c>
      <c r="H23" s="50">
        <f>C$41</f>
        <v>4</v>
      </c>
      <c r="I23" s="30"/>
      <c r="J23" s="118"/>
      <c r="K23" s="48">
        <v>2.1</v>
      </c>
      <c r="L23" s="51">
        <f>IF(P8="",NA(),P8)</f>
        <v>0.3013652468929317</v>
      </c>
      <c r="M23" s="51">
        <f t="shared" si="2"/>
        <v>0.3013652468929317</v>
      </c>
      <c r="N23" s="143"/>
      <c r="O23" s="143"/>
      <c r="P23" s="50">
        <v>2.5</v>
      </c>
      <c r="Q23" s="50">
        <f>L$41</f>
        <v>0.5</v>
      </c>
      <c r="R23" s="117"/>
      <c r="T23" s="123">
        <f>W17/(4*V17)</f>
        <v>-6.6162924460689654E-4</v>
      </c>
      <c r="U23" s="123">
        <f>V17/(2*T23^2)</f>
        <v>1214191.1834688752</v>
      </c>
      <c r="V23" s="123">
        <f>U17-(U23*T23)</f>
        <v>801.89079045365747</v>
      </c>
      <c r="W23" s="123">
        <f>2*GAMMAINV((1-$Q$4/100)/2,U23/2,1)</f>
        <v>1211138.81384239</v>
      </c>
      <c r="X23" s="123">
        <f>2*GAMMAINV(1-(1-$Q$4/100)/2,U23/2,1)</f>
        <v>1217247.3417066727</v>
      </c>
      <c r="Y23" s="123">
        <f>IF(F40&gt;0,V23+(T23*W23),V23+(T23*X23))</f>
        <v>-3.4756487394812439</v>
      </c>
      <c r="Z23" s="123">
        <f>IF(F40&gt;0,V23+(T23*X23),V23+(T23*W23))</f>
        <v>0.56593193702428835</v>
      </c>
    </row>
    <row r="24" spans="1:26" x14ac:dyDescent="0.55000000000000004">
      <c r="A24" s="29"/>
      <c r="B24" s="48">
        <v>3.1</v>
      </c>
      <c r="C24" s="51">
        <f>IF(H9="",NA(),H9)</f>
        <v>5.137908101899809</v>
      </c>
      <c r="D24" s="51">
        <f t="shared" ref="D24:D26" si="4">C24</f>
        <v>5.137908101899809</v>
      </c>
      <c r="E24" s="51"/>
      <c r="F24" s="52"/>
      <c r="G24" s="50">
        <v>2.5</v>
      </c>
      <c r="H24" s="50">
        <f>C$42</f>
        <v>4</v>
      </c>
      <c r="I24" s="30"/>
      <c r="J24" s="118"/>
      <c r="K24" s="48">
        <v>3.1</v>
      </c>
      <c r="L24" s="51">
        <f>IF(Q9="",NA(),Q9)</f>
        <v>0.76906422089825144</v>
      </c>
      <c r="M24" s="51">
        <f t="shared" si="2"/>
        <v>0.76906422089825144</v>
      </c>
      <c r="N24" s="143"/>
      <c r="O24" s="143"/>
      <c r="P24" s="50">
        <v>2.5</v>
      </c>
      <c r="Q24" s="50">
        <f>L$42</f>
        <v>0.5</v>
      </c>
      <c r="R24" s="117"/>
      <c r="T24" s="127">
        <f>W18/(4*V18)</f>
        <v>8.2613993954423898E-3</v>
      </c>
      <c r="U24" s="127">
        <f>V18/(2*T24^2)</f>
        <v>10246.10392577297</v>
      </c>
      <c r="V24" s="127">
        <f>U18-(U24*T24)</f>
        <v>-81.102377706121501</v>
      </c>
      <c r="W24" s="127">
        <f>2*GAMMAINV((1-$Q$4/100)/2,U24/2,1)</f>
        <v>9967.4322120752422</v>
      </c>
      <c r="X24" s="127">
        <f>2*GAMMAINV(1-(1-$Q$4/100)/2,U24/2,1)</f>
        <v>10528.564198056833</v>
      </c>
      <c r="Y24" s="127">
        <f>IF(F41&gt;0,V24+(T24*W24),V24+(T24*X24))</f>
        <v>1.2425607448299019</v>
      </c>
      <c r="Z24" s="127">
        <f>IF(F41&gt;0,V24+(T24*X24),V24+(T24*W24))</f>
        <v>5.8782961945816083</v>
      </c>
    </row>
    <row r="25" spans="1:26" x14ac:dyDescent="0.55000000000000004">
      <c r="A25" s="29"/>
      <c r="B25" s="48">
        <v>3.1</v>
      </c>
      <c r="C25" s="50">
        <f>IF(D9="",NA(),D9)</f>
        <v>4.4473684210526319</v>
      </c>
      <c r="D25" s="51">
        <f t="shared" si="4"/>
        <v>4.4473684210526319</v>
      </c>
      <c r="E25" s="51"/>
      <c r="F25" s="52"/>
      <c r="G25" s="50">
        <v>3</v>
      </c>
      <c r="H25" s="50">
        <f>C$42</f>
        <v>4</v>
      </c>
      <c r="I25" s="30"/>
      <c r="J25" s="118"/>
      <c r="K25" s="48">
        <v>3.1</v>
      </c>
      <c r="L25" s="50">
        <f>IF(M9="",NA(),M9)</f>
        <v>0.29906141629453026</v>
      </c>
      <c r="M25" s="51">
        <f t="shared" si="2"/>
        <v>0.29906141629453026</v>
      </c>
      <c r="N25" s="143"/>
      <c r="O25" s="143"/>
      <c r="P25" s="50">
        <v>3</v>
      </c>
      <c r="Q25" s="50">
        <f>L$42</f>
        <v>0.5</v>
      </c>
      <c r="R25" s="117"/>
      <c r="T25" s="127">
        <f>W19/(4*V19)</f>
        <v>4.6872486969073057E-4</v>
      </c>
      <c r="U25" s="127">
        <f>V19/(2*T25^2)</f>
        <v>2391242.4817208285</v>
      </c>
      <c r="V25" s="127">
        <f>U19-(U25*T25)</f>
        <v>-1119.4924951271032</v>
      </c>
      <c r="W25" s="127">
        <f>2*GAMMAINV((1-$Q$4/100)/2,U25/2,1)</f>
        <v>2386958.1520063952</v>
      </c>
      <c r="X25" s="127">
        <f>2*GAMMAINV(1-(1-$Q$4/100)/2,U25/2,1)</f>
        <v>2395530.6000467949</v>
      </c>
      <c r="Y25" s="127">
        <f>IF(F42&gt;0,V25+(T25*W25),V25+(T25*X25))</f>
        <v>-0.66584637067853691</v>
      </c>
      <c r="Z25" s="127">
        <f>IF(F42&gt;0,V25+(T25*X25),V25+(T25*W25))</f>
        <v>3.3522732199883194</v>
      </c>
    </row>
    <row r="26" spans="1:26" ht="14.7" thickBot="1" x14ac:dyDescent="0.6">
      <c r="A26" s="29"/>
      <c r="B26" s="48">
        <v>3.1</v>
      </c>
      <c r="C26" s="51">
        <f>IF(G9="",NA(),G9)</f>
        <v>3.7568287402054548</v>
      </c>
      <c r="D26" s="51">
        <f t="shared" si="4"/>
        <v>3.7568287402054548</v>
      </c>
      <c r="E26" s="51"/>
      <c r="F26" s="52"/>
      <c r="G26" s="50">
        <v>3.5</v>
      </c>
      <c r="H26" s="50">
        <f>C$42</f>
        <v>4</v>
      </c>
      <c r="I26" s="30"/>
      <c r="J26" s="118"/>
      <c r="K26" s="48">
        <v>3.1</v>
      </c>
      <c r="L26" s="51">
        <f>IF(P9="",NA(),P9)</f>
        <v>-0.15275563377426665</v>
      </c>
      <c r="M26" s="51">
        <f t="shared" si="2"/>
        <v>-0.15275563377426665</v>
      </c>
      <c r="N26" s="143"/>
      <c r="O26" s="143"/>
      <c r="P26" s="50">
        <v>3.5</v>
      </c>
      <c r="Q26" s="50">
        <f>L$42</f>
        <v>0.5</v>
      </c>
      <c r="R26" s="117"/>
      <c r="T26" s="153" t="e">
        <f>W20/(4*V20)</f>
        <v>#VALUE!</v>
      </c>
      <c r="U26" s="153" t="e">
        <f>V20/(2*T26^2)</f>
        <v>#VALUE!</v>
      </c>
      <c r="V26" s="153" t="e">
        <f>U20-(U26*T26)</f>
        <v>#VALUE!</v>
      </c>
      <c r="W26" s="153" t="e">
        <f>2*GAMMAINV((1-$Q$4/100)/2,U26/2,1)</f>
        <v>#VALUE!</v>
      </c>
      <c r="X26" s="153" t="e">
        <f>2*GAMMAINV(1-(1-$Q$4/100)/2,U26/2,1)</f>
        <v>#VALUE!</v>
      </c>
      <c r="Y26" s="153" t="e">
        <f>IF(F43&gt;0,V26+(T26*W26),V26+(T26*X26))</f>
        <v>#VALUE!</v>
      </c>
      <c r="Z26" s="153" t="e">
        <f>IF(F43&gt;0,V26+(T26*X26),V26+(T26*W26))</f>
        <v>#VALUE!</v>
      </c>
    </row>
    <row r="27" spans="1:26" ht="14.7" thickBot="1" x14ac:dyDescent="0.6">
      <c r="A27" s="29"/>
      <c r="B27" s="48">
        <v>4.0999999999999996</v>
      </c>
      <c r="C27" s="51" t="e">
        <f>IF(H10="",NA(),H10)</f>
        <v>#N/A</v>
      </c>
      <c r="D27" s="51" t="e">
        <f t="shared" ref="D27:D29" si="5">C27</f>
        <v>#N/A</v>
      </c>
      <c r="E27" s="51"/>
      <c r="F27" s="52"/>
      <c r="G27" s="50">
        <v>3.5</v>
      </c>
      <c r="H27" s="50">
        <f>C$43</f>
        <v>0</v>
      </c>
      <c r="I27" s="30"/>
      <c r="J27" s="118"/>
      <c r="K27" s="48">
        <v>4.0999999999999996</v>
      </c>
      <c r="L27" s="51" t="e">
        <f>IF(Q10="",NA(),Q10)</f>
        <v>#N/A</v>
      </c>
      <c r="M27" s="51" t="e">
        <f t="shared" si="2"/>
        <v>#N/A</v>
      </c>
      <c r="N27" s="143"/>
      <c r="O27" s="143"/>
      <c r="P27" s="50">
        <v>3.5</v>
      </c>
      <c r="Q27" s="50">
        <f>L$43</f>
        <v>0</v>
      </c>
      <c r="R27" s="117"/>
      <c r="T27" s="134"/>
      <c r="U27" s="134"/>
      <c r="V27" s="134"/>
      <c r="W27" s="134"/>
      <c r="X27" s="134"/>
      <c r="Y27" s="134"/>
      <c r="Z27" s="134"/>
    </row>
    <row r="28" spans="1:26" ht="14.7" thickBot="1" x14ac:dyDescent="0.6">
      <c r="A28" s="29"/>
      <c r="B28" s="49">
        <v>4.0999999999999996</v>
      </c>
      <c r="C28" s="50" t="e">
        <f>IF(D10="",NA(),D10)</f>
        <v>#N/A</v>
      </c>
      <c r="D28" s="51" t="e">
        <f t="shared" si="5"/>
        <v>#N/A</v>
      </c>
      <c r="E28" s="51"/>
      <c r="F28" s="52"/>
      <c r="G28" s="50">
        <v>4</v>
      </c>
      <c r="H28" s="50">
        <f>C$43</f>
        <v>0</v>
      </c>
      <c r="I28" s="30"/>
      <c r="J28" s="118"/>
      <c r="K28" s="49">
        <v>4.0999999999999996</v>
      </c>
      <c r="L28" s="50" t="e">
        <f>IF(M10="",NA(),M10)</f>
        <v>#N/A</v>
      </c>
      <c r="M28" s="51" t="e">
        <f t="shared" si="2"/>
        <v>#N/A</v>
      </c>
      <c r="N28" s="143"/>
      <c r="O28" s="143"/>
      <c r="P28" s="50">
        <v>4</v>
      </c>
      <c r="Q28" s="50">
        <f>L$43</f>
        <v>0</v>
      </c>
      <c r="R28" s="117"/>
      <c r="V28" s="76" t="s">
        <v>69</v>
      </c>
      <c r="W28" s="76" t="s">
        <v>70</v>
      </c>
      <c r="X28" s="76" t="s">
        <v>71</v>
      </c>
      <c r="Y28" s="76" t="s">
        <v>21</v>
      </c>
      <c r="Z28" s="76" t="s">
        <v>22</v>
      </c>
    </row>
    <row r="29" spans="1:26" x14ac:dyDescent="0.55000000000000004">
      <c r="A29" s="29"/>
      <c r="B29" s="49">
        <v>4.0999999999999996</v>
      </c>
      <c r="C29" s="51" t="e">
        <f>IF(G10="",NA(),G10)</f>
        <v>#N/A</v>
      </c>
      <c r="D29" s="51" t="e">
        <f t="shared" si="5"/>
        <v>#N/A</v>
      </c>
      <c r="E29" s="51"/>
      <c r="F29" s="52"/>
      <c r="G29" s="50">
        <v>4.5</v>
      </c>
      <c r="H29" s="50">
        <f>C$43</f>
        <v>0</v>
      </c>
      <c r="I29" s="30"/>
      <c r="J29" s="118"/>
      <c r="K29" s="49">
        <v>4.0999999999999996</v>
      </c>
      <c r="L29" s="51" t="e">
        <f>IF(P10="",NA(),P10)</f>
        <v>#N/A</v>
      </c>
      <c r="M29" s="50" t="e">
        <f t="shared" si="2"/>
        <v>#N/A</v>
      </c>
      <c r="N29" s="143"/>
      <c r="O29" s="143"/>
      <c r="P29" s="50">
        <v>4.5</v>
      </c>
      <c r="Q29" s="50">
        <f>L$43</f>
        <v>0</v>
      </c>
      <c r="R29" s="117"/>
      <c r="V29" s="139">
        <f>SQRT(V17)</f>
        <v>1.0310345732046273</v>
      </c>
      <c r="W29" s="139">
        <f>NORMINV((1-$Q$4/100)/2,0,1)</f>
        <v>-1.9599639845400536</v>
      </c>
      <c r="X29" s="139">
        <f>NORMINV(1-(1-$Q$4/100)/2,0,1)</f>
        <v>1.9599639845400536</v>
      </c>
      <c r="Y29" s="139">
        <f>U17+W29*V29</f>
        <v>-3.4743957035049413</v>
      </c>
      <c r="Z29" s="139">
        <f>U17+X29*V29</f>
        <v>0.56718555708844898</v>
      </c>
    </row>
    <row r="30" spans="1:26" x14ac:dyDescent="0.55000000000000004">
      <c r="A30" s="29"/>
      <c r="B30" s="89"/>
      <c r="C30" s="89"/>
      <c r="D30" s="89"/>
      <c r="E30" s="33"/>
      <c r="F30" s="33"/>
      <c r="G30" s="33"/>
      <c r="H30" s="33"/>
      <c r="I30" s="30"/>
      <c r="J30" s="118"/>
      <c r="K30" s="52"/>
      <c r="L30" s="52"/>
      <c r="M30" s="52"/>
      <c r="N30" s="143"/>
      <c r="O30" s="143"/>
      <c r="P30" s="143"/>
      <c r="Q30" s="143"/>
      <c r="V30" s="139">
        <f>SQRT(V18)</f>
        <v>1.1826275574599616</v>
      </c>
      <c r="W30" s="139">
        <f>NORMINV((1-$Q$4/100)/2,0,1)</f>
        <v>-1.9599639845400536</v>
      </c>
      <c r="X30" s="139">
        <f>NORMINV(1-(1-$Q$4/100)/2,0,1)</f>
        <v>1.9599639845400536</v>
      </c>
      <c r="Y30" s="139">
        <f>U18+W30*V30</f>
        <v>1.2268716521531187</v>
      </c>
      <c r="Z30" s="139">
        <f>U18+X30*V30</f>
        <v>5.862686491645313</v>
      </c>
    </row>
    <row r="31" spans="1:26" x14ac:dyDescent="0.55000000000000004">
      <c r="A31" s="29"/>
      <c r="B31" s="89"/>
      <c r="C31" s="89"/>
      <c r="D31" s="89"/>
      <c r="E31" s="33"/>
      <c r="F31" s="33"/>
      <c r="G31" s="33"/>
      <c r="H31" s="33"/>
      <c r="I31" s="30"/>
      <c r="J31" s="118"/>
      <c r="K31" s="52"/>
      <c r="L31" s="52"/>
      <c r="M31" s="52"/>
      <c r="N31" s="143"/>
      <c r="O31" s="143"/>
      <c r="P31" s="143"/>
      <c r="Q31" s="143"/>
      <c r="V31" s="139">
        <f>SQRT(V19)</f>
        <v>1.0250494185657335</v>
      </c>
      <c r="W31" s="139">
        <f>NORMINV((1-$Q$4/100)/2,0,1)</f>
        <v>-1.9599639845400536</v>
      </c>
      <c r="X31" s="139">
        <f>NORMINV(1-(1-$Q$4/100)/2,0,1)</f>
        <v>1.9599639845400536</v>
      </c>
      <c r="Y31" s="139">
        <f>U19+W31*V31</f>
        <v>-0.66673442633140945</v>
      </c>
      <c r="Z31" s="139">
        <f>U19+X31*V31</f>
        <v>3.3513854591937111</v>
      </c>
    </row>
    <row r="32" spans="1:26" ht="14.7" thickBot="1" x14ac:dyDescent="0.6">
      <c r="A32" s="29"/>
      <c r="B32" s="89"/>
      <c r="C32" s="89"/>
      <c r="D32" s="89"/>
      <c r="E32" s="33"/>
      <c r="F32" s="33"/>
      <c r="G32" s="33"/>
      <c r="H32" s="33"/>
      <c r="I32" s="30"/>
      <c r="K32" s="52"/>
      <c r="L32" s="52"/>
      <c r="M32" s="52"/>
      <c r="N32" s="52"/>
      <c r="O32" s="52"/>
      <c r="P32" s="52"/>
      <c r="Q32" s="52"/>
      <c r="V32" s="139" t="e">
        <f>SQRT(V20)</f>
        <v>#VALUE!</v>
      </c>
      <c r="W32" s="139">
        <f>NORMINV((1-$Q$4/100)/2,0,1)</f>
        <v>-1.9599639845400536</v>
      </c>
      <c r="X32" s="139">
        <f>NORMINV(1-(1-$Q$4/100)/2,0,1)</f>
        <v>1.9599639845400536</v>
      </c>
      <c r="Y32" s="139" t="e">
        <f>U20+W32*V32</f>
        <v>#VALUE!</v>
      </c>
      <c r="Z32" s="139" t="e">
        <f>U20+X32*V32</f>
        <v>#VALUE!</v>
      </c>
    </row>
    <row r="33" spans="1:26" x14ac:dyDescent="0.55000000000000004">
      <c r="A33" s="135"/>
      <c r="B33" s="89"/>
      <c r="C33" s="89"/>
      <c r="D33" s="89"/>
      <c r="E33" s="33"/>
      <c r="F33" s="33"/>
      <c r="G33" s="33"/>
      <c r="H33" s="33"/>
      <c r="I33" s="30"/>
      <c r="J33" s="135"/>
      <c r="V33" s="134"/>
      <c r="W33" s="134"/>
      <c r="X33" s="134"/>
      <c r="Y33" s="134"/>
      <c r="Z33" s="134"/>
    </row>
    <row r="34" spans="1:26" x14ac:dyDescent="0.55000000000000004">
      <c r="A34" s="118"/>
      <c r="B34" s="89"/>
      <c r="C34" s="30"/>
      <c r="D34" s="30"/>
      <c r="E34" s="30"/>
      <c r="F34" s="30"/>
      <c r="G34" s="30"/>
      <c r="H34" s="30"/>
      <c r="I34" s="28"/>
    </row>
    <row r="35" spans="1:26" x14ac:dyDescent="0.55000000000000004">
      <c r="A35" s="118"/>
      <c r="C35" s="28"/>
      <c r="D35" s="28"/>
      <c r="E35" s="28"/>
      <c r="F35" s="28"/>
      <c r="G35" s="28"/>
      <c r="H35" s="28"/>
      <c r="I35" s="28"/>
    </row>
    <row r="37" spans="1:26" ht="15.6" x14ac:dyDescent="0.6">
      <c r="B37" s="60" t="s">
        <v>118</v>
      </c>
      <c r="I37" s="28"/>
      <c r="J37" s="118"/>
      <c r="K37" s="60" t="s">
        <v>120</v>
      </c>
      <c r="L37" s="118"/>
      <c r="M37" s="118"/>
      <c r="N37" s="118"/>
      <c r="O37" s="118"/>
      <c r="P37" s="118"/>
      <c r="Q37" s="118"/>
    </row>
    <row r="38" spans="1:26" ht="14.7" thickBot="1" x14ac:dyDescent="0.6">
      <c r="I38" s="28"/>
      <c r="J38" s="118"/>
      <c r="K38" s="118"/>
      <c r="L38" s="118"/>
      <c r="M38" s="118"/>
      <c r="N38" s="118"/>
      <c r="O38" s="118"/>
      <c r="P38" s="118"/>
      <c r="Q38" s="118"/>
    </row>
    <row r="39" spans="1:26" ht="14.7" thickBot="1" x14ac:dyDescent="0.6">
      <c r="B39" s="158" t="s">
        <v>0</v>
      </c>
      <c r="C39" s="179" t="s">
        <v>37</v>
      </c>
      <c r="D39" s="116" t="s">
        <v>54</v>
      </c>
      <c r="E39" s="116" t="s">
        <v>85</v>
      </c>
      <c r="F39" s="76" t="s">
        <v>11</v>
      </c>
      <c r="G39" s="115" t="s">
        <v>2</v>
      </c>
      <c r="H39" s="76" t="s">
        <v>53</v>
      </c>
      <c r="I39" s="28"/>
      <c r="J39" s="118"/>
      <c r="K39" s="192" t="s">
        <v>0</v>
      </c>
      <c r="L39" s="115" t="s">
        <v>41</v>
      </c>
      <c r="M39" s="118"/>
      <c r="N39" s="118"/>
      <c r="O39" s="118"/>
      <c r="P39" s="118"/>
      <c r="Q39" s="118"/>
    </row>
    <row r="40" spans="1:26" x14ac:dyDescent="0.55000000000000004">
      <c r="B40" s="161" t="str">
        <f>B7</f>
        <v>Reassure</v>
      </c>
      <c r="C40" s="124">
        <v>4</v>
      </c>
      <c r="D40" s="123">
        <f>IFERROR(D7-C40,"")</f>
        <v>-0.66666666666666652</v>
      </c>
      <c r="E40" s="123">
        <f>Data!X7</f>
        <v>0.45193845378886705</v>
      </c>
      <c r="F40" s="123">
        <f>IFERROR(D40/E40,"")</f>
        <v>-1.4751271131668615</v>
      </c>
      <c r="G40" s="125">
        <f>Data!W7</f>
        <v>17</v>
      </c>
      <c r="H40" s="123">
        <f>IFERROR(IF(TDIST(ABS(F40),G40,2)&lt;0.001,"&lt; 0.001",TDIST(ABS(F40),G40,2)),"")</f>
        <v>0.15845852572175073</v>
      </c>
      <c r="I40" s="28"/>
      <c r="J40" s="118"/>
      <c r="K40" s="161" t="str">
        <f>K7</f>
        <v>Reassure</v>
      </c>
      <c r="L40" s="124">
        <v>-0.25</v>
      </c>
      <c r="M40" s="118"/>
      <c r="N40" s="118"/>
      <c r="O40" s="118"/>
      <c r="P40" s="118"/>
      <c r="Q40" s="118"/>
      <c r="T40" s="119"/>
      <c r="U40" s="119"/>
      <c r="V40" s="119"/>
    </row>
    <row r="41" spans="1:26" x14ac:dyDescent="0.55000000000000004">
      <c r="B41" s="85" t="str">
        <f>B8</f>
        <v>Challenge</v>
      </c>
      <c r="C41" s="129">
        <v>4</v>
      </c>
      <c r="D41" s="127">
        <f>IFERROR(D8-C41,"")</f>
        <v>1.2647058823529411</v>
      </c>
      <c r="E41" s="127">
        <f>Data!X8</f>
        <v>0.35125208566165256</v>
      </c>
      <c r="F41" s="127">
        <f>IFERROR(D41/E41,"")</f>
        <v>3.6005647624002521</v>
      </c>
      <c r="G41" s="130">
        <f>Data!W8</f>
        <v>16</v>
      </c>
      <c r="H41" s="127">
        <f>IFERROR(IF(TDIST(ABS(F41),G41,2)&lt;0.001,"&lt; 0.001",TDIST(ABS(F41),G41,2)),"")</f>
        <v>2.3963521560886191E-3</v>
      </c>
      <c r="I41" s="28"/>
      <c r="J41" s="118"/>
      <c r="K41" s="85" t="str">
        <f>K8</f>
        <v>Challenge</v>
      </c>
      <c r="L41" s="129">
        <v>0.5</v>
      </c>
      <c r="M41" s="118"/>
      <c r="N41" s="118"/>
      <c r="O41" s="118"/>
      <c r="P41" s="118"/>
      <c r="Q41" s="118"/>
      <c r="T41" s="119"/>
      <c r="U41" s="119"/>
      <c r="V41" s="119"/>
    </row>
    <row r="42" spans="1:26" x14ac:dyDescent="0.55000000000000004">
      <c r="B42" s="85" t="str">
        <f>B9</f>
        <v>Encourage</v>
      </c>
      <c r="C42" s="129">
        <v>4</v>
      </c>
      <c r="D42" s="127">
        <f>IFERROR(D9-C42,"")</f>
        <v>0.44736842105263186</v>
      </c>
      <c r="E42" s="127">
        <f>Data!X9</f>
        <v>0.32868410517886315</v>
      </c>
      <c r="F42" s="127">
        <f>IFERROR(D42/E42,"")</f>
        <v>1.3610893073432411</v>
      </c>
      <c r="G42" s="130">
        <f>Data!W9</f>
        <v>18</v>
      </c>
      <c r="H42" s="127">
        <f>IFERROR(IF(TDIST(ABS(F42),G42,2)&lt;0.001,"&lt; 0.001",TDIST(ABS(F42),G42,2)),"")</f>
        <v>0.19028335942206501</v>
      </c>
      <c r="I42" s="28"/>
      <c r="J42" s="118"/>
      <c r="K42" s="85" t="str">
        <f>K9</f>
        <v>Encourage</v>
      </c>
      <c r="L42" s="129">
        <v>0.5</v>
      </c>
      <c r="M42" s="118"/>
      <c r="N42" s="118"/>
      <c r="O42" s="118"/>
      <c r="P42" s="118"/>
      <c r="Q42" s="118"/>
      <c r="T42" s="119"/>
      <c r="U42" s="119"/>
      <c r="V42" s="119"/>
    </row>
    <row r="43" spans="1:26" ht="14.7" thickBot="1" x14ac:dyDescent="0.6">
      <c r="B43" s="162" t="str">
        <f>B10</f>
        <v/>
      </c>
      <c r="C43" s="129"/>
      <c r="D43" s="153" t="str">
        <f>IFERROR(D10-C43,"")</f>
        <v/>
      </c>
      <c r="E43" s="153" t="str">
        <f>Data!X10</f>
        <v/>
      </c>
      <c r="F43" s="153" t="str">
        <f>IFERROR(D43/E43,"")</f>
        <v/>
      </c>
      <c r="G43" s="133" t="str">
        <f>Data!W10</f>
        <v/>
      </c>
      <c r="H43" s="153" t="str">
        <f>IFERROR(IF(TDIST(ABS(F43),G43,2)&lt;0.001,"&lt; 0.001",TDIST(ABS(F43),G43,2)),"")</f>
        <v/>
      </c>
      <c r="I43" s="28"/>
      <c r="J43" s="118"/>
      <c r="K43" s="162" t="str">
        <f>K10</f>
        <v/>
      </c>
      <c r="L43" s="132"/>
      <c r="M43" s="118"/>
      <c r="N43" s="118"/>
      <c r="O43" s="118"/>
      <c r="P43" s="118"/>
      <c r="Q43" s="118"/>
      <c r="T43" s="119"/>
      <c r="U43" s="119"/>
      <c r="V43" s="119"/>
    </row>
    <row r="44" spans="1:26" x14ac:dyDescent="0.55000000000000004">
      <c r="B44" s="134"/>
      <c r="C44" s="59"/>
      <c r="D44" s="134"/>
      <c r="E44" s="134"/>
      <c r="F44" s="134"/>
      <c r="G44" s="134"/>
      <c r="H44" s="134"/>
      <c r="I44" s="28"/>
      <c r="J44" s="118"/>
      <c r="K44" s="134"/>
      <c r="L44" s="59"/>
      <c r="M44" s="118"/>
      <c r="N44" s="118"/>
      <c r="O44" s="118"/>
      <c r="P44" s="118"/>
      <c r="Q44" s="118"/>
      <c r="T44" s="119"/>
      <c r="U44" s="119"/>
      <c r="V44" s="119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C4" zoomScaleNormal="100" workbookViewId="0">
      <selection activeCell="H4" sqref="H4"/>
    </sheetView>
  </sheetViews>
  <sheetFormatPr defaultColWidth="11.15625" defaultRowHeight="14.4" x14ac:dyDescent="0.55000000000000004"/>
  <cols>
    <col min="1" max="1" width="4.578125" style="54" customWidth="1"/>
    <col min="2" max="8" width="11.15625" style="54"/>
    <col min="9" max="10" width="4.578125" style="54" customWidth="1"/>
    <col min="11" max="17" width="11.15625" style="54"/>
    <col min="18" max="18" width="4.578125" style="54" customWidth="1"/>
    <col min="19" max="19" width="4.578125" style="54" hidden="1" customWidth="1"/>
    <col min="20" max="26" width="0" style="54" hidden="1" customWidth="1"/>
    <col min="27" max="27" width="4.578125" style="54" hidden="1" customWidth="1"/>
    <col min="28" max="16384" width="11.15625" style="54"/>
  </cols>
  <sheetData>
    <row r="1" spans="2:26" s="144" customFormat="1" ht="15" customHeight="1" x14ac:dyDescent="0.55000000000000004"/>
    <row r="2" spans="2:26" s="144" customFormat="1" ht="15" customHeight="1" x14ac:dyDescent="0.55000000000000004">
      <c r="B2" s="215" t="s">
        <v>78</v>
      </c>
      <c r="C2" s="215"/>
      <c r="D2" s="215"/>
      <c r="E2" s="215"/>
      <c r="F2" s="215"/>
      <c r="G2" s="215"/>
      <c r="H2" s="215"/>
      <c r="K2" s="215" t="s">
        <v>113</v>
      </c>
      <c r="L2" s="215"/>
      <c r="M2" s="215"/>
      <c r="N2" s="215"/>
      <c r="O2" s="215"/>
      <c r="P2" s="215"/>
      <c r="Q2" s="215"/>
      <c r="T2" s="215" t="s">
        <v>65</v>
      </c>
      <c r="U2" s="215"/>
      <c r="V2" s="215"/>
      <c r="W2" s="215"/>
      <c r="X2" s="215"/>
      <c r="Y2" s="215"/>
      <c r="Z2" s="215"/>
    </row>
    <row r="4" spans="2:26" ht="15.6" x14ac:dyDescent="0.6">
      <c r="B4" s="60" t="s">
        <v>117</v>
      </c>
      <c r="G4" s="99" t="s">
        <v>40</v>
      </c>
      <c r="H4" s="21">
        <v>95</v>
      </c>
      <c r="K4" s="60" t="s">
        <v>117</v>
      </c>
      <c r="L4" s="28"/>
      <c r="M4" s="28"/>
      <c r="N4" s="28"/>
      <c r="O4" s="28"/>
      <c r="P4" s="120" t="s">
        <v>40</v>
      </c>
      <c r="Q4" s="121">
        <v>95</v>
      </c>
      <c r="R4" s="119"/>
      <c r="S4" s="42"/>
      <c r="T4" s="42"/>
      <c r="U4" s="42"/>
      <c r="V4" s="42"/>
      <c r="W4" s="42"/>
      <c r="X4" s="42"/>
      <c r="Y4" s="42"/>
      <c r="Z4" s="42"/>
    </row>
    <row r="5" spans="2:26" ht="14.7" thickBot="1" x14ac:dyDescent="0.6">
      <c r="K5" s="28"/>
      <c r="L5" s="28"/>
      <c r="M5" s="28"/>
      <c r="N5" s="28"/>
      <c r="O5" s="28"/>
      <c r="P5" s="28"/>
      <c r="Q5" s="28"/>
      <c r="R5" s="119"/>
      <c r="S5" s="42"/>
      <c r="T5" s="42"/>
      <c r="U5" s="42"/>
      <c r="V5" s="42"/>
      <c r="W5" s="42"/>
      <c r="X5" s="42"/>
      <c r="Y5" s="42"/>
      <c r="Z5" s="42"/>
    </row>
    <row r="6" spans="2:26" ht="14.7" thickBot="1" x14ac:dyDescent="0.6">
      <c r="B6" s="158" t="s">
        <v>0</v>
      </c>
      <c r="C6" s="141" t="s">
        <v>1</v>
      </c>
      <c r="D6" s="141" t="s">
        <v>13</v>
      </c>
      <c r="E6" s="141" t="s">
        <v>69</v>
      </c>
      <c r="F6" s="192" t="s">
        <v>85</v>
      </c>
      <c r="G6" s="217" t="s">
        <v>88</v>
      </c>
      <c r="H6" s="217"/>
      <c r="K6" s="182" t="s">
        <v>0</v>
      </c>
      <c r="L6" s="182" t="s">
        <v>3</v>
      </c>
      <c r="M6" s="182" t="s">
        <v>25</v>
      </c>
      <c r="N6" s="191" t="str">
        <f t="shared" ref="N6:N11" si="0">G39</f>
        <v>df</v>
      </c>
      <c r="O6" s="191" t="s">
        <v>85</v>
      </c>
      <c r="P6" s="216" t="s">
        <v>66</v>
      </c>
      <c r="Q6" s="216"/>
      <c r="R6" s="119"/>
      <c r="S6" s="42"/>
      <c r="T6" s="42"/>
      <c r="U6" s="42"/>
      <c r="V6" s="42"/>
      <c r="W6" s="42"/>
      <c r="X6" s="42"/>
      <c r="Y6" s="42"/>
      <c r="Z6" s="42"/>
    </row>
    <row r="7" spans="2:26" x14ac:dyDescent="0.55000000000000004">
      <c r="B7" s="105">
        <v>2</v>
      </c>
      <c r="C7" s="69">
        <f>IF(B7="","",VLOOKUP($B7,Data!$S$7:$V$10,2,FALSE))</f>
        <v>17</v>
      </c>
      <c r="D7" s="36">
        <f>IF(B7="","",VLOOKUP($B7,Data!$S$7:$V$10,3,FALSE))</f>
        <v>5.2647058823529411</v>
      </c>
      <c r="E7" s="36">
        <f>IF(B7="","",VLOOKUP($B7,Data!$S$7:$V$10,4,FALSE))</f>
        <v>1.448249450401496</v>
      </c>
      <c r="F7" s="36">
        <f>IFERROR(E7/SQRT(C7),"")</f>
        <v>0.35125208566165256</v>
      </c>
      <c r="G7" s="36">
        <f>IFERROR(D7-TINV(1-$H$4/100,C7-1)*E40,"")</f>
        <v>4.5200847245962859</v>
      </c>
      <c r="H7" s="36">
        <f>IFERROR(D7+TINV(1-$H$4/100,C7-1)*E40,"")</f>
        <v>6.0093270401095964</v>
      </c>
      <c r="K7" s="161">
        <f>IF(B7="","",B7)</f>
        <v>2</v>
      </c>
      <c r="L7" s="80">
        <f>IFERROR((D7-C40)/E7,"")</f>
        <v>0.87326522513254101</v>
      </c>
      <c r="M7" s="80">
        <f>IFERROR((1-3/(4*G40-1))*L7,"")</f>
        <v>0.83168116679289616</v>
      </c>
      <c r="N7" s="125">
        <f t="shared" si="0"/>
        <v>16</v>
      </c>
      <c r="O7" s="80">
        <f>IFERROR(SQRT((G40+2)/(C7*C7)+((L7^2)/(2*(G40+2)))),"")</f>
        <v>0.2889063038376975</v>
      </c>
      <c r="P7" s="123">
        <f>IFERROR(Y17*SQRT(1/C7),"")</f>
        <v>0.3013652468929317</v>
      </c>
      <c r="Q7" s="123">
        <f>IFERROR(Z17*SQRT(1/C7),"")</f>
        <v>1.425696241701548</v>
      </c>
      <c r="R7" s="119"/>
      <c r="S7" s="42"/>
      <c r="T7" s="42"/>
      <c r="U7" s="42"/>
      <c r="V7" s="42"/>
      <c r="W7" s="42"/>
      <c r="X7" s="42"/>
      <c r="Y7" s="42"/>
      <c r="Z7" s="42"/>
    </row>
    <row r="8" spans="2:26" ht="14.7" thickBot="1" x14ac:dyDescent="0.6">
      <c r="B8" s="177">
        <v>1</v>
      </c>
      <c r="C8" s="73">
        <f>IF(B8="","",VLOOKUP($B8,Data!$S$7:$V$10,2,FALSE))</f>
        <v>18</v>
      </c>
      <c r="D8" s="39">
        <f>IF(B8="","",VLOOKUP($B8,Data!$S$7:$V$10,3,FALSE))</f>
        <v>3.3333333333333335</v>
      </c>
      <c r="E8" s="39">
        <f>IF(B8="","",VLOOKUP($B8,Data!$S$7:$V$10,4,FALSE))</f>
        <v>1.917412472118426</v>
      </c>
      <c r="F8" s="64">
        <f>IFERROR(E8/SQRT(C8),"")</f>
        <v>0.45193845378886705</v>
      </c>
      <c r="G8" s="64">
        <f>IFERROR(D8-TINV(1-$H$4/100,C8-1)*E41,"")</f>
        <v>2.3798265433076793</v>
      </c>
      <c r="H8" s="64">
        <f>IFERROR(D8+TINV(1-$H$4/100,C8-1)*E41,"")</f>
        <v>4.2868401233589877</v>
      </c>
      <c r="K8" s="162">
        <f>IF(B8="","",B8)</f>
        <v>1</v>
      </c>
      <c r="L8" s="131">
        <f>IFERROR((D8-C41)/E8,"")</f>
        <v>-0.34769079494414118</v>
      </c>
      <c r="M8" s="131">
        <f>IFERROR((1-3/(4*G41-1))*L8,"")</f>
        <v>-0.33212255039440353</v>
      </c>
      <c r="N8" s="133">
        <f t="shared" si="0"/>
        <v>17</v>
      </c>
      <c r="O8" s="131">
        <f>IFERROR(SQRT((G41+2)/(C8*C8)+((L8^2)/(2*(G41+2)))),"")</f>
        <v>0.24864283994989594</v>
      </c>
      <c r="P8" s="153">
        <f>IFERROR(Y18*SQRT(1/C8),"")</f>
        <v>-0.81892292082458307</v>
      </c>
      <c r="Q8" s="153">
        <f>IFERROR(Z18*SQRT(1/C8),"")</f>
        <v>0.13368691786943732</v>
      </c>
      <c r="R8" s="119"/>
      <c r="S8" s="42"/>
      <c r="T8" s="42"/>
      <c r="U8" s="42"/>
      <c r="V8" s="42"/>
      <c r="W8" s="42"/>
      <c r="X8" s="42"/>
      <c r="Y8" s="42"/>
      <c r="Z8" s="42"/>
    </row>
    <row r="9" spans="2:26" ht="14.7" thickBot="1" x14ac:dyDescent="0.6">
      <c r="B9" s="103"/>
      <c r="C9" s="103"/>
      <c r="D9" s="103"/>
      <c r="E9" s="103"/>
      <c r="F9" s="103"/>
      <c r="G9" s="103"/>
      <c r="H9" s="103"/>
      <c r="K9" s="103"/>
      <c r="L9" s="103"/>
      <c r="M9" s="103"/>
      <c r="N9" s="103"/>
      <c r="O9" s="103"/>
      <c r="P9" s="103"/>
      <c r="Q9" s="103"/>
      <c r="R9" s="119"/>
      <c r="S9" s="42"/>
      <c r="T9" s="42"/>
      <c r="U9" s="42"/>
      <c r="V9" s="42"/>
      <c r="W9" s="42"/>
      <c r="X9" s="42"/>
      <c r="Y9" s="42"/>
      <c r="Z9" s="42"/>
    </row>
    <row r="10" spans="2:26" ht="14.7" thickBot="1" x14ac:dyDescent="0.6">
      <c r="B10" s="188" t="s">
        <v>116</v>
      </c>
      <c r="C10" s="188"/>
      <c r="D10" s="188" t="s">
        <v>87</v>
      </c>
      <c r="E10" s="189" t="s">
        <v>69</v>
      </c>
      <c r="F10" s="192" t="s">
        <v>85</v>
      </c>
      <c r="G10" s="216" t="s">
        <v>86</v>
      </c>
      <c r="H10" s="216"/>
      <c r="K10" s="188" t="s">
        <v>116</v>
      </c>
      <c r="L10" s="193" t="s">
        <v>3</v>
      </c>
      <c r="M10" s="193" t="s">
        <v>25</v>
      </c>
      <c r="N10" s="193" t="str">
        <f t="shared" ref="N10" si="1">G43</f>
        <v>df</v>
      </c>
      <c r="O10" s="193" t="s">
        <v>85</v>
      </c>
      <c r="P10" s="216" t="s">
        <v>66</v>
      </c>
      <c r="Q10" s="216"/>
      <c r="R10" s="119"/>
      <c r="S10" s="42"/>
      <c r="T10" s="42"/>
      <c r="U10" s="42"/>
      <c r="V10" s="42"/>
      <c r="W10" s="42"/>
      <c r="X10" s="42"/>
      <c r="Y10" s="42"/>
      <c r="Z10" s="42"/>
    </row>
    <row r="11" spans="2:26" ht="14.7" thickBot="1" x14ac:dyDescent="0.6">
      <c r="B11" s="168" t="s">
        <v>72</v>
      </c>
      <c r="C11" s="168"/>
      <c r="D11" s="169">
        <f>IFERROR(D8-D7,"")</f>
        <v>-1.9313725490196076</v>
      </c>
      <c r="E11" s="169">
        <f>IFERROR(SQRT((E7^2*(C7-1)+E8^2*(C8-1))/G44),"")</f>
        <v>1.7061282015971735</v>
      </c>
      <c r="F11" s="169">
        <f>IFERROR(SQRT((E11^2/C7)+(E11^2/C8)),"")</f>
        <v>0.57701216673090816</v>
      </c>
      <c r="G11" s="169">
        <f>IFERROR(D11-TINV(1-$H$4/100,G44-1)*E44,"")</f>
        <v>-3.1067078710159537</v>
      </c>
      <c r="H11" s="169">
        <f>IFERROR(D11+TINV(1-$H$4/100,G44)*E44,"")</f>
        <v>-0.7574324689911871</v>
      </c>
      <c r="K11" s="183" t="str">
        <f>B11</f>
        <v>Difference</v>
      </c>
      <c r="L11" s="184">
        <f>IFERROR((D11-C44)/E11,"")</f>
        <v>-1.1320207632765076</v>
      </c>
      <c r="M11" s="184">
        <f>IFERROR((1-3/(4*G44-1))*L11,"")</f>
        <v>-1.1060966236594882</v>
      </c>
      <c r="N11" s="196">
        <f t="shared" si="0"/>
        <v>33</v>
      </c>
      <c r="O11" s="184">
        <f>IFERROR(SQRT((G44+2)/(C7*C8)+((L11^2)/(2*(G44+2)))),"")</f>
        <v>0.36426063973482242</v>
      </c>
      <c r="P11" s="185">
        <f>IFERROR(Y19*SQRT(1/C7+1/C8),"")</f>
        <v>-1.8399949473094963</v>
      </c>
      <c r="Q11" s="185">
        <f>IFERROR(Z19*SQRT(1/C7+1/C8),"")</f>
        <v>-0.40696215713558581</v>
      </c>
      <c r="R11" s="119"/>
      <c r="S11" s="42"/>
      <c r="T11" s="42"/>
      <c r="U11" s="42"/>
      <c r="V11" s="42"/>
      <c r="W11" s="42"/>
      <c r="X11" s="42"/>
      <c r="Y11" s="42"/>
      <c r="Z11" s="42"/>
    </row>
    <row r="12" spans="2:26" x14ac:dyDescent="0.55000000000000004">
      <c r="B12" s="40"/>
      <c r="C12" s="40"/>
      <c r="D12" s="40"/>
      <c r="E12" s="40"/>
      <c r="F12" s="40"/>
      <c r="G12" s="40"/>
      <c r="H12" s="40"/>
      <c r="K12" s="59"/>
      <c r="L12" s="59"/>
      <c r="M12" s="59"/>
      <c r="N12" s="59"/>
      <c r="O12" s="59"/>
      <c r="P12" s="59"/>
      <c r="Q12" s="59"/>
      <c r="R12" s="119"/>
      <c r="S12" s="42"/>
      <c r="T12" s="42"/>
      <c r="U12" s="42"/>
      <c r="V12" s="42"/>
      <c r="W12" s="42"/>
      <c r="X12" s="42"/>
      <c r="Y12" s="42"/>
      <c r="Z12" s="42"/>
    </row>
    <row r="13" spans="2:26" x14ac:dyDescent="0.55000000000000004">
      <c r="R13" s="119"/>
      <c r="S13" s="42"/>
      <c r="T13" s="42"/>
      <c r="U13" s="42"/>
      <c r="V13" s="42"/>
      <c r="W13" s="42"/>
      <c r="X13" s="42"/>
      <c r="Y13" s="42"/>
      <c r="Z13" s="42"/>
    </row>
    <row r="14" spans="2:26" ht="15.6" x14ac:dyDescent="0.6">
      <c r="B14" s="60" t="s">
        <v>119</v>
      </c>
      <c r="G14" s="99" t="s">
        <v>110</v>
      </c>
      <c r="H14" s="175">
        <v>1</v>
      </c>
      <c r="K14" s="60" t="s">
        <v>119</v>
      </c>
      <c r="P14" s="99" t="s">
        <v>110</v>
      </c>
      <c r="Q14" s="175">
        <v>0.5</v>
      </c>
      <c r="S14" s="42"/>
      <c r="T14" s="8" t="s">
        <v>23</v>
      </c>
      <c r="U14" s="42"/>
      <c r="V14" s="42"/>
      <c r="W14" s="42"/>
      <c r="X14" s="42"/>
      <c r="Y14" s="42"/>
      <c r="Z14" s="42"/>
    </row>
    <row r="15" spans="2:26" ht="14.7" thickBot="1" x14ac:dyDescent="0.6">
      <c r="B15" s="37"/>
      <c r="C15" s="37"/>
      <c r="D15" s="37"/>
      <c r="E15" s="37"/>
      <c r="K15" s="37"/>
      <c r="L15" s="37"/>
      <c r="M15" s="37"/>
      <c r="N15" s="37"/>
      <c r="S15" s="42"/>
      <c r="T15" s="42"/>
      <c r="U15" s="42"/>
      <c r="V15" s="42"/>
      <c r="W15" s="42"/>
      <c r="X15" s="42"/>
      <c r="Y15" s="42"/>
      <c r="Z15" s="42"/>
    </row>
    <row r="16" spans="2:26" ht="14.7" thickBot="1" x14ac:dyDescent="0.6">
      <c r="B16" s="156" t="s">
        <v>81</v>
      </c>
      <c r="C16" s="89"/>
      <c r="D16" s="89"/>
      <c r="E16" s="89"/>
      <c r="F16" s="156" t="s">
        <v>80</v>
      </c>
      <c r="G16" s="89"/>
      <c r="H16" s="107">
        <f>IF(H14="",H32,H14)</f>
        <v>1</v>
      </c>
      <c r="K16" s="156" t="s">
        <v>81</v>
      </c>
      <c r="L16" s="89"/>
      <c r="M16" s="89"/>
      <c r="N16" s="89"/>
      <c r="O16" s="156" t="s">
        <v>80</v>
      </c>
      <c r="P16" s="89"/>
      <c r="Q16" s="107">
        <f>IF(Q14="",Q32,Q14)</f>
        <v>0.5</v>
      </c>
      <c r="S16" s="42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2:26" x14ac:dyDescent="0.55000000000000004">
      <c r="B17" s="43" t="s">
        <v>0</v>
      </c>
      <c r="C17" s="43" t="s">
        <v>79</v>
      </c>
      <c r="D17" s="43" t="s">
        <v>76</v>
      </c>
      <c r="E17" s="89"/>
      <c r="F17" s="107" t="s">
        <v>36</v>
      </c>
      <c r="G17" s="107" t="s">
        <v>79</v>
      </c>
      <c r="H17" s="107" t="s">
        <v>76</v>
      </c>
      <c r="K17" s="43" t="s">
        <v>0</v>
      </c>
      <c r="L17" s="43" t="s">
        <v>79</v>
      </c>
      <c r="M17" s="43" t="s">
        <v>76</v>
      </c>
      <c r="N17" s="89"/>
      <c r="O17" s="107" t="s">
        <v>36</v>
      </c>
      <c r="P17" s="107" t="s">
        <v>79</v>
      </c>
      <c r="Q17" s="107" t="s">
        <v>76</v>
      </c>
      <c r="S17" s="135"/>
      <c r="T17" s="123">
        <f>EXP(((LN(2)-LN(G40))/2)+GAMMALN((G40+1)/2)-GAMMALN(G40/2))</f>
        <v>0.98450640547183288</v>
      </c>
      <c r="U17" s="123">
        <f>T17*F40</f>
        <v>3.544779071899216</v>
      </c>
      <c r="V17" s="123">
        <f>1+(F40^2)*(1-T17^2)</f>
        <v>1.398607939663715</v>
      </c>
      <c r="W17" s="123">
        <f>(2*U17^3)-((2*G40-1)/G40)*(F40^2*U17)</f>
        <v>4.6217835148794961E-2</v>
      </c>
      <c r="X17" s="136">
        <f>W17/SQRT(V17)^3</f>
        <v>2.7942522879091911E-2</v>
      </c>
      <c r="Y17" s="137">
        <f t="shared" ref="Y17:Z19" si="2">IF($X17&lt;0.001,Y27,Y22)</f>
        <v>1.2425607448299019</v>
      </c>
      <c r="Z17" s="137">
        <f t="shared" si="2"/>
        <v>5.8782961945816083</v>
      </c>
    </row>
    <row r="18" spans="2:26" x14ac:dyDescent="0.55000000000000004">
      <c r="B18" s="43">
        <v>1.1000000000000001</v>
      </c>
      <c r="C18" s="107">
        <f>IF(H7="",NA(),H7)</f>
        <v>6.0093270401095964</v>
      </c>
      <c r="D18" s="107">
        <f t="shared" ref="D18:D23" si="3">C18</f>
        <v>6.0093270401095964</v>
      </c>
      <c r="E18" s="89"/>
      <c r="F18" s="107">
        <v>3.15</v>
      </c>
      <c r="G18" s="107" t="e">
        <f>IF(G19&gt;$F$31,NA(),G19+$H$16)</f>
        <v>#N/A</v>
      </c>
      <c r="H18" s="107" t="e">
        <f t="shared" ref="H18:H21" si="4">G18-$G$23</f>
        <v>#N/A</v>
      </c>
      <c r="I18" s="140"/>
      <c r="K18" s="43">
        <v>1.1000000000000001</v>
      </c>
      <c r="L18" s="107">
        <f>IF(Q7="",NA(),Q7)</f>
        <v>1.425696241701548</v>
      </c>
      <c r="M18" s="107">
        <f t="shared" ref="M18:M23" si="5">L18</f>
        <v>1.425696241701548</v>
      </c>
      <c r="N18" s="89"/>
      <c r="O18" s="107">
        <v>3.15</v>
      </c>
      <c r="P18" s="107" t="e">
        <f>IF(P19&gt;$O$31,NA(),P19+$Q$16)</f>
        <v>#N/A</v>
      </c>
      <c r="Q18" s="107" t="e">
        <f t="shared" ref="Q18:Q28" si="6">P18-$P$23</f>
        <v>#N/A</v>
      </c>
      <c r="R18" s="140"/>
      <c r="S18" s="42"/>
      <c r="T18" s="127">
        <f>EXP(((LN(2)-LN(G41))/2)+GAMMALN((G41+1)/2)-GAMMALN(G41/2))</f>
        <v>0.98541004380808173</v>
      </c>
      <c r="U18" s="127">
        <f>T18*F41</f>
        <v>-1.4536050732082462</v>
      </c>
      <c r="V18" s="127">
        <f>1+(F41^2)*(1-T18^2)</f>
        <v>1.0630322911432482</v>
      </c>
      <c r="W18" s="127">
        <f>(2*U18^3)-((2*G41-1)/G41)*(F41^2*U18)</f>
        <v>-2.8133330071273832E-3</v>
      </c>
      <c r="X18" s="136">
        <f>W18/SQRT(V18)^3</f>
        <v>-2.5668557070804821E-3</v>
      </c>
      <c r="Y18" s="137">
        <f t="shared" si="2"/>
        <v>-3.4743957035049413</v>
      </c>
      <c r="Z18" s="137">
        <f t="shared" si="2"/>
        <v>0.56718555708844898</v>
      </c>
    </row>
    <row r="19" spans="2:26" ht="14.7" thickBot="1" x14ac:dyDescent="0.6">
      <c r="B19" s="43">
        <v>1.1000000000000001</v>
      </c>
      <c r="C19" s="107">
        <f>IF(D7="",NA(),D7)</f>
        <v>5.2647058823529411</v>
      </c>
      <c r="D19" s="107">
        <f t="shared" si="3"/>
        <v>5.2647058823529411</v>
      </c>
      <c r="E19" s="89"/>
      <c r="F19" s="107">
        <v>3.15</v>
      </c>
      <c r="G19" s="107" t="e">
        <f>IF(G20&gt;$F$31,NA(),G20+$H$16)</f>
        <v>#N/A</v>
      </c>
      <c r="H19" s="107" t="e">
        <f t="shared" si="4"/>
        <v>#N/A</v>
      </c>
      <c r="I19" s="140"/>
      <c r="K19" s="43">
        <v>1.1000000000000001</v>
      </c>
      <c r="L19" s="107">
        <f>IF(M7="",NA(),M7)</f>
        <v>0.83168116679289616</v>
      </c>
      <c r="M19" s="107">
        <f t="shared" si="5"/>
        <v>0.83168116679289616</v>
      </c>
      <c r="N19" s="89"/>
      <c r="O19" s="107">
        <v>3.15</v>
      </c>
      <c r="P19" s="107" t="e">
        <f>IF(P20&gt;$O$31,NA(),P20+$Q$16)</f>
        <v>#N/A</v>
      </c>
      <c r="Q19" s="107" t="e">
        <f t="shared" si="6"/>
        <v>#N/A</v>
      </c>
      <c r="R19" s="140"/>
      <c r="S19" s="42"/>
      <c r="T19" s="127">
        <f>EXP(((LN(2)-LN(G44))/2)+GAMMALN((G44+1)/2)-GAMMALN(G44/2))</f>
        <v>0.99245401557013657</v>
      </c>
      <c r="U19" s="127">
        <f>T19*F44</f>
        <v>-3.3219376511524175</v>
      </c>
      <c r="V19" s="127">
        <f>1+(F44^2)*(1-T19^2)</f>
        <v>1.16844820178947</v>
      </c>
      <c r="W19" s="127">
        <f>(2*U19^3)-((2*G44-1)/G44)*(F44^2*U19)</f>
        <v>-8.670925867690471E-3</v>
      </c>
      <c r="X19" s="136">
        <f>W19/SQRT(V19)^3</f>
        <v>-6.8651696903010385E-3</v>
      </c>
      <c r="Y19" s="137">
        <f t="shared" si="2"/>
        <v>-5.4405564586041848</v>
      </c>
      <c r="Z19" s="137">
        <f t="shared" si="2"/>
        <v>-1.2033188437006506</v>
      </c>
    </row>
    <row r="20" spans="2:26" ht="14.7" thickBot="1" x14ac:dyDescent="0.6">
      <c r="B20" s="43">
        <v>1.1000000000000001</v>
      </c>
      <c r="C20" s="107">
        <f>IF(G7="",NA(),G7)</f>
        <v>4.5200847245962859</v>
      </c>
      <c r="D20" s="107">
        <f t="shared" si="3"/>
        <v>4.5200847245962859</v>
      </c>
      <c r="E20" s="89"/>
      <c r="F20" s="107">
        <v>3.15</v>
      </c>
      <c r="G20" s="107" t="e">
        <f t="shared" ref="G20:G22" si="7">IF(G21&gt;$F$31,NA(),G21+$H$16)</f>
        <v>#N/A</v>
      </c>
      <c r="H20" s="107" t="e">
        <f t="shared" si="4"/>
        <v>#N/A</v>
      </c>
      <c r="I20" s="107"/>
      <c r="K20" s="43">
        <v>1.1000000000000001</v>
      </c>
      <c r="L20" s="107">
        <f>IF(P7="",NA(),P7)</f>
        <v>0.3013652468929317</v>
      </c>
      <c r="M20" s="107">
        <f t="shared" si="5"/>
        <v>0.3013652468929317</v>
      </c>
      <c r="N20" s="89"/>
      <c r="O20" s="107">
        <v>3.15</v>
      </c>
      <c r="P20" s="107" t="e">
        <f>IF(P21&gt;$O$31,NA(),P21+$Q$16)</f>
        <v>#N/A</v>
      </c>
      <c r="Q20" s="107" t="e">
        <f t="shared" si="6"/>
        <v>#N/A</v>
      </c>
      <c r="R20" s="107"/>
      <c r="S20" s="42"/>
      <c r="T20" s="138"/>
      <c r="U20" s="138"/>
      <c r="V20" s="138"/>
      <c r="W20" s="138"/>
      <c r="X20" s="138"/>
      <c r="Y20" s="138"/>
      <c r="Z20" s="138"/>
    </row>
    <row r="21" spans="2:26" ht="14.7" thickBot="1" x14ac:dyDescent="0.6">
      <c r="B21" s="43">
        <v>2.1</v>
      </c>
      <c r="C21" s="107">
        <f>IF(H8="",NA(),H8)</f>
        <v>4.2868401233589877</v>
      </c>
      <c r="D21" s="107">
        <f t="shared" si="3"/>
        <v>4.2868401233589877</v>
      </c>
      <c r="E21" s="89"/>
      <c r="F21" s="107">
        <v>3.15</v>
      </c>
      <c r="G21" s="107" t="e">
        <f t="shared" si="7"/>
        <v>#N/A</v>
      </c>
      <c r="H21" s="107" t="e">
        <f t="shared" si="4"/>
        <v>#N/A</v>
      </c>
      <c r="I21" s="107"/>
      <c r="K21" s="43">
        <v>2.1</v>
      </c>
      <c r="L21" s="107">
        <f>IF(Q8="",NA(),Q8)</f>
        <v>0.13368691786943732</v>
      </c>
      <c r="M21" s="107">
        <f t="shared" si="5"/>
        <v>0.13368691786943732</v>
      </c>
      <c r="N21" s="89"/>
      <c r="O21" s="107">
        <v>3.15</v>
      </c>
      <c r="P21" s="107">
        <f>IF(P22&gt;$O$31,NA(),P22+$Q$16)</f>
        <v>1.8316811667928961</v>
      </c>
      <c r="Q21" s="107">
        <f t="shared" si="6"/>
        <v>0.99999999999999989</v>
      </c>
      <c r="R21" s="107"/>
      <c r="S21" s="42"/>
      <c r="T21" s="76" t="s">
        <v>16</v>
      </c>
      <c r="U21" s="76" t="s">
        <v>17</v>
      </c>
      <c r="V21" s="76" t="s">
        <v>18</v>
      </c>
      <c r="W21" s="76" t="s">
        <v>19</v>
      </c>
      <c r="X21" s="76" t="s">
        <v>20</v>
      </c>
      <c r="Y21" s="76" t="s">
        <v>21</v>
      </c>
      <c r="Z21" s="76" t="s">
        <v>22</v>
      </c>
    </row>
    <row r="22" spans="2:26" x14ac:dyDescent="0.55000000000000004">
      <c r="B22" s="43">
        <v>2.1</v>
      </c>
      <c r="C22" s="107">
        <f>IF(D8="",NA(),D8)</f>
        <v>3.3333333333333335</v>
      </c>
      <c r="D22" s="107">
        <f t="shared" si="3"/>
        <v>3.3333333333333335</v>
      </c>
      <c r="E22" s="89"/>
      <c r="F22" s="107">
        <v>3.15</v>
      </c>
      <c r="G22" s="107">
        <f t="shared" si="7"/>
        <v>6.2647058823529411</v>
      </c>
      <c r="H22" s="107">
        <f>G22-$G$23</f>
        <v>1</v>
      </c>
      <c r="I22" s="107"/>
      <c r="K22" s="43">
        <v>2.1</v>
      </c>
      <c r="L22" s="107">
        <f>IF(M8="",NA(),M8)</f>
        <v>-0.33212255039440353</v>
      </c>
      <c r="M22" s="107">
        <f t="shared" si="5"/>
        <v>-0.33212255039440353</v>
      </c>
      <c r="N22" s="89"/>
      <c r="O22" s="107">
        <v>3.15</v>
      </c>
      <c r="P22" s="107">
        <f>IF(P23&gt;$O$31,NA(),P23+$Q$16)</f>
        <v>1.3316811667928961</v>
      </c>
      <c r="Q22" s="107">
        <f t="shared" si="6"/>
        <v>0.49999999999999989</v>
      </c>
      <c r="R22" s="107"/>
      <c r="S22" s="42"/>
      <c r="T22" s="123">
        <f>W17/(4*V17)</f>
        <v>8.2613993954423898E-3</v>
      </c>
      <c r="U22" s="123">
        <f>V17/(2*T22^2)</f>
        <v>10246.10392577297</v>
      </c>
      <c r="V22" s="123">
        <f>U17-(U22*T22)</f>
        <v>-81.102377706121501</v>
      </c>
      <c r="W22" s="123">
        <f>2*GAMMAINV((1-$Q$4/100)/2,U22/2,1)</f>
        <v>9967.4322120752422</v>
      </c>
      <c r="X22" s="123">
        <f>2*GAMMAINV(1-(1-$Q$4/100)/2,U22/2,1)</f>
        <v>10528.564198056833</v>
      </c>
      <c r="Y22" s="123">
        <f>IF(F40&gt;0,V22+(T22*W22),V22+(T22*X22))</f>
        <v>1.2425607448299019</v>
      </c>
      <c r="Z22" s="123">
        <f>IF(F40&gt;0,V22+(T22*X22),V22+(T22*W22))</f>
        <v>5.8782961945816083</v>
      </c>
    </row>
    <row r="23" spans="2:26" x14ac:dyDescent="0.55000000000000004">
      <c r="B23" s="43">
        <v>2.1</v>
      </c>
      <c r="C23" s="107">
        <f>IF(G8="",NA(),G8)</f>
        <v>2.3798265433076793</v>
      </c>
      <c r="D23" s="107">
        <f t="shared" si="3"/>
        <v>2.3798265433076793</v>
      </c>
      <c r="E23" s="89"/>
      <c r="F23" s="107">
        <v>3.15</v>
      </c>
      <c r="G23" s="107">
        <f>C19</f>
        <v>5.2647058823529411</v>
      </c>
      <c r="H23" s="107">
        <f>G23-$G$23</f>
        <v>0</v>
      </c>
      <c r="K23" s="43">
        <v>2.1</v>
      </c>
      <c r="L23" s="107">
        <f>IF(P8="",NA(),P8)</f>
        <v>-0.81892292082458307</v>
      </c>
      <c r="M23" s="107">
        <f t="shared" si="5"/>
        <v>-0.81892292082458307</v>
      </c>
      <c r="N23" s="89"/>
      <c r="O23" s="107">
        <v>3.15</v>
      </c>
      <c r="P23" s="107">
        <f>L19</f>
        <v>0.83168116679289616</v>
      </c>
      <c r="Q23" s="107">
        <f t="shared" si="6"/>
        <v>0</v>
      </c>
      <c r="S23" s="42"/>
      <c r="T23" s="127">
        <f>W18/(4*V18)</f>
        <v>-6.6162924460689654E-4</v>
      </c>
      <c r="U23" s="127">
        <f>V18/(2*T23^2)</f>
        <v>1214191.1834688752</v>
      </c>
      <c r="V23" s="127">
        <f>U18-(U23*T23)</f>
        <v>801.89079045365747</v>
      </c>
      <c r="W23" s="127">
        <f>2*GAMMAINV((1-$Q$4/100)/2,U23/2,1)</f>
        <v>1211138.81384239</v>
      </c>
      <c r="X23" s="127">
        <f>2*GAMMAINV(1-(1-$Q$4/100)/2,U23/2,1)</f>
        <v>1217247.3417066727</v>
      </c>
      <c r="Y23" s="127">
        <f>IF(F41&gt;0,V23+(T23*W23),V23+(T23*X23))</f>
        <v>-3.4756487394812439</v>
      </c>
      <c r="Z23" s="127">
        <f>IF(F41&gt;0,V23+(T23*X23),V23+(T23*W23))</f>
        <v>0.56593193702428835</v>
      </c>
    </row>
    <row r="24" spans="2:26" ht="14.7" thickBot="1" x14ac:dyDescent="0.6">
      <c r="B24" s="43">
        <v>2.75</v>
      </c>
      <c r="C24" s="107">
        <f>IF(H11="",NA(),H11+C25-D11)</f>
        <v>4.5072734133617534</v>
      </c>
      <c r="D24" s="107">
        <f>H11</f>
        <v>-0.7574324689911871</v>
      </c>
      <c r="E24" s="174"/>
      <c r="F24" s="107">
        <v>3.15</v>
      </c>
      <c r="G24" s="107">
        <f>IF(G23&lt;$F$32,NA(),G23-$H$16)</f>
        <v>4.2647058823529411</v>
      </c>
      <c r="H24" s="107">
        <f>G24-$G$23</f>
        <v>-1</v>
      </c>
      <c r="K24" s="43">
        <v>2.75</v>
      </c>
      <c r="L24" s="107">
        <f>IF(Q11="",NA(),Q11+L25-M11)</f>
        <v>0.36701191612949891</v>
      </c>
      <c r="M24" s="107">
        <f>Q11</f>
        <v>-0.40696215713558581</v>
      </c>
      <c r="N24" s="174"/>
      <c r="O24" s="107">
        <v>3.15</v>
      </c>
      <c r="P24" s="107">
        <f>IF(P23&lt;$O$32,NA(),P23-$Q$16)</f>
        <v>0.33168116679289616</v>
      </c>
      <c r="Q24" s="107">
        <f t="shared" si="6"/>
        <v>-0.5</v>
      </c>
      <c r="S24" s="42"/>
      <c r="T24" s="127">
        <f>W19/(4*V19)</f>
        <v>-1.8552225623718302E-3</v>
      </c>
      <c r="U24" s="127">
        <f>V19/(2*T24^2)</f>
        <v>169741.26489580504</v>
      </c>
      <c r="V24" s="127">
        <f>U19-(U24*T24)</f>
        <v>311.58588674907861</v>
      </c>
      <c r="W24" s="127">
        <f>2*GAMMAINV((1-$Q$4/100)/2,U24/2,1)</f>
        <v>168601.18482986267</v>
      </c>
      <c r="X24" s="127">
        <f>2*GAMMAINV(1-(1-$Q$4/100)/2,U24/2,1)</f>
        <v>170885.13357029876</v>
      </c>
      <c r="Y24" s="127">
        <f>IF(F44&gt;0,V24+(T24*W24),V24+(T24*X24))</f>
        <v>-5.4440686244635117</v>
      </c>
      <c r="Z24" s="127">
        <f>IF(F44&gt;0,V24+(T24*X24),V24+(T24*W24))</f>
        <v>-1.2068353899057911</v>
      </c>
    </row>
    <row r="25" spans="2:26" ht="14.7" thickBot="1" x14ac:dyDescent="0.6">
      <c r="B25" s="43">
        <v>2.75</v>
      </c>
      <c r="C25" s="107">
        <f>IF(D11="",NA(),C22)</f>
        <v>3.3333333333333335</v>
      </c>
      <c r="D25" s="107">
        <f>D11</f>
        <v>-1.9313725490196076</v>
      </c>
      <c r="E25" s="174"/>
      <c r="F25" s="107">
        <v>3.15</v>
      </c>
      <c r="G25" s="107">
        <f>IF(G24&lt;$F$32,NA(),G24-$H$16)</f>
        <v>3.2647058823529411</v>
      </c>
      <c r="H25" s="107">
        <f t="shared" ref="H25:H28" si="8">G25-$G$23</f>
        <v>-2</v>
      </c>
      <c r="K25" s="43">
        <v>2.75</v>
      </c>
      <c r="L25" s="107">
        <f>IF(M11="",NA(),L22)</f>
        <v>-0.33212255039440353</v>
      </c>
      <c r="M25" s="107">
        <f>M11</f>
        <v>-1.1060966236594882</v>
      </c>
      <c r="N25" s="174"/>
      <c r="O25" s="107">
        <v>3.15</v>
      </c>
      <c r="P25" s="107">
        <f>IF(P24&lt;$O$32,NA(),P24-$Q$16)</f>
        <v>-0.16831883320710384</v>
      </c>
      <c r="Q25" s="107">
        <f t="shared" si="6"/>
        <v>-1</v>
      </c>
      <c r="S25" s="42"/>
      <c r="T25" s="134"/>
      <c r="U25" s="134"/>
      <c r="V25" s="134"/>
      <c r="W25" s="134"/>
      <c r="X25" s="134"/>
      <c r="Y25" s="134"/>
      <c r="Z25" s="134"/>
    </row>
    <row r="26" spans="2:26" ht="14.7" thickBot="1" x14ac:dyDescent="0.6">
      <c r="B26" s="43">
        <v>2.75</v>
      </c>
      <c r="C26" s="107">
        <f>IF(G11="",NA(),G11+C25-D11)</f>
        <v>2.1579980113369874</v>
      </c>
      <c r="D26" s="107">
        <f>G11</f>
        <v>-3.1067078710159537</v>
      </c>
      <c r="E26" s="89"/>
      <c r="F26" s="107">
        <v>3.15</v>
      </c>
      <c r="G26" s="107">
        <f t="shared" ref="G26:G28" si="9">IF(G25&lt;$F$32,NA(),G25-$H$16)</f>
        <v>2.2647058823529411</v>
      </c>
      <c r="H26" s="107">
        <f t="shared" si="8"/>
        <v>-3</v>
      </c>
      <c r="K26" s="43">
        <v>2.75</v>
      </c>
      <c r="L26" s="107">
        <f>IF(P11="",NA(),P11+L25-M11)</f>
        <v>-1.0660208740444117</v>
      </c>
      <c r="M26" s="107">
        <f>P11</f>
        <v>-1.8399949473094963</v>
      </c>
      <c r="N26" s="89"/>
      <c r="O26" s="107">
        <v>3.15</v>
      </c>
      <c r="P26" s="107">
        <f>IF(P25&lt;$O$32,NA(),P25-$Q$16)</f>
        <v>-0.66831883320710384</v>
      </c>
      <c r="Q26" s="107">
        <f t="shared" si="6"/>
        <v>-1.5</v>
      </c>
      <c r="S26" s="42"/>
      <c r="T26" s="42"/>
      <c r="U26" s="42"/>
      <c r="V26" s="76" t="s">
        <v>69</v>
      </c>
      <c r="W26" s="76" t="s">
        <v>70</v>
      </c>
      <c r="X26" s="76" t="s">
        <v>71</v>
      </c>
      <c r="Y26" s="76" t="s">
        <v>21</v>
      </c>
      <c r="Z26" s="76" t="s">
        <v>22</v>
      </c>
    </row>
    <row r="27" spans="2:26" x14ac:dyDescent="0.55000000000000004">
      <c r="B27" s="89"/>
      <c r="C27" s="107"/>
      <c r="D27" s="107"/>
      <c r="E27" s="89"/>
      <c r="F27" s="107">
        <v>3.15</v>
      </c>
      <c r="G27" s="107">
        <f t="shared" si="9"/>
        <v>1.2647058823529411</v>
      </c>
      <c r="H27" s="107">
        <f t="shared" si="8"/>
        <v>-4</v>
      </c>
      <c r="K27" s="89"/>
      <c r="L27" s="107"/>
      <c r="M27" s="107"/>
      <c r="N27" s="89"/>
      <c r="O27" s="107">
        <v>3.15</v>
      </c>
      <c r="P27" s="107">
        <f>IF(P26&lt;$O$32,NA(),P26-$Q$16)</f>
        <v>-1.1683188332071039</v>
      </c>
      <c r="Q27" s="107">
        <f t="shared" si="6"/>
        <v>-2</v>
      </c>
      <c r="S27" s="42"/>
      <c r="T27" s="42"/>
      <c r="U27" s="42"/>
      <c r="V27" s="139">
        <f>SQRT(V17)</f>
        <v>1.1826275574599616</v>
      </c>
      <c r="W27" s="139">
        <f>NORMINV((1-$Q$4/100)/2,0,1)</f>
        <v>-1.9599639845400536</v>
      </c>
      <c r="X27" s="139">
        <f>NORMINV(1-(1-$Q$4/100)/2,0,1)</f>
        <v>1.9599639845400536</v>
      </c>
      <c r="Y27" s="139">
        <f>U17+W27*V27</f>
        <v>1.2268716521531187</v>
      </c>
      <c r="Z27" s="139">
        <f>U17+X27*V27</f>
        <v>5.862686491645313</v>
      </c>
    </row>
    <row r="28" spans="2:26" x14ac:dyDescent="0.55000000000000004">
      <c r="B28" s="89"/>
      <c r="C28" s="89"/>
      <c r="D28" s="107"/>
      <c r="E28" s="89"/>
      <c r="F28" s="107">
        <v>3.15</v>
      </c>
      <c r="G28" s="107" t="e">
        <f t="shared" si="9"/>
        <v>#N/A</v>
      </c>
      <c r="H28" s="107" t="e">
        <f t="shared" si="8"/>
        <v>#N/A</v>
      </c>
      <c r="I28" s="107"/>
      <c r="K28" s="89"/>
      <c r="L28" s="89"/>
      <c r="M28" s="107"/>
      <c r="N28" s="89"/>
      <c r="O28" s="107">
        <v>3.15</v>
      </c>
      <c r="P28" s="107" t="e">
        <f>IF(P27&lt;$O$32,NA(),P27-$Q$16)</f>
        <v>#N/A</v>
      </c>
      <c r="Q28" s="107" t="e">
        <f t="shared" si="6"/>
        <v>#N/A</v>
      </c>
      <c r="R28" s="107"/>
      <c r="S28" s="42"/>
      <c r="T28" s="42"/>
      <c r="U28" s="42"/>
      <c r="V28" s="139">
        <f>SQRT(V18)</f>
        <v>1.0310345732046273</v>
      </c>
      <c r="W28" s="139">
        <f>NORMINV((1-$Q$4/100)/2,0,1)</f>
        <v>-1.9599639845400536</v>
      </c>
      <c r="X28" s="139">
        <f>NORMINV(1-(1-$Q$4/100)/2,0,1)</f>
        <v>1.9599639845400536</v>
      </c>
      <c r="Y28" s="139">
        <f>U18+W28*V28</f>
        <v>-3.4743957035049413</v>
      </c>
      <c r="Z28" s="139">
        <f>U18+X28*V28</f>
        <v>0.56718555708844898</v>
      </c>
    </row>
    <row r="29" spans="2:26" ht="14.7" thickBot="1" x14ac:dyDescent="0.6">
      <c r="B29" s="89"/>
      <c r="C29" s="89"/>
      <c r="D29" s="107"/>
      <c r="E29" s="89"/>
      <c r="F29" s="89"/>
      <c r="G29" s="89"/>
      <c r="H29" s="89"/>
      <c r="K29" s="89"/>
      <c r="L29" s="89"/>
      <c r="M29" s="107"/>
      <c r="N29" s="89"/>
      <c r="O29" s="89"/>
      <c r="P29" s="89"/>
      <c r="Q29" s="89"/>
      <c r="S29" s="42"/>
      <c r="T29" s="42"/>
      <c r="U29" s="42"/>
      <c r="V29" s="139">
        <f>SQRT(V19)</f>
        <v>1.080947825655554</v>
      </c>
      <c r="W29" s="139">
        <f>NORMINV((1-$Q$4/100)/2,0,1)</f>
        <v>-1.9599639845400536</v>
      </c>
      <c r="X29" s="139">
        <f>NORMINV(1-(1-$Q$4/100)/2,0,1)</f>
        <v>1.9599639845400536</v>
      </c>
      <c r="Y29" s="139">
        <f>U19+W29*V29</f>
        <v>-5.4405564586041848</v>
      </c>
      <c r="Z29" s="139">
        <f>U19+X29*V29</f>
        <v>-1.2033188437006506</v>
      </c>
    </row>
    <row r="30" spans="2:26" x14ac:dyDescent="0.55000000000000004">
      <c r="B30" s="173" t="s">
        <v>82</v>
      </c>
      <c r="C30" s="89"/>
      <c r="D30" s="89"/>
      <c r="E30" s="89"/>
      <c r="F30" s="89" t="s">
        <v>84</v>
      </c>
      <c r="G30" s="89"/>
      <c r="H30" s="89"/>
      <c r="K30" s="173" t="s">
        <v>82</v>
      </c>
      <c r="L30" s="89"/>
      <c r="M30" s="89"/>
      <c r="N30" s="89"/>
      <c r="O30" s="89" t="s">
        <v>84</v>
      </c>
      <c r="P30" s="89"/>
      <c r="Q30" s="89"/>
      <c r="S30" s="42"/>
      <c r="T30" s="42"/>
      <c r="U30" s="42"/>
      <c r="V30" s="134"/>
      <c r="W30" s="134"/>
      <c r="X30" s="134"/>
      <c r="Y30" s="134"/>
      <c r="Z30" s="134"/>
    </row>
    <row r="31" spans="2:26" x14ac:dyDescent="0.55000000000000004">
      <c r="B31" s="43">
        <v>1.1000000000000001</v>
      </c>
      <c r="C31" s="107">
        <f>C19</f>
        <v>5.2647058823529411</v>
      </c>
      <c r="D31" s="43">
        <v>2.1</v>
      </c>
      <c r="E31" s="107">
        <f>C22</f>
        <v>3.3333333333333335</v>
      </c>
      <c r="F31" s="107">
        <f>MAX(C$18:C$26)</f>
        <v>6.0093270401095964</v>
      </c>
      <c r="G31" s="107">
        <f>IF(F31-F32=0,1,F31-F32)</f>
        <v>3.851329028772609</v>
      </c>
      <c r="H31" s="107">
        <f>ROUNDUP(G31/G32,0)</f>
        <v>4</v>
      </c>
      <c r="K31" s="43">
        <v>1.1000000000000001</v>
      </c>
      <c r="L31" s="107">
        <f>L19</f>
        <v>0.83168116679289616</v>
      </c>
      <c r="M31" s="43">
        <v>2.1</v>
      </c>
      <c r="N31" s="107">
        <f>L22</f>
        <v>-0.33212255039440353</v>
      </c>
      <c r="O31" s="107">
        <f>MAX(L$18:L$26)</f>
        <v>1.425696241701548</v>
      </c>
      <c r="P31" s="107">
        <f>IF(O31-O32=0,1,O31-O32)</f>
        <v>2.4917171157459599</v>
      </c>
      <c r="Q31" s="107">
        <f>ROUNDUP(P31/P32,0)</f>
        <v>3</v>
      </c>
      <c r="S31" s="42"/>
      <c r="T31" s="42"/>
      <c r="U31" s="42"/>
    </row>
    <row r="32" spans="2:26" x14ac:dyDescent="0.55000000000000004">
      <c r="B32" s="43">
        <v>3.15</v>
      </c>
      <c r="C32" s="107">
        <f>C19</f>
        <v>5.2647058823529411</v>
      </c>
      <c r="D32" s="43">
        <v>3.15</v>
      </c>
      <c r="E32" s="107">
        <f>C22</f>
        <v>3.3333333333333335</v>
      </c>
      <c r="F32" s="107">
        <f>MIN(C$18:C$26)</f>
        <v>2.1579980113369874</v>
      </c>
      <c r="G32" s="107">
        <f>POWER(10,INT(LOG10(G31)))</f>
        <v>1</v>
      </c>
      <c r="H32" s="107">
        <f>CHOOSE(H31,10,5,5,2,2,2,2,1,1,1)</f>
        <v>2</v>
      </c>
      <c r="K32" s="43">
        <v>3.15</v>
      </c>
      <c r="L32" s="107">
        <f>L19</f>
        <v>0.83168116679289616</v>
      </c>
      <c r="M32" s="43">
        <v>3.15</v>
      </c>
      <c r="N32" s="107">
        <f>L22</f>
        <v>-0.33212255039440353</v>
      </c>
      <c r="O32" s="107">
        <f>MIN(L$18:L$26)</f>
        <v>-1.0660208740444117</v>
      </c>
      <c r="P32" s="107">
        <f>POWER(10,INT(LOG10(P31)))</f>
        <v>1</v>
      </c>
      <c r="Q32" s="107">
        <f>CHOOSE(Q31,1,0.5,0.5,0.2,0.2,0.2,0.2,0.1,0.1,0.1)</f>
        <v>0.5</v>
      </c>
      <c r="S32" s="42"/>
    </row>
    <row r="33" spans="2:26" x14ac:dyDescent="0.55000000000000004">
      <c r="B33" s="43"/>
      <c r="C33" s="107"/>
      <c r="D33" s="43"/>
      <c r="E33" s="107"/>
      <c r="F33" s="89"/>
      <c r="G33" s="89"/>
      <c r="H33" s="89"/>
      <c r="K33" s="43"/>
      <c r="L33" s="107"/>
      <c r="M33" s="43"/>
      <c r="N33" s="107"/>
      <c r="O33" s="89"/>
      <c r="P33" s="89"/>
      <c r="Q33" s="89"/>
      <c r="S33" s="42"/>
    </row>
    <row r="34" spans="2:26" x14ac:dyDescent="0.55000000000000004">
      <c r="B34" s="43"/>
      <c r="C34" s="107"/>
      <c r="D34" s="43"/>
      <c r="E34" s="107"/>
      <c r="F34" s="107"/>
      <c r="G34" s="107"/>
      <c r="H34" s="37"/>
      <c r="K34" s="43"/>
      <c r="L34" s="107"/>
      <c r="M34" s="43"/>
      <c r="N34" s="107"/>
      <c r="O34" s="107">
        <f>MAX($C$18:$C$26)</f>
        <v>6.0093270401095964</v>
      </c>
      <c r="P34" s="107">
        <f>IF(O34-O35=0,1,O34-O35)</f>
        <v>3.851329028772609</v>
      </c>
      <c r="Q34" s="37">
        <f>P34/9</f>
        <v>0.427925447641401</v>
      </c>
      <c r="S34" s="42"/>
      <c r="T34" s="42"/>
      <c r="U34" s="42"/>
      <c r="V34" s="42"/>
      <c r="W34" s="42"/>
      <c r="X34" s="42"/>
      <c r="Y34" s="42"/>
      <c r="Z34" s="42"/>
    </row>
    <row r="35" spans="2:26" x14ac:dyDescent="0.55000000000000004">
      <c r="B35" s="43"/>
      <c r="C35" s="107"/>
      <c r="D35" s="43"/>
      <c r="E35" s="107"/>
      <c r="F35" s="107"/>
      <c r="G35" s="37"/>
      <c r="H35" s="37"/>
      <c r="K35" s="43"/>
      <c r="L35" s="107"/>
      <c r="M35" s="43"/>
      <c r="N35" s="107"/>
      <c r="O35" s="107">
        <f>MIN($C$18:$C$26)</f>
        <v>2.1579980113369874</v>
      </c>
      <c r="P35" s="37">
        <f>O34+P34/20</f>
        <v>6.2018934915482271</v>
      </c>
      <c r="Q35" s="37">
        <f>ROUNDUP(Q34,0)</f>
        <v>1</v>
      </c>
      <c r="S35" s="42"/>
      <c r="T35" s="42"/>
      <c r="U35" s="42"/>
      <c r="V35" s="42"/>
      <c r="W35" s="42"/>
      <c r="X35" s="42"/>
      <c r="Y35" s="42"/>
      <c r="Z35" s="42"/>
    </row>
    <row r="36" spans="2:26" x14ac:dyDescent="0.55000000000000004">
      <c r="B36" s="43"/>
      <c r="C36" s="107"/>
      <c r="D36" s="43"/>
      <c r="E36" s="107"/>
      <c r="F36" s="107"/>
      <c r="G36" s="37"/>
      <c r="H36" s="37"/>
      <c r="K36" s="43"/>
      <c r="L36" s="107"/>
      <c r="M36" s="43"/>
      <c r="N36" s="107"/>
      <c r="O36" s="107"/>
      <c r="P36" s="37"/>
      <c r="Q36" s="37"/>
      <c r="S36" s="42"/>
      <c r="T36" s="42"/>
      <c r="U36" s="42"/>
      <c r="V36" s="42"/>
      <c r="W36" s="42"/>
      <c r="X36" s="42"/>
      <c r="Y36" s="42"/>
      <c r="Z36" s="42"/>
    </row>
    <row r="37" spans="2:26" ht="15.6" x14ac:dyDescent="0.6">
      <c r="B37" s="60" t="s">
        <v>118</v>
      </c>
      <c r="K37" s="60" t="s">
        <v>120</v>
      </c>
      <c r="L37" s="118"/>
      <c r="M37" s="118"/>
      <c r="N37" s="118"/>
      <c r="O37" s="118"/>
      <c r="P37" s="118"/>
      <c r="Q37" s="118"/>
      <c r="R37" s="119"/>
      <c r="S37" s="42"/>
      <c r="T37" s="119"/>
      <c r="U37" s="119"/>
      <c r="V37" s="119"/>
      <c r="W37" s="119"/>
      <c r="X37" s="119"/>
      <c r="Y37" s="119"/>
      <c r="Z37" s="119"/>
    </row>
    <row r="38" spans="2:26" ht="14.7" thickBot="1" x14ac:dyDescent="0.6">
      <c r="K38" s="118"/>
      <c r="L38" s="118"/>
      <c r="M38" s="118"/>
      <c r="N38" s="118"/>
      <c r="O38" s="118"/>
      <c r="P38" s="118"/>
      <c r="Q38" s="118"/>
      <c r="R38" s="119"/>
      <c r="S38" s="42"/>
      <c r="T38" s="119"/>
      <c r="U38" s="119"/>
      <c r="V38" s="119"/>
      <c r="W38" s="119"/>
      <c r="X38" s="119"/>
      <c r="Y38" s="119"/>
      <c r="Z38" s="119"/>
    </row>
    <row r="39" spans="2:26" ht="14.7" thickBot="1" x14ac:dyDescent="0.6">
      <c r="B39" s="158" t="s">
        <v>0</v>
      </c>
      <c r="C39" s="141" t="s">
        <v>37</v>
      </c>
      <c r="D39" s="141" t="s">
        <v>54</v>
      </c>
      <c r="E39" s="141" t="s">
        <v>85</v>
      </c>
      <c r="F39" s="141" t="s">
        <v>11</v>
      </c>
      <c r="G39" s="141" t="s">
        <v>2</v>
      </c>
      <c r="H39" s="141" t="s">
        <v>53</v>
      </c>
      <c r="K39" s="192" t="s">
        <v>0</v>
      </c>
      <c r="L39" s="182" t="s">
        <v>41</v>
      </c>
      <c r="M39" s="118"/>
      <c r="N39" s="118"/>
      <c r="O39" s="118"/>
      <c r="P39" s="118"/>
      <c r="Q39" s="118"/>
      <c r="R39" s="119"/>
      <c r="S39" s="42"/>
      <c r="T39" s="119"/>
      <c r="U39" s="119"/>
      <c r="V39" s="119"/>
      <c r="W39" s="119"/>
      <c r="X39" s="119"/>
      <c r="Y39" s="119"/>
      <c r="Z39" s="119"/>
    </row>
    <row r="40" spans="2:26" x14ac:dyDescent="0.55000000000000004">
      <c r="B40" s="69">
        <f>IF(B7="","",B7)</f>
        <v>2</v>
      </c>
      <c r="C40" s="171">
        <v>4</v>
      </c>
      <c r="D40" s="36">
        <f>IFERROR(D7-C40,"")</f>
        <v>1.2647058823529411</v>
      </c>
      <c r="E40" s="36">
        <f>IFERROR(E7/SQRT(C7),"")</f>
        <v>0.35125208566165256</v>
      </c>
      <c r="F40" s="36">
        <f>IFERROR(D40/E40,"")</f>
        <v>3.6005647624002521</v>
      </c>
      <c r="G40" s="75">
        <f>IF(C7&lt;&gt;"",C7-1,"")</f>
        <v>16</v>
      </c>
      <c r="H40" s="36">
        <f>IFERROR(IF(TDIST(ABS(F40),G40,2)&lt;0.001,"&lt; 0.001",TDIST(ABS(F40),G40,2)),"")</f>
        <v>2.3963521560886191E-3</v>
      </c>
      <c r="K40" s="69">
        <f>K7</f>
        <v>2</v>
      </c>
      <c r="L40" s="194" t="s">
        <v>121</v>
      </c>
      <c r="M40" s="118"/>
      <c r="N40" s="118"/>
      <c r="O40" s="118"/>
      <c r="P40" s="118"/>
      <c r="Q40" s="118"/>
      <c r="R40" s="119"/>
      <c r="S40" s="42"/>
      <c r="T40" s="119"/>
      <c r="U40" s="119"/>
      <c r="V40" s="119"/>
      <c r="W40" s="119"/>
      <c r="X40" s="119"/>
      <c r="Y40" s="119"/>
      <c r="Z40" s="119"/>
    </row>
    <row r="41" spans="2:26" ht="14.7" thickBot="1" x14ac:dyDescent="0.6">
      <c r="B41" s="113">
        <f>IF(B8="","",B8)</f>
        <v>1</v>
      </c>
      <c r="C41" s="172">
        <v>4</v>
      </c>
      <c r="D41" s="64">
        <f>IFERROR(D8-C41,"")</f>
        <v>-0.66666666666666652</v>
      </c>
      <c r="E41" s="64">
        <f>IFERROR(E8/SQRT(C8),"")</f>
        <v>0.45193845378886705</v>
      </c>
      <c r="F41" s="64">
        <f t="shared" ref="F41:F44" si="10">IFERROR(D41/E41,"")</f>
        <v>-1.4751271131668615</v>
      </c>
      <c r="G41" s="114">
        <f>IF(C8&lt;&gt;"",C8-1,"")</f>
        <v>17</v>
      </c>
      <c r="H41" s="64">
        <f>IFERROR(IF(TDIST(ABS(F41),G41,2)&lt;0.001,"&lt; 0.001",TDIST(ABS(F41),G41,2)),"")</f>
        <v>0.15845852572175073</v>
      </c>
      <c r="K41" s="113">
        <f>K8</f>
        <v>1</v>
      </c>
      <c r="L41" s="195" t="s">
        <v>121</v>
      </c>
      <c r="M41" s="118"/>
      <c r="N41" s="118"/>
      <c r="O41" s="118"/>
      <c r="P41" s="118"/>
      <c r="Q41" s="118"/>
      <c r="R41" s="119"/>
      <c r="S41" s="42"/>
      <c r="T41" s="119"/>
      <c r="U41" s="119"/>
      <c r="V41" s="119"/>
      <c r="W41" s="119"/>
      <c r="X41" s="119"/>
      <c r="Y41" s="119"/>
      <c r="Z41" s="119"/>
    </row>
    <row r="42" spans="2:26" ht="14.7" thickBot="1" x14ac:dyDescent="0.6">
      <c r="B42" s="40"/>
      <c r="C42" s="103"/>
      <c r="D42" s="40"/>
      <c r="E42" s="40"/>
      <c r="F42" s="40"/>
      <c r="G42" s="40"/>
      <c r="H42" s="40"/>
      <c r="K42" s="40"/>
      <c r="L42" s="9"/>
      <c r="M42" s="118"/>
      <c r="N42" s="118"/>
      <c r="O42" s="118"/>
      <c r="P42" s="118"/>
      <c r="Q42" s="118"/>
      <c r="R42" s="119"/>
      <c r="S42" s="42"/>
      <c r="T42" s="119"/>
      <c r="U42" s="119"/>
      <c r="V42" s="119"/>
      <c r="W42" s="119"/>
      <c r="X42" s="119"/>
      <c r="Y42" s="119"/>
      <c r="Z42" s="119"/>
    </row>
    <row r="43" spans="2:26" ht="14.7" thickBot="1" x14ac:dyDescent="0.6">
      <c r="B43" s="189" t="s">
        <v>116</v>
      </c>
      <c r="C43" s="188" t="s">
        <v>37</v>
      </c>
      <c r="D43" s="189" t="s">
        <v>54</v>
      </c>
      <c r="E43" s="189" t="s">
        <v>85</v>
      </c>
      <c r="F43" s="189" t="s">
        <v>11</v>
      </c>
      <c r="G43" s="189" t="s">
        <v>2</v>
      </c>
      <c r="H43" s="189" t="s">
        <v>53</v>
      </c>
      <c r="K43" s="192" t="s">
        <v>116</v>
      </c>
      <c r="L43" s="90" t="s">
        <v>41</v>
      </c>
      <c r="M43" s="118"/>
      <c r="N43" s="118"/>
      <c r="O43" s="118"/>
      <c r="P43" s="118"/>
      <c r="Q43" s="118"/>
      <c r="R43" s="119"/>
      <c r="S43" s="42"/>
      <c r="T43" s="119"/>
      <c r="U43" s="119"/>
      <c r="V43" s="119"/>
      <c r="W43" s="119"/>
      <c r="X43" s="119"/>
      <c r="Y43" s="119"/>
      <c r="Z43" s="119"/>
    </row>
    <row r="44" spans="2:26" ht="14.7" thickBot="1" x14ac:dyDescent="0.6">
      <c r="B44" s="168" t="s">
        <v>72</v>
      </c>
      <c r="C44" s="178">
        <v>0</v>
      </c>
      <c r="D44" s="169">
        <f>IFERROR(D11-C44,"")</f>
        <v>-1.9313725490196076</v>
      </c>
      <c r="E44" s="169">
        <f>IFERROR(SQRT((E11^2/C7)+(E11^2/C8)),"")</f>
        <v>0.57701216673090816</v>
      </c>
      <c r="F44" s="169">
        <f t="shared" si="10"/>
        <v>-3.3471955365549695</v>
      </c>
      <c r="G44" s="170">
        <f>IFERROR(C7+C8-2,"")</f>
        <v>33</v>
      </c>
      <c r="H44" s="169">
        <f>IFERROR(IF(TDIST(ABS(F44),G44,2)&lt;0.001,"&lt; 0.001",TDIST(ABS(F44),G44,2)),"")</f>
        <v>2.0497180219682032E-3</v>
      </c>
      <c r="K44" s="168" t="s">
        <v>72</v>
      </c>
      <c r="L44" s="195" t="s">
        <v>121</v>
      </c>
      <c r="M44" s="118"/>
      <c r="N44" s="118"/>
      <c r="O44" s="118"/>
      <c r="P44" s="118"/>
      <c r="Q44" s="118"/>
      <c r="R44" s="119"/>
      <c r="S44" s="42"/>
      <c r="T44" s="119"/>
      <c r="U44" s="119"/>
      <c r="V44" s="119"/>
      <c r="W44" s="119"/>
      <c r="X44" s="119"/>
      <c r="Y44" s="119"/>
      <c r="Z44" s="119"/>
    </row>
    <row r="45" spans="2:26" x14ac:dyDescent="0.55000000000000004">
      <c r="B45" s="40"/>
      <c r="C45" s="40"/>
      <c r="D45" s="40"/>
      <c r="E45" s="40"/>
      <c r="F45" s="40"/>
      <c r="G45" s="40"/>
      <c r="H45" s="40"/>
      <c r="K45" s="40"/>
      <c r="L45" s="59"/>
      <c r="M45" s="118"/>
      <c r="N45" s="118"/>
      <c r="O45" s="118"/>
      <c r="P45" s="118"/>
      <c r="Q45" s="118"/>
      <c r="R45" s="119"/>
      <c r="S45" s="42"/>
      <c r="T45" s="119"/>
      <c r="U45" s="119"/>
      <c r="V45" s="119"/>
      <c r="W45" s="119"/>
      <c r="X45" s="42"/>
      <c r="Y45" s="42"/>
      <c r="Z45" s="42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53"/>
  <sheetViews>
    <sheetView showRuler="0" zoomScaleNormal="100" workbookViewId="0">
      <selection activeCell="L43" sqref="L43"/>
    </sheetView>
  </sheetViews>
  <sheetFormatPr defaultColWidth="11.15625" defaultRowHeight="14.4" x14ac:dyDescent="0.55000000000000004"/>
  <cols>
    <col min="1" max="1" width="4.578125" style="31" customWidth="1"/>
    <col min="2" max="8" width="11.15625" style="31"/>
    <col min="9" max="9" width="4.578125" style="31" customWidth="1"/>
    <col min="10" max="10" width="4.578125" style="34" customWidth="1"/>
    <col min="11" max="17" width="11.15625" style="34" customWidth="1"/>
    <col min="18" max="18" width="4.578125" style="34" customWidth="1"/>
    <col min="19" max="19" width="4.578125" style="34" hidden="1" customWidth="1"/>
    <col min="20" max="26" width="0" style="34" hidden="1" customWidth="1"/>
    <col min="27" max="27" width="4.578125" style="34" hidden="1" customWidth="1"/>
    <col min="28" max="16384" width="11.15625" style="34"/>
  </cols>
  <sheetData>
    <row r="1" spans="1:27" s="144" customFormat="1" x14ac:dyDescent="0.55000000000000004">
      <c r="A1" s="145"/>
      <c r="B1" s="145"/>
      <c r="C1" s="145"/>
      <c r="D1" s="145"/>
      <c r="E1" s="145"/>
      <c r="F1" s="145"/>
      <c r="G1" s="145"/>
      <c r="H1" s="145"/>
      <c r="I1" s="145"/>
    </row>
    <row r="2" spans="1:27" s="144" customFormat="1" ht="15" customHeight="1" x14ac:dyDescent="0.55000000000000004">
      <c r="A2" s="5"/>
      <c r="B2" s="215" t="s">
        <v>46</v>
      </c>
      <c r="C2" s="215"/>
      <c r="D2" s="215"/>
      <c r="E2" s="215"/>
      <c r="F2" s="215"/>
      <c r="G2" s="215"/>
      <c r="H2" s="215"/>
      <c r="I2" s="5"/>
      <c r="J2" s="5"/>
      <c r="K2" s="215" t="s">
        <v>47</v>
      </c>
      <c r="L2" s="215"/>
      <c r="M2" s="215"/>
      <c r="N2" s="215"/>
      <c r="O2" s="215"/>
      <c r="P2" s="215"/>
      <c r="Q2" s="215"/>
      <c r="R2" s="5"/>
      <c r="T2" s="215" t="s">
        <v>65</v>
      </c>
      <c r="U2" s="215"/>
      <c r="V2" s="215"/>
      <c r="W2" s="215"/>
      <c r="X2" s="215"/>
      <c r="Y2" s="215"/>
      <c r="Z2" s="215"/>
    </row>
    <row r="3" spans="1:27" x14ac:dyDescent="0.55000000000000004">
      <c r="A3" s="34"/>
      <c r="B3" s="35"/>
      <c r="C3" s="35"/>
      <c r="D3" s="35"/>
      <c r="E3" s="35"/>
      <c r="F3" s="35"/>
      <c r="G3" s="35"/>
      <c r="H3" s="35"/>
    </row>
    <row r="4" spans="1:27" ht="15.6" x14ac:dyDescent="0.6">
      <c r="B4" s="8" t="s">
        <v>117</v>
      </c>
      <c r="G4" s="32" t="s">
        <v>40</v>
      </c>
      <c r="H4" s="41">
        <v>95</v>
      </c>
      <c r="K4" s="8" t="s">
        <v>117</v>
      </c>
      <c r="L4" s="31"/>
      <c r="M4" s="31"/>
      <c r="N4" s="31"/>
      <c r="O4" s="31"/>
      <c r="P4" s="32" t="s">
        <v>40</v>
      </c>
      <c r="Q4" s="41">
        <v>95</v>
      </c>
      <c r="T4" s="60" t="s">
        <v>115</v>
      </c>
      <c r="U4" s="54"/>
      <c r="V4" s="54"/>
      <c r="W4" s="54"/>
      <c r="X4" s="54"/>
      <c r="Y4" s="54"/>
      <c r="Z4" s="54"/>
      <c r="AA4" s="54"/>
    </row>
    <row r="5" spans="1:27" ht="14.7" thickBot="1" x14ac:dyDescent="0.6">
      <c r="J5" s="31"/>
      <c r="K5" s="31"/>
      <c r="L5" s="31"/>
      <c r="M5" s="31"/>
      <c r="N5" s="31"/>
      <c r="O5" s="31"/>
      <c r="P5" s="31"/>
      <c r="Q5" s="31"/>
      <c r="S5" s="54"/>
      <c r="T5" s="54"/>
      <c r="U5" s="54"/>
      <c r="V5" s="54"/>
      <c r="W5" s="54"/>
      <c r="X5" s="54"/>
      <c r="Y5" s="54"/>
      <c r="Z5" s="54"/>
      <c r="AA5" s="54"/>
    </row>
    <row r="6" spans="1:27" ht="14.7" thickBot="1" x14ac:dyDescent="0.6">
      <c r="B6" s="63" t="s">
        <v>4</v>
      </c>
      <c r="C6" s="181" t="str">
        <f t="shared" ref="C6:C12" si="0">G39</f>
        <v>df</v>
      </c>
      <c r="D6" s="62" t="s">
        <v>87</v>
      </c>
      <c r="E6" s="62" t="s">
        <v>69</v>
      </c>
      <c r="F6" s="191" t="s">
        <v>85</v>
      </c>
      <c r="G6" s="216" t="s">
        <v>86</v>
      </c>
      <c r="H6" s="216"/>
      <c r="J6" s="31"/>
      <c r="K6" s="62" t="s">
        <v>4</v>
      </c>
      <c r="L6" s="112" t="s">
        <v>3</v>
      </c>
      <c r="M6" s="112" t="s">
        <v>25</v>
      </c>
      <c r="N6" s="188" t="s">
        <v>2</v>
      </c>
      <c r="O6" s="188" t="s">
        <v>85</v>
      </c>
      <c r="P6" s="216" t="s">
        <v>66</v>
      </c>
      <c r="Q6" s="216"/>
      <c r="R6" s="54"/>
      <c r="S6" s="54"/>
      <c r="T6" s="188" t="s">
        <v>4</v>
      </c>
      <c r="U6" s="189" t="s">
        <v>114</v>
      </c>
      <c r="V6" s="187" t="s">
        <v>54</v>
      </c>
      <c r="W6" s="186" t="s">
        <v>85</v>
      </c>
      <c r="X6" s="76" t="s">
        <v>11</v>
      </c>
      <c r="Y6" s="186" t="s">
        <v>2</v>
      </c>
      <c r="Z6" s="76" t="s">
        <v>53</v>
      </c>
      <c r="AA6" s="54"/>
    </row>
    <row r="7" spans="1:27" x14ac:dyDescent="0.55000000000000004">
      <c r="B7" s="22" t="str">
        <f>IF(D7="","","1 vs. 2")</f>
        <v>1 vs. 2</v>
      </c>
      <c r="C7" s="55">
        <f t="shared" si="0"/>
        <v>33</v>
      </c>
      <c r="D7" s="23">
        <f>IFERROR(Data!U7-Data!U8,"")</f>
        <v>-1.9313725490196076</v>
      </c>
      <c r="E7" s="23">
        <f>IF(B7="","",SQRT((Data!V7^2*(Data!T7-1)+Data!V8^2*(Data!T8-1))/G40))</f>
        <v>1.7061282015971735</v>
      </c>
      <c r="F7" s="23">
        <f>IF(B7="","",SQRT((E7^2/Data!T7)+(E7^2/Data!T8)))</f>
        <v>0.57701216673090816</v>
      </c>
      <c r="G7" s="23">
        <f t="shared" ref="G7:G12" si="1">IFERROR(D7-TINV(1-$H$4/100,G40)*E40,"")</f>
        <v>-3.1053126290480284</v>
      </c>
      <c r="H7" s="23">
        <f t="shared" ref="H7:H12" si="2">IFERROR(D7+TINV(1-$H$4/100,G40)*E40,"")</f>
        <v>-0.7574324689911871</v>
      </c>
      <c r="J7" s="31"/>
      <c r="K7" s="22" t="str">
        <f t="shared" ref="K7:K12" si="3">B7</f>
        <v>1 vs. 2</v>
      </c>
      <c r="L7" s="23">
        <f t="shared" ref="L7:L12" si="4">IFERROR(D7/E7,"")</f>
        <v>-1.1320207632765076</v>
      </c>
      <c r="M7" s="23">
        <f t="shared" ref="M7:M12" si="5">IFERROR((1-3/(4*G40-1))*L7,"")</f>
        <v>-1.1060966236594882</v>
      </c>
      <c r="N7" s="55">
        <f t="shared" ref="N7:N12" si="6">C7</f>
        <v>33</v>
      </c>
      <c r="O7" s="36">
        <f>IFERROR(SQRT((G40+2)/(Data!T7*Data!T8)+((L7^2)/(2*(G40+2)))),"")</f>
        <v>0.36426063973482242</v>
      </c>
      <c r="P7" s="36">
        <f>IFERROR(Y17*SQRT(1/Data!T7+1/Data!T8),"")</f>
        <v>-1.8399949473094963</v>
      </c>
      <c r="Q7" s="36">
        <f>IFERROR(Z17*SQRT(1/Data!T7+1/Data!T8),"")</f>
        <v>-0.40696215713558581</v>
      </c>
      <c r="S7" s="54"/>
      <c r="T7" s="22" t="str">
        <f>B7</f>
        <v>1 vs. 2</v>
      </c>
      <c r="U7" s="110">
        <v>0</v>
      </c>
      <c r="V7" s="23">
        <f>IFERROR(D7-U7,"")</f>
        <v>-1.9313725490196076</v>
      </c>
      <c r="W7" s="23">
        <f>IF(B7="","",SQRT((E7^2/Data!T7)+(E7^2/Data!T8)))</f>
        <v>0.57701216673090816</v>
      </c>
      <c r="X7" s="36">
        <f>IFERROR(V7/W7,"")</f>
        <v>-3.3471955365549695</v>
      </c>
      <c r="Y7" s="55">
        <f>IFERROR(Data!T7+Data!T8-2,"")</f>
        <v>33</v>
      </c>
      <c r="Z7" s="23">
        <f t="shared" ref="Z7:Z12" si="7">IFERROR(IF(TDIST(ABS(X7),Y7,2)&lt;0.001,"&lt; 0.001",TDIST(ABS(X7),Y7,2)),"")</f>
        <v>2.0497180219682032E-3</v>
      </c>
      <c r="AA7" s="54"/>
    </row>
    <row r="8" spans="1:27" x14ac:dyDescent="0.55000000000000004">
      <c r="B8" s="24" t="str">
        <f>IF(D8="","","1 vs. 3")</f>
        <v>1 vs. 3</v>
      </c>
      <c r="C8" s="56">
        <f t="shared" si="0"/>
        <v>35</v>
      </c>
      <c r="D8" s="25">
        <f>IFERROR(Data!U7-Data!U9,"")</f>
        <v>-1.1140350877192984</v>
      </c>
      <c r="E8" s="25">
        <f>IF(B8="","",SQRT((Data!V7^2*(Data!T7-1)+Data!V9^2*(Data!T9-1))/G41))</f>
        <v>1.6856314494748392</v>
      </c>
      <c r="F8" s="25">
        <f>IF(B8="","",SQRT((E8^2/Data!T7)+(E8^2/Data!T9)))</f>
        <v>0.55443473977248103</v>
      </c>
      <c r="G8" s="25">
        <f t="shared" si="1"/>
        <v>-2.2395974486288281</v>
      </c>
      <c r="H8" s="25">
        <f t="shared" si="2"/>
        <v>1.1527273190231613E-2</v>
      </c>
      <c r="J8" s="31"/>
      <c r="K8" s="24" t="str">
        <f t="shared" si="3"/>
        <v>1 vs. 3</v>
      </c>
      <c r="L8" s="25">
        <f t="shared" si="4"/>
        <v>-0.66090074913254471</v>
      </c>
      <c r="M8" s="25">
        <f t="shared" si="5"/>
        <v>-0.64663670418723795</v>
      </c>
      <c r="N8" s="56">
        <f t="shared" si="6"/>
        <v>35</v>
      </c>
      <c r="O8" s="38">
        <f>IFERROR(SQRT((G41+2)/(Data!T7*Data!T9)+((L8^2)/(2*(G41+2)))),"")</f>
        <v>0.33777166750712684</v>
      </c>
      <c r="P8" s="38">
        <f>IFERROR(Y18*SQRT(1/Data!T7+1/Data!T9),"")</f>
        <v>-1.3190647057051854</v>
      </c>
      <c r="Q8" s="38">
        <f>IFERROR(Z18*SQRT(1/Data!T7+1/Data!T9),"")</f>
        <v>6.6697332674151757E-3</v>
      </c>
      <c r="S8" s="54"/>
      <c r="T8" s="24" t="str">
        <f t="shared" ref="T8:T12" si="8">B8</f>
        <v>1 vs. 3</v>
      </c>
      <c r="U8" s="111">
        <f t="shared" ref="U8:U12" si="9">IF(T8="","",0)</f>
        <v>0</v>
      </c>
      <c r="V8" s="25">
        <f t="shared" ref="V8:V12" si="10">IFERROR(D8-U8,"")</f>
        <v>-1.1140350877192984</v>
      </c>
      <c r="W8" s="25">
        <f>IF(B8="","",SQRT((E8^2/Data!T7)+(E8^2/Data!T9)))</f>
        <v>0.55443473977248103</v>
      </c>
      <c r="X8" s="38">
        <f t="shared" ref="X8:X12" si="11">IFERROR(V8/W8,"")</f>
        <v>-2.0093168912475723</v>
      </c>
      <c r="Y8" s="56">
        <f>IFERROR(Data!T7+Data!T9-2,"")</f>
        <v>35</v>
      </c>
      <c r="Z8" s="25">
        <f t="shared" si="7"/>
        <v>5.2264285042217966E-2</v>
      </c>
      <c r="AA8" s="54"/>
    </row>
    <row r="9" spans="1:27" x14ac:dyDescent="0.55000000000000004">
      <c r="B9" s="24" t="str">
        <f>IF(D9="","","2 vs. 3")</f>
        <v>2 vs. 3</v>
      </c>
      <c r="C9" s="56">
        <f t="shared" si="0"/>
        <v>34</v>
      </c>
      <c r="D9" s="25">
        <f>IFERROR(Data!U8-Data!U9,"")</f>
        <v>0.81733746130030926</v>
      </c>
      <c r="E9" s="25">
        <f>IF(B9="","",SQRT((Data!V8^2*(Data!T8-1)+Data!V9^2*(Data!T9-1))/G42))</f>
        <v>1.440038724463629</v>
      </c>
      <c r="F9" s="25">
        <f>IF(B9="","",SQRT((E9^2/Data!T8)+(E9^2/Data!T9)))</f>
        <v>0.48075538796126843</v>
      </c>
      <c r="G9" s="25">
        <f t="shared" si="1"/>
        <v>-0.15967503620888834</v>
      </c>
      <c r="H9" s="25">
        <f t="shared" si="2"/>
        <v>1.7943499588095069</v>
      </c>
      <c r="J9" s="31"/>
      <c r="K9" s="24" t="str">
        <f t="shared" si="3"/>
        <v>2 vs. 3</v>
      </c>
      <c r="L9" s="25">
        <f t="shared" si="4"/>
        <v>0.56758019587615105</v>
      </c>
      <c r="M9" s="25">
        <f t="shared" si="5"/>
        <v>0.55496730263445881</v>
      </c>
      <c r="N9" s="56">
        <f t="shared" si="6"/>
        <v>34</v>
      </c>
      <c r="O9" s="38">
        <f>IFERROR(SQRT((G42+2)/(Data!T8*Data!T9)+((L9^2)/(2*(G42+2)))),"")</f>
        <v>0.34048403210658945</v>
      </c>
      <c r="P9" s="38">
        <f>IFERROR(Y19*SQRT(1/Data!T8+1/Data!T9),"")</f>
        <v>-0.10440686159742485</v>
      </c>
      <c r="Q9" s="38">
        <f>IFERROR(Z19*SQRT(1/Data!T8+1/Data!T9),"")</f>
        <v>1.2315769752355692</v>
      </c>
      <c r="S9" s="54"/>
      <c r="T9" s="24" t="str">
        <f t="shared" si="8"/>
        <v>2 vs. 3</v>
      </c>
      <c r="U9" s="111">
        <f t="shared" si="9"/>
        <v>0</v>
      </c>
      <c r="V9" s="25">
        <f t="shared" si="10"/>
        <v>0.81733746130030926</v>
      </c>
      <c r="W9" s="25">
        <f>IF(B9="","",SQRT((E9^2/Data!T8)+(E9^2/Data!T9)))</f>
        <v>0.48075538796126843</v>
      </c>
      <c r="X9" s="38">
        <f t="shared" si="11"/>
        <v>1.7001108708659074</v>
      </c>
      <c r="Y9" s="56">
        <f>IFERROR(Data!T8+Data!T9-2,"")</f>
        <v>34</v>
      </c>
      <c r="Z9" s="25">
        <f t="shared" si="7"/>
        <v>9.8241989827784468E-2</v>
      </c>
      <c r="AA9" s="54"/>
    </row>
    <row r="10" spans="1:27" x14ac:dyDescent="0.55000000000000004">
      <c r="B10" s="24" t="str">
        <f>IF(D10="","","1 vs. 4")</f>
        <v/>
      </c>
      <c r="C10" s="56" t="str">
        <f t="shared" si="0"/>
        <v/>
      </c>
      <c r="D10" s="25" t="str">
        <f>IFERROR(Data!U7-Data!U10,"")</f>
        <v/>
      </c>
      <c r="E10" s="25" t="str">
        <f>IF(B10="","",SQRT((Data!V7^2*(Data!T7-1)+Data!V10^2*(Data!T10-1))/G43))</f>
        <v/>
      </c>
      <c r="F10" s="25" t="str">
        <f>IF(B10="","",SQRT((E10^2/Data!T7)+(E10^2/Data!T10)))</f>
        <v/>
      </c>
      <c r="G10" s="25" t="str">
        <f t="shared" si="1"/>
        <v/>
      </c>
      <c r="H10" s="25" t="str">
        <f t="shared" si="2"/>
        <v/>
      </c>
      <c r="J10" s="31"/>
      <c r="K10" s="24" t="str">
        <f t="shared" si="3"/>
        <v/>
      </c>
      <c r="L10" s="25" t="str">
        <f t="shared" si="4"/>
        <v/>
      </c>
      <c r="M10" s="25" t="str">
        <f t="shared" si="5"/>
        <v/>
      </c>
      <c r="N10" s="56" t="str">
        <f t="shared" si="6"/>
        <v/>
      </c>
      <c r="O10" s="38" t="str">
        <f>IFERROR(SQRT((G43+2)/(Data!T7*Data!T10)+((L10^2)/(2*(G43+2)))),"")</f>
        <v/>
      </c>
      <c r="P10" s="38" t="str">
        <f>IFERROR(Y20*SQRT(1/Data!T7+1/Data!T10),"")</f>
        <v/>
      </c>
      <c r="Q10" s="38" t="str">
        <f>IFERROR(Z20*SQRT(1/Data!T7+1/Data!T10),"")</f>
        <v/>
      </c>
      <c r="S10" s="54"/>
      <c r="T10" s="24" t="str">
        <f t="shared" si="8"/>
        <v/>
      </c>
      <c r="U10" s="111" t="str">
        <f t="shared" si="9"/>
        <v/>
      </c>
      <c r="V10" s="25" t="str">
        <f t="shared" si="10"/>
        <v/>
      </c>
      <c r="W10" s="25" t="str">
        <f>IF(B10="","",SQRT((E10^2/Data!T7)+(E10^2/Data!T10)))</f>
        <v/>
      </c>
      <c r="X10" s="38" t="str">
        <f t="shared" si="11"/>
        <v/>
      </c>
      <c r="Y10" s="56" t="str">
        <f>IFERROR(Data!T7+Data!T10-2,"")</f>
        <v/>
      </c>
      <c r="Z10" s="25" t="str">
        <f t="shared" si="7"/>
        <v/>
      </c>
      <c r="AA10" s="54"/>
    </row>
    <row r="11" spans="1:27" x14ac:dyDescent="0.55000000000000004">
      <c r="B11" s="24" t="str">
        <f>IF(D11="","","2 vs. 4")</f>
        <v/>
      </c>
      <c r="C11" s="56" t="str">
        <f t="shared" si="0"/>
        <v/>
      </c>
      <c r="D11" s="25" t="str">
        <f>IFERROR(Data!U8-Data!U10,"")</f>
        <v/>
      </c>
      <c r="E11" s="25" t="str">
        <f>IF(B11="","",SQRT((Data!V8^2*(Data!T8-1)+Data!V10^2*(Data!T10-1))/G44))</f>
        <v/>
      </c>
      <c r="F11" s="25" t="str">
        <f>IF(B11="","",SQRT((E11^2/Data!T8)+(E11^2/Data!T10)))</f>
        <v/>
      </c>
      <c r="G11" s="25" t="str">
        <f t="shared" si="1"/>
        <v/>
      </c>
      <c r="H11" s="25" t="str">
        <f t="shared" si="2"/>
        <v/>
      </c>
      <c r="J11" s="31"/>
      <c r="K11" s="24" t="str">
        <f t="shared" si="3"/>
        <v/>
      </c>
      <c r="L11" s="25" t="str">
        <f t="shared" si="4"/>
        <v/>
      </c>
      <c r="M11" s="25" t="str">
        <f t="shared" si="5"/>
        <v/>
      </c>
      <c r="N11" s="56" t="str">
        <f t="shared" si="6"/>
        <v/>
      </c>
      <c r="O11" s="38" t="str">
        <f>IFERROR(SQRT((G44+2)/(Data!T8*Data!T10)+((L11^2)/(2*(G44+2)))),"")</f>
        <v/>
      </c>
      <c r="P11" s="38" t="str">
        <f>IFERROR(Y21*SQRT(1/Data!T8+1/Data!T10),"")</f>
        <v/>
      </c>
      <c r="Q11" s="38" t="str">
        <f>IFERROR(Z21*SQRT(1/Data!T8+1/Data!T10),"")</f>
        <v/>
      </c>
      <c r="S11" s="54"/>
      <c r="T11" s="24" t="str">
        <f t="shared" si="8"/>
        <v/>
      </c>
      <c r="U11" s="111" t="str">
        <f t="shared" si="9"/>
        <v/>
      </c>
      <c r="V11" s="25" t="str">
        <f t="shared" si="10"/>
        <v/>
      </c>
      <c r="W11" s="25" t="str">
        <f>IF(B11="","",SQRT((E11^2/Data!T8)+(E11^2/Data!T10)))</f>
        <v/>
      </c>
      <c r="X11" s="38" t="str">
        <f t="shared" si="11"/>
        <v/>
      </c>
      <c r="Y11" s="56" t="str">
        <f>IFERROR(Data!T8+Data!T10-2,"")</f>
        <v/>
      </c>
      <c r="Z11" s="25" t="str">
        <f t="shared" si="7"/>
        <v/>
      </c>
      <c r="AA11" s="54"/>
    </row>
    <row r="12" spans="1:27" ht="14.7" thickBot="1" x14ac:dyDescent="0.6">
      <c r="B12" s="26" t="str">
        <f>IF(D12="","","3 vs. 4")</f>
        <v/>
      </c>
      <c r="C12" s="57" t="str">
        <f t="shared" si="0"/>
        <v/>
      </c>
      <c r="D12" s="27" t="str">
        <f>IFERROR(Data!U9-Data!U10,"")</f>
        <v/>
      </c>
      <c r="E12" s="27" t="str">
        <f>IF(B12="","",SQRT((Data!V9^2*(Data!T9-1)+Data!V10^2*(Data!T10-1))/G45))</f>
        <v/>
      </c>
      <c r="F12" s="27" t="str">
        <f>IF(B12="","",SQRT((E12^2/Data!T9)+(E12^2/Data!T10)))</f>
        <v/>
      </c>
      <c r="G12" s="27" t="str">
        <f t="shared" si="1"/>
        <v/>
      </c>
      <c r="H12" s="27" t="str">
        <f t="shared" si="2"/>
        <v/>
      </c>
      <c r="J12" s="31"/>
      <c r="K12" s="26" t="str">
        <f t="shared" si="3"/>
        <v/>
      </c>
      <c r="L12" s="27" t="str">
        <f t="shared" si="4"/>
        <v/>
      </c>
      <c r="M12" s="27" t="str">
        <f t="shared" si="5"/>
        <v/>
      </c>
      <c r="N12" s="57" t="str">
        <f t="shared" si="6"/>
        <v/>
      </c>
      <c r="O12" s="39" t="str">
        <f>IFERROR(SQRT((G45+2)/(Data!T9*Data!T10)+((L12^2)/(2*(G45+2)))),"")</f>
        <v/>
      </c>
      <c r="P12" s="39" t="str">
        <f>IFERROR(Y22*SQRT(1/Data!T9+1/Data!T10),"")</f>
        <v/>
      </c>
      <c r="Q12" s="39" t="str">
        <f>IFERROR(Z22*SQRT(1/Data!T9+1/Data!T10),"")</f>
        <v/>
      </c>
      <c r="S12" s="54"/>
      <c r="T12" s="26" t="str">
        <f t="shared" si="8"/>
        <v/>
      </c>
      <c r="U12" s="190" t="str">
        <f t="shared" si="9"/>
        <v/>
      </c>
      <c r="V12" s="27" t="str">
        <f t="shared" si="10"/>
        <v/>
      </c>
      <c r="W12" s="27" t="str">
        <f>IF(B12="","",SQRT((E12^2/Data!T9)+(E12^2/Data!T10)))</f>
        <v/>
      </c>
      <c r="X12" s="39" t="str">
        <f t="shared" si="11"/>
        <v/>
      </c>
      <c r="Y12" s="57" t="str">
        <f>IFERROR(Data!T9+Data!T10-2,"")</f>
        <v/>
      </c>
      <c r="Z12" s="27" t="str">
        <f t="shared" si="7"/>
        <v/>
      </c>
      <c r="AA12" s="54"/>
    </row>
    <row r="13" spans="1:27" x14ac:dyDescent="0.55000000000000004">
      <c r="B13" s="2"/>
      <c r="C13" s="40"/>
      <c r="D13" s="2"/>
      <c r="E13" s="2"/>
      <c r="F13" s="2"/>
      <c r="G13" s="2"/>
      <c r="H13" s="2"/>
      <c r="J13" s="31"/>
      <c r="K13" s="2"/>
      <c r="L13" s="2"/>
      <c r="M13" s="2"/>
      <c r="N13" s="40"/>
      <c r="O13" s="2"/>
      <c r="P13" s="2"/>
      <c r="Q13" s="2"/>
      <c r="S13" s="35"/>
      <c r="T13" s="40"/>
      <c r="U13" s="2"/>
      <c r="V13" s="40"/>
      <c r="W13" s="2"/>
      <c r="X13" s="40"/>
      <c r="Y13" s="40"/>
      <c r="Z13" s="40"/>
      <c r="AA13" s="54"/>
    </row>
    <row r="14" spans="1:27" ht="15.6" x14ac:dyDescent="0.6">
      <c r="B14" s="8" t="s">
        <v>119</v>
      </c>
      <c r="K14" s="8" t="s">
        <v>119</v>
      </c>
      <c r="L14" s="31"/>
      <c r="M14" s="31"/>
      <c r="N14" s="31"/>
      <c r="O14" s="31"/>
      <c r="P14" s="31"/>
      <c r="Q14" s="31"/>
      <c r="T14" s="8" t="s">
        <v>23</v>
      </c>
    </row>
    <row r="15" spans="1:27" ht="14.7" thickBot="1" x14ac:dyDescent="0.6">
      <c r="J15" s="31"/>
      <c r="K15" s="31"/>
      <c r="L15" s="31"/>
      <c r="M15" s="31"/>
      <c r="N15" s="31"/>
      <c r="O15" s="31"/>
      <c r="P15" s="31"/>
      <c r="Q15" s="31"/>
    </row>
    <row r="16" spans="1:27" ht="14.7" thickBot="1" x14ac:dyDescent="0.6">
      <c r="B16" s="142" t="s">
        <v>81</v>
      </c>
      <c r="C16" s="52"/>
      <c r="D16" s="52"/>
      <c r="E16" s="50"/>
      <c r="F16" s="50"/>
      <c r="G16" s="142" t="s">
        <v>83</v>
      </c>
      <c r="H16" s="52"/>
      <c r="J16" s="31"/>
      <c r="K16" s="142" t="s">
        <v>81</v>
      </c>
      <c r="L16" s="52"/>
      <c r="M16" s="52"/>
      <c r="N16" s="50"/>
      <c r="O16" s="50"/>
      <c r="P16" s="142" t="s">
        <v>83</v>
      </c>
      <c r="Q16" s="52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2:26" x14ac:dyDescent="0.55000000000000004">
      <c r="B17" s="49" t="s">
        <v>0</v>
      </c>
      <c r="C17" s="49" t="s">
        <v>79</v>
      </c>
      <c r="D17" s="49" t="s">
        <v>76</v>
      </c>
      <c r="E17" s="50"/>
      <c r="F17" s="50"/>
      <c r="G17" s="49" t="s">
        <v>36</v>
      </c>
      <c r="H17" s="49" t="s">
        <v>79</v>
      </c>
      <c r="J17" s="31"/>
      <c r="K17" s="49" t="s">
        <v>0</v>
      </c>
      <c r="L17" s="49" t="s">
        <v>79</v>
      </c>
      <c r="M17" s="49" t="s">
        <v>76</v>
      </c>
      <c r="N17" s="50"/>
      <c r="O17" s="50"/>
      <c r="P17" s="49" t="s">
        <v>36</v>
      </c>
      <c r="Q17" s="49" t="s">
        <v>79</v>
      </c>
      <c r="T17" s="36">
        <f t="shared" ref="T17:T22" si="12">EXP(((LN(2)-LN(Y7))/2)+GAMMALN((Y7+1)/2)-GAMMALN(Y7/2))</f>
        <v>0.99245401557013657</v>
      </c>
      <c r="U17" s="36">
        <f t="shared" ref="U17:U22" si="13">T17*X7</f>
        <v>-3.3219376511524175</v>
      </c>
      <c r="V17" s="36">
        <f t="shared" ref="V17:V22" si="14">1+(X7^2)*(1-T17^2)</f>
        <v>1.16844820178947</v>
      </c>
      <c r="W17" s="36">
        <f t="shared" ref="W17:W22" si="15">(2*U17^3)-((2*Y7-1)/Y7)*(X7^2*U17)</f>
        <v>-8.670925867690471E-3</v>
      </c>
      <c r="X17" s="99">
        <f t="shared" ref="X17" si="16">W17/SQRT(V17)^3</f>
        <v>-6.8651696903010385E-3</v>
      </c>
      <c r="Y17" s="100">
        <f t="shared" ref="Y17:Z22" si="17">IF($X17&lt;0.001,Y33,Y25)</f>
        <v>-5.4405564586041848</v>
      </c>
      <c r="Z17" s="100">
        <f t="shared" si="17"/>
        <v>-1.2033188437006506</v>
      </c>
    </row>
    <row r="18" spans="2:26" x14ac:dyDescent="0.55000000000000004">
      <c r="B18" s="51">
        <v>1.1000000000000001</v>
      </c>
      <c r="C18" s="51">
        <f>IF(H7="",NA(),H7)</f>
        <v>-0.7574324689911871</v>
      </c>
      <c r="D18" s="51">
        <f t="shared" ref="D18:D35" si="18">C18</f>
        <v>-0.7574324689911871</v>
      </c>
      <c r="E18" s="51"/>
      <c r="F18" s="51"/>
      <c r="G18" s="50">
        <v>0.5</v>
      </c>
      <c r="H18" s="50">
        <f>C$40</f>
        <v>0</v>
      </c>
      <c r="J18" s="31"/>
      <c r="K18" s="51">
        <v>1.1000000000000001</v>
      </c>
      <c r="L18" s="51">
        <f>IF(Q7="",NA(),Q7)</f>
        <v>-0.40696215713558581</v>
      </c>
      <c r="M18" s="51">
        <f t="shared" ref="M18:M35" si="19">L18</f>
        <v>-0.40696215713558581</v>
      </c>
      <c r="N18" s="51"/>
      <c r="O18" s="51"/>
      <c r="P18" s="50">
        <v>0.5</v>
      </c>
      <c r="Q18" s="50">
        <f>L$40</f>
        <v>-0.5</v>
      </c>
      <c r="T18" s="38">
        <f t="shared" si="12"/>
        <v>0.99288355638901482</v>
      </c>
      <c r="U18" s="38">
        <f t="shared" si="13"/>
        <v>-1.995017700894409</v>
      </c>
      <c r="V18" s="38">
        <f t="shared" si="14"/>
        <v>1.0572587425707951</v>
      </c>
      <c r="W18" s="38">
        <f t="shared" si="15"/>
        <v>-1.666830990378898E-3</v>
      </c>
      <c r="X18" s="99">
        <f t="shared" ref="X18:X22" si="20">W18/SQRT(V18)^3</f>
        <v>-1.5332735322913906E-3</v>
      </c>
      <c r="Y18" s="100">
        <f t="shared" si="17"/>
        <v>-4.0103131934722489</v>
      </c>
      <c r="Z18" s="100">
        <f t="shared" si="17"/>
        <v>2.0277791683430912E-2</v>
      </c>
    </row>
    <row r="19" spans="2:26" x14ac:dyDescent="0.55000000000000004">
      <c r="B19" s="51">
        <v>1.1000000000000001</v>
      </c>
      <c r="C19" s="50">
        <f>IF(D7="",NA(),D7)</f>
        <v>-1.9313725490196076</v>
      </c>
      <c r="D19" s="51">
        <f t="shared" si="18"/>
        <v>-1.9313725490196076</v>
      </c>
      <c r="E19" s="51"/>
      <c r="F19" s="51"/>
      <c r="G19" s="50">
        <v>1</v>
      </c>
      <c r="H19" s="50">
        <f>C$40</f>
        <v>0</v>
      </c>
      <c r="J19" s="31"/>
      <c r="K19" s="51">
        <v>1.1000000000000001</v>
      </c>
      <c r="L19" s="50">
        <f>IF(M7="",NA(),M7)</f>
        <v>-1.1060966236594882</v>
      </c>
      <c r="M19" s="51">
        <f t="shared" si="19"/>
        <v>-1.1060966236594882</v>
      </c>
      <c r="N19" s="51"/>
      <c r="O19" s="51"/>
      <c r="P19" s="50">
        <v>1</v>
      </c>
      <c r="Q19" s="50">
        <f>L$40</f>
        <v>-0.5</v>
      </c>
      <c r="T19" s="38">
        <f t="shared" si="12"/>
        <v>0.99267507681736333</v>
      </c>
      <c r="U19" s="38">
        <f t="shared" si="13"/>
        <v>1.6876576893348492</v>
      </c>
      <c r="V19" s="38">
        <f t="shared" si="14"/>
        <v>1.0421884968653918</v>
      </c>
      <c r="W19" s="38">
        <f t="shared" si="15"/>
        <v>1.0701331378388801E-3</v>
      </c>
      <c r="X19" s="99">
        <f t="shared" si="20"/>
        <v>1.0058156752671482E-3</v>
      </c>
      <c r="Y19" s="100">
        <f t="shared" si="17"/>
        <v>-0.31273684614870945</v>
      </c>
      <c r="Z19" s="100">
        <f t="shared" si="17"/>
        <v>3.6890247741537223</v>
      </c>
    </row>
    <row r="20" spans="2:26" ht="15.6" x14ac:dyDescent="0.6">
      <c r="B20" s="51">
        <v>1.1000000000000001</v>
      </c>
      <c r="C20" s="51">
        <f>IF(G7="",NA(),G7)</f>
        <v>-3.1053126290480284</v>
      </c>
      <c r="D20" s="51">
        <f t="shared" si="18"/>
        <v>-3.1053126290480284</v>
      </c>
      <c r="E20" s="51"/>
      <c r="F20" s="51"/>
      <c r="G20" s="50">
        <v>1.5</v>
      </c>
      <c r="H20" s="50">
        <f>C$40</f>
        <v>0</v>
      </c>
      <c r="J20" s="31"/>
      <c r="K20" s="51">
        <v>1.1000000000000001</v>
      </c>
      <c r="L20" s="51">
        <f>IF(P7="",NA(),P7)</f>
        <v>-1.8399949473094963</v>
      </c>
      <c r="M20" s="51">
        <f t="shared" si="19"/>
        <v>-1.8399949473094963</v>
      </c>
      <c r="N20" s="51"/>
      <c r="O20" s="51"/>
      <c r="P20" s="50">
        <v>1.5</v>
      </c>
      <c r="Q20" s="50">
        <f>L$40</f>
        <v>-0.5</v>
      </c>
      <c r="S20" s="4"/>
      <c r="T20" s="38" t="e">
        <f t="shared" si="12"/>
        <v>#VALUE!</v>
      </c>
      <c r="U20" s="38" t="e">
        <f t="shared" si="13"/>
        <v>#VALUE!</v>
      </c>
      <c r="V20" s="38" t="e">
        <f t="shared" si="14"/>
        <v>#VALUE!</v>
      </c>
      <c r="W20" s="38" t="e">
        <f t="shared" si="15"/>
        <v>#VALUE!</v>
      </c>
      <c r="X20" s="99" t="e">
        <f t="shared" si="20"/>
        <v>#VALUE!</v>
      </c>
      <c r="Y20" s="100" t="e">
        <f t="shared" si="17"/>
        <v>#VALUE!</v>
      </c>
      <c r="Z20" s="100" t="e">
        <f t="shared" si="17"/>
        <v>#VALUE!</v>
      </c>
    </row>
    <row r="21" spans="2:26" x14ac:dyDescent="0.55000000000000004">
      <c r="B21" s="51">
        <v>2.1</v>
      </c>
      <c r="C21" s="51">
        <f>IF(H8="",NA(),H8)</f>
        <v>1.1527273190231613E-2</v>
      </c>
      <c r="D21" s="51">
        <f t="shared" si="18"/>
        <v>1.1527273190231613E-2</v>
      </c>
      <c r="E21" s="51"/>
      <c r="F21" s="51"/>
      <c r="G21" s="50">
        <v>1.5</v>
      </c>
      <c r="H21" s="50">
        <f>C$41</f>
        <v>0</v>
      </c>
      <c r="J21" s="31"/>
      <c r="K21" s="51">
        <v>2.1</v>
      </c>
      <c r="L21" s="51">
        <f>IF(Q8="",NA(),Q8)</f>
        <v>6.6697332674151757E-3</v>
      </c>
      <c r="M21" s="51">
        <f t="shared" si="19"/>
        <v>6.6697332674151757E-3</v>
      </c>
      <c r="N21" s="51"/>
      <c r="O21" s="51"/>
      <c r="P21" s="50">
        <v>1.5</v>
      </c>
      <c r="Q21" s="50">
        <f>L$41</f>
        <v>-0.5</v>
      </c>
      <c r="T21" s="101" t="e">
        <f t="shared" si="12"/>
        <v>#VALUE!</v>
      </c>
      <c r="U21" s="101" t="e">
        <f t="shared" si="13"/>
        <v>#VALUE!</v>
      </c>
      <c r="V21" s="101" t="e">
        <f t="shared" si="14"/>
        <v>#VALUE!</v>
      </c>
      <c r="W21" s="101" t="e">
        <f t="shared" si="15"/>
        <v>#VALUE!</v>
      </c>
      <c r="X21" s="99" t="e">
        <f t="shared" si="20"/>
        <v>#VALUE!</v>
      </c>
      <c r="Y21" s="100" t="e">
        <f t="shared" si="17"/>
        <v>#VALUE!</v>
      </c>
      <c r="Z21" s="100" t="e">
        <f t="shared" si="17"/>
        <v>#VALUE!</v>
      </c>
    </row>
    <row r="22" spans="2:26" ht="14.7" thickBot="1" x14ac:dyDescent="0.6">
      <c r="B22" s="51">
        <v>2.1</v>
      </c>
      <c r="C22" s="50">
        <f>IF(D8="",NA(),D8)</f>
        <v>-1.1140350877192984</v>
      </c>
      <c r="D22" s="51">
        <f t="shared" si="18"/>
        <v>-1.1140350877192984</v>
      </c>
      <c r="E22" s="51"/>
      <c r="F22" s="51"/>
      <c r="G22" s="50">
        <v>2</v>
      </c>
      <c r="H22" s="50">
        <f>C$41</f>
        <v>0</v>
      </c>
      <c r="J22" s="31"/>
      <c r="K22" s="51">
        <v>2.1</v>
      </c>
      <c r="L22" s="50">
        <f>IF(M8="",NA(),M8)</f>
        <v>-0.64663670418723795</v>
      </c>
      <c r="M22" s="51">
        <f t="shared" si="19"/>
        <v>-0.64663670418723795</v>
      </c>
      <c r="N22" s="51"/>
      <c r="O22" s="51"/>
      <c r="P22" s="50">
        <v>2</v>
      </c>
      <c r="Q22" s="50">
        <f>L$41</f>
        <v>-0.5</v>
      </c>
      <c r="T22" s="101" t="e">
        <f t="shared" si="12"/>
        <v>#VALUE!</v>
      </c>
      <c r="U22" s="101" t="e">
        <f t="shared" si="13"/>
        <v>#VALUE!</v>
      </c>
      <c r="V22" s="101" t="e">
        <f t="shared" si="14"/>
        <v>#VALUE!</v>
      </c>
      <c r="W22" s="101" t="e">
        <f t="shared" si="15"/>
        <v>#VALUE!</v>
      </c>
      <c r="X22" s="99" t="e">
        <f t="shared" si="20"/>
        <v>#VALUE!</v>
      </c>
      <c r="Y22" s="100" t="e">
        <f t="shared" si="17"/>
        <v>#VALUE!</v>
      </c>
      <c r="Z22" s="100" t="e">
        <f t="shared" si="17"/>
        <v>#VALUE!</v>
      </c>
    </row>
    <row r="23" spans="2:26" ht="14.7" thickBot="1" x14ac:dyDescent="0.6">
      <c r="B23" s="51">
        <v>2.1</v>
      </c>
      <c r="C23" s="51">
        <f>IF(G8="",NA(),G8)</f>
        <v>-2.2395974486288281</v>
      </c>
      <c r="D23" s="51">
        <f t="shared" si="18"/>
        <v>-2.2395974486288281</v>
      </c>
      <c r="E23" s="51"/>
      <c r="F23" s="51"/>
      <c r="G23" s="50">
        <v>2.5</v>
      </c>
      <c r="H23" s="50">
        <f>C$41</f>
        <v>0</v>
      </c>
      <c r="J23" s="31"/>
      <c r="K23" s="51">
        <v>2.1</v>
      </c>
      <c r="L23" s="51">
        <f>IF(P8="",NA(),P8)</f>
        <v>-1.3190647057051854</v>
      </c>
      <c r="M23" s="51">
        <f t="shared" si="19"/>
        <v>-1.3190647057051854</v>
      </c>
      <c r="N23" s="51"/>
      <c r="O23" s="51"/>
      <c r="P23" s="50">
        <v>2.5</v>
      </c>
      <c r="Q23" s="50">
        <f>L$41</f>
        <v>-0.5</v>
      </c>
      <c r="T23" s="103"/>
      <c r="U23" s="103"/>
      <c r="V23" s="103"/>
      <c r="W23" s="103"/>
      <c r="X23" s="103"/>
      <c r="Y23" s="103"/>
      <c r="Z23" s="103"/>
    </row>
    <row r="24" spans="2:26" ht="14.7" thickBot="1" x14ac:dyDescent="0.6">
      <c r="B24" s="51">
        <v>3.1</v>
      </c>
      <c r="C24" s="51">
        <f>IF(H9="",NA(),H9)</f>
        <v>1.7943499588095069</v>
      </c>
      <c r="D24" s="51">
        <f t="shared" si="18"/>
        <v>1.7943499588095069</v>
      </c>
      <c r="E24" s="51"/>
      <c r="F24" s="51"/>
      <c r="G24" s="50">
        <v>2.5</v>
      </c>
      <c r="H24" s="50">
        <f>C$42</f>
        <v>0</v>
      </c>
      <c r="J24" s="31"/>
      <c r="K24" s="51">
        <v>3.1</v>
      </c>
      <c r="L24" s="51">
        <f>IF(Q9="",NA(),Q9)</f>
        <v>1.2315769752355692</v>
      </c>
      <c r="M24" s="51">
        <f t="shared" si="19"/>
        <v>1.2315769752355692</v>
      </c>
      <c r="N24" s="51"/>
      <c r="O24" s="51"/>
      <c r="P24" s="50">
        <v>2.5</v>
      </c>
      <c r="Q24" s="50">
        <f>L$42</f>
        <v>-0.5</v>
      </c>
      <c r="T24" s="76" t="s">
        <v>16</v>
      </c>
      <c r="U24" s="76" t="s">
        <v>17</v>
      </c>
      <c r="V24" s="76" t="s">
        <v>18</v>
      </c>
      <c r="W24" s="76" t="s">
        <v>19</v>
      </c>
      <c r="X24" s="76" t="s">
        <v>20</v>
      </c>
      <c r="Y24" s="76" t="s">
        <v>21</v>
      </c>
      <c r="Z24" s="76" t="s">
        <v>22</v>
      </c>
    </row>
    <row r="25" spans="2:26" x14ac:dyDescent="0.55000000000000004">
      <c r="B25" s="51">
        <v>3.1</v>
      </c>
      <c r="C25" s="50">
        <f>IF(D9="",NA(),D9)</f>
        <v>0.81733746130030926</v>
      </c>
      <c r="D25" s="51">
        <f t="shared" si="18"/>
        <v>0.81733746130030926</v>
      </c>
      <c r="E25" s="51"/>
      <c r="F25" s="51"/>
      <c r="G25" s="50">
        <v>3</v>
      </c>
      <c r="H25" s="50">
        <f>C$42</f>
        <v>0</v>
      </c>
      <c r="J25" s="31"/>
      <c r="K25" s="51">
        <v>3.1</v>
      </c>
      <c r="L25" s="50">
        <f>IF(M9="",NA(),M9)</f>
        <v>0.55496730263445881</v>
      </c>
      <c r="M25" s="51">
        <f t="shared" si="19"/>
        <v>0.55496730263445881</v>
      </c>
      <c r="N25" s="51"/>
      <c r="O25" s="51"/>
      <c r="P25" s="50">
        <v>3</v>
      </c>
      <c r="Q25" s="50">
        <f>L$42</f>
        <v>-0.5</v>
      </c>
      <c r="T25" s="36">
        <f t="shared" ref="T25:T30" si="21">W17/(4*V17)</f>
        <v>-1.8552225623718302E-3</v>
      </c>
      <c r="U25" s="36">
        <f t="shared" ref="U25:U30" si="22">V17/(2*T25^2)</f>
        <v>169741.26489580504</v>
      </c>
      <c r="V25" s="36">
        <f t="shared" ref="V25:V30" si="23">U17-(U25*T25)</f>
        <v>311.58588674907861</v>
      </c>
      <c r="W25" s="36">
        <f t="shared" ref="W25:W30" si="24">2*GAMMAINV((1-$Q$4/100)/2,U25/2,1)</f>
        <v>168601.18482986267</v>
      </c>
      <c r="X25" s="36">
        <f t="shared" ref="X25:X30" si="25">2*GAMMAINV(1-(1-$Q$4/100)/2,U25/2,1)</f>
        <v>170885.13357029876</v>
      </c>
      <c r="Y25" s="36">
        <f t="shared" ref="Y25:Y30" si="26">IF(F40&gt;0,V25+(T25*W25),V25+(T25*X25))</f>
        <v>-5.4440686244635117</v>
      </c>
      <c r="Z25" s="36">
        <f t="shared" ref="Z25:Z30" si="27">IF(F40&gt;0,V25+(T25*X25),V25+(T25*W25))</f>
        <v>-1.2068353899057911</v>
      </c>
    </row>
    <row r="26" spans="2:26" x14ac:dyDescent="0.55000000000000004">
      <c r="B26" s="51">
        <v>3.1</v>
      </c>
      <c r="C26" s="51">
        <f>IF(G9="",NA(),G9)</f>
        <v>-0.15967503620888834</v>
      </c>
      <c r="D26" s="51">
        <f t="shared" si="18"/>
        <v>-0.15967503620888834</v>
      </c>
      <c r="E26" s="51"/>
      <c r="F26" s="51"/>
      <c r="G26" s="50">
        <v>3.5</v>
      </c>
      <c r="H26" s="50">
        <f>C$42</f>
        <v>0</v>
      </c>
      <c r="J26" s="31"/>
      <c r="K26" s="51">
        <v>3.1</v>
      </c>
      <c r="L26" s="51">
        <f>IF(P9="",NA(),P9)</f>
        <v>-0.10440686159742485</v>
      </c>
      <c r="M26" s="51">
        <f t="shared" si="19"/>
        <v>-0.10440686159742485</v>
      </c>
      <c r="N26" s="51"/>
      <c r="O26" s="51"/>
      <c r="P26" s="50">
        <v>3.5</v>
      </c>
      <c r="Q26" s="50">
        <f>L$42</f>
        <v>-0.5</v>
      </c>
      <c r="T26" s="38">
        <f t="shared" si="21"/>
        <v>-3.9413979834441646E-4</v>
      </c>
      <c r="U26" s="38">
        <f t="shared" si="22"/>
        <v>3402911.9294147706</v>
      </c>
      <c r="V26" s="38">
        <f t="shared" si="23"/>
        <v>1339.2280039424525</v>
      </c>
      <c r="W26" s="38">
        <f t="shared" si="24"/>
        <v>3397800.6750430651</v>
      </c>
      <c r="X26" s="38">
        <f t="shared" si="25"/>
        <v>3408026.9723980767</v>
      </c>
      <c r="Y26" s="38">
        <f t="shared" si="26"/>
        <v>-4.0110597108575803</v>
      </c>
      <c r="Z26" s="38">
        <f t="shared" si="27"/>
        <v>1.9531066456693225E-2</v>
      </c>
    </row>
    <row r="27" spans="2:26" x14ac:dyDescent="0.55000000000000004">
      <c r="B27" s="51">
        <v>4.0999999999999996</v>
      </c>
      <c r="C27" s="51" t="e">
        <f>IF(H10="",NA(),H10)</f>
        <v>#N/A</v>
      </c>
      <c r="D27" s="51" t="e">
        <f t="shared" si="18"/>
        <v>#N/A</v>
      </c>
      <c r="E27" s="51"/>
      <c r="F27" s="51"/>
      <c r="G27" s="50">
        <v>3.5</v>
      </c>
      <c r="H27" s="50">
        <f>C$43</f>
        <v>0</v>
      </c>
      <c r="J27" s="31"/>
      <c r="K27" s="51">
        <v>4.0999999999999996</v>
      </c>
      <c r="L27" s="51" t="e">
        <f>IF(Q10="",NA(),Q10)</f>
        <v>#N/A</v>
      </c>
      <c r="M27" s="51" t="e">
        <f t="shared" si="19"/>
        <v>#N/A</v>
      </c>
      <c r="N27" s="51"/>
      <c r="O27" s="51"/>
      <c r="P27" s="50">
        <v>3.5</v>
      </c>
      <c r="Q27" s="50">
        <f>L$43</f>
        <v>0</v>
      </c>
      <c r="T27" s="38">
        <f t="shared" si="21"/>
        <v>2.5670335574071721E-4</v>
      </c>
      <c r="U27" s="38">
        <f t="shared" si="22"/>
        <v>7907754.6767140096</v>
      </c>
      <c r="V27" s="38">
        <f t="shared" si="23"/>
        <v>-2028.2595041975017</v>
      </c>
      <c r="W27" s="38">
        <f t="shared" si="24"/>
        <v>7899962.0456838794</v>
      </c>
      <c r="X27" s="38">
        <f t="shared" si="25"/>
        <v>7915551.0963558322</v>
      </c>
      <c r="Y27" s="38">
        <f t="shared" si="26"/>
        <v>-0.31273684614870945</v>
      </c>
      <c r="Z27" s="38">
        <f t="shared" si="27"/>
        <v>3.6890247741537223</v>
      </c>
    </row>
    <row r="28" spans="2:26" x14ac:dyDescent="0.55000000000000004">
      <c r="B28" s="50">
        <v>4.0999999999999996</v>
      </c>
      <c r="C28" s="50" t="e">
        <f>IF(D10="",NA(),D10)</f>
        <v>#N/A</v>
      </c>
      <c r="D28" s="51" t="e">
        <f t="shared" si="18"/>
        <v>#N/A</v>
      </c>
      <c r="E28" s="51"/>
      <c r="F28" s="51"/>
      <c r="G28" s="50">
        <v>4</v>
      </c>
      <c r="H28" s="50">
        <f>C$43</f>
        <v>0</v>
      </c>
      <c r="J28" s="31"/>
      <c r="K28" s="50">
        <v>4.0999999999999996</v>
      </c>
      <c r="L28" s="50" t="e">
        <f>IF(M10="",NA(),M10)</f>
        <v>#N/A</v>
      </c>
      <c r="M28" s="51" t="e">
        <f t="shared" si="19"/>
        <v>#N/A</v>
      </c>
      <c r="N28" s="51"/>
      <c r="O28" s="51"/>
      <c r="P28" s="50">
        <v>4</v>
      </c>
      <c r="Q28" s="50">
        <f>L$43</f>
        <v>0</v>
      </c>
      <c r="T28" s="38" t="e">
        <f t="shared" si="21"/>
        <v>#VALUE!</v>
      </c>
      <c r="U28" s="38" t="e">
        <f t="shared" si="22"/>
        <v>#VALUE!</v>
      </c>
      <c r="V28" s="38" t="e">
        <f t="shared" si="23"/>
        <v>#VALUE!</v>
      </c>
      <c r="W28" s="38" t="e">
        <f t="shared" si="24"/>
        <v>#VALUE!</v>
      </c>
      <c r="X28" s="38" t="e">
        <f t="shared" si="25"/>
        <v>#VALUE!</v>
      </c>
      <c r="Y28" s="38" t="e">
        <f t="shared" si="26"/>
        <v>#VALUE!</v>
      </c>
      <c r="Z28" s="38" t="e">
        <f t="shared" si="27"/>
        <v>#VALUE!</v>
      </c>
    </row>
    <row r="29" spans="2:26" x14ac:dyDescent="0.55000000000000004">
      <c r="B29" s="50">
        <v>4.0999999999999996</v>
      </c>
      <c r="C29" s="51" t="e">
        <f>IF(G10="",NA(),G10)</f>
        <v>#N/A</v>
      </c>
      <c r="D29" s="51" t="e">
        <f t="shared" si="18"/>
        <v>#N/A</v>
      </c>
      <c r="E29" s="51"/>
      <c r="F29" s="51"/>
      <c r="G29" s="50">
        <v>4.5</v>
      </c>
      <c r="H29" s="50">
        <f>C$43</f>
        <v>0</v>
      </c>
      <c r="J29" s="31"/>
      <c r="K29" s="50">
        <v>4.0999999999999996</v>
      </c>
      <c r="L29" s="51" t="e">
        <f>IF(P10="",NA(),P10)</f>
        <v>#N/A</v>
      </c>
      <c r="M29" s="51" t="e">
        <f t="shared" si="19"/>
        <v>#N/A</v>
      </c>
      <c r="N29" s="51"/>
      <c r="O29" s="51"/>
      <c r="P29" s="50">
        <v>4.5</v>
      </c>
      <c r="Q29" s="50">
        <f>L$43</f>
        <v>0</v>
      </c>
      <c r="T29" s="101" t="e">
        <f t="shared" si="21"/>
        <v>#VALUE!</v>
      </c>
      <c r="U29" s="101" t="e">
        <f t="shared" si="22"/>
        <v>#VALUE!</v>
      </c>
      <c r="V29" s="101" t="e">
        <f t="shared" si="23"/>
        <v>#VALUE!</v>
      </c>
      <c r="W29" s="101" t="e">
        <f t="shared" si="24"/>
        <v>#VALUE!</v>
      </c>
      <c r="X29" s="64" t="e">
        <f t="shared" si="25"/>
        <v>#VALUE!</v>
      </c>
      <c r="Y29" s="64" t="e">
        <f t="shared" si="26"/>
        <v>#VALUE!</v>
      </c>
      <c r="Z29" s="64" t="e">
        <f t="shared" si="27"/>
        <v>#VALUE!</v>
      </c>
    </row>
    <row r="30" spans="2:26" ht="14.7" thickBot="1" x14ac:dyDescent="0.6">
      <c r="B30" s="51">
        <v>5.0999999999999996</v>
      </c>
      <c r="C30" s="51" t="e">
        <f>IF(H11="",NA(),H11)</f>
        <v>#N/A</v>
      </c>
      <c r="D30" s="51" t="e">
        <f t="shared" si="18"/>
        <v>#N/A</v>
      </c>
      <c r="E30" s="51"/>
      <c r="F30" s="51"/>
      <c r="G30" s="51">
        <v>4.5</v>
      </c>
      <c r="H30" s="50">
        <f>C$44</f>
        <v>0</v>
      </c>
      <c r="J30" s="31"/>
      <c r="K30" s="51">
        <v>5.0999999999999996</v>
      </c>
      <c r="L30" s="51" t="e">
        <f>IF(Q11="",NA(),Q11)</f>
        <v>#N/A</v>
      </c>
      <c r="M30" s="51" t="e">
        <f t="shared" si="19"/>
        <v>#N/A</v>
      </c>
      <c r="N30" s="51"/>
      <c r="O30" s="51"/>
      <c r="P30" s="51">
        <v>4.5</v>
      </c>
      <c r="Q30" s="50">
        <f>L$44</f>
        <v>0</v>
      </c>
      <c r="T30" s="102" t="e">
        <f t="shared" si="21"/>
        <v>#VALUE!</v>
      </c>
      <c r="U30" s="102" t="e">
        <f t="shared" si="22"/>
        <v>#VALUE!</v>
      </c>
      <c r="V30" s="102" t="e">
        <f t="shared" si="23"/>
        <v>#VALUE!</v>
      </c>
      <c r="W30" s="102" t="e">
        <f t="shared" si="24"/>
        <v>#VALUE!</v>
      </c>
      <c r="X30" s="104" t="e">
        <f t="shared" si="25"/>
        <v>#VALUE!</v>
      </c>
      <c r="Y30" s="104" t="e">
        <f t="shared" si="26"/>
        <v>#VALUE!</v>
      </c>
      <c r="Z30" s="104" t="e">
        <f t="shared" si="27"/>
        <v>#VALUE!</v>
      </c>
    </row>
    <row r="31" spans="2:26" ht="14.7" thickBot="1" x14ac:dyDescent="0.6">
      <c r="B31" s="51">
        <v>5.0999999999999996</v>
      </c>
      <c r="C31" s="50" t="e">
        <f>IF(D11="",NA(),D11)</f>
        <v>#N/A</v>
      </c>
      <c r="D31" s="51" t="e">
        <f t="shared" si="18"/>
        <v>#N/A</v>
      </c>
      <c r="E31" s="51"/>
      <c r="F31" s="51"/>
      <c r="G31" s="51">
        <v>5</v>
      </c>
      <c r="H31" s="50">
        <f>C$44</f>
        <v>0</v>
      </c>
      <c r="J31" s="31"/>
      <c r="K31" s="51">
        <v>5.0999999999999996</v>
      </c>
      <c r="L31" s="50" t="e">
        <f>IF(M11="",NA(),M11)</f>
        <v>#N/A</v>
      </c>
      <c r="M31" s="51" t="e">
        <f t="shared" si="19"/>
        <v>#N/A</v>
      </c>
      <c r="N31" s="51"/>
      <c r="O31" s="51"/>
      <c r="P31" s="51">
        <v>5</v>
      </c>
      <c r="Q31" s="50">
        <f>L$44</f>
        <v>0</v>
      </c>
      <c r="T31" s="54"/>
      <c r="U31" s="54"/>
      <c r="V31" s="54"/>
      <c r="W31" s="54"/>
      <c r="X31" s="54"/>
      <c r="Y31" s="54"/>
      <c r="Z31" s="54"/>
    </row>
    <row r="32" spans="2:26" ht="14.7" thickBot="1" x14ac:dyDescent="0.6">
      <c r="B32" s="51">
        <v>5.0999999999999996</v>
      </c>
      <c r="C32" s="51" t="e">
        <f>IF(G11="",NA(),G11)</f>
        <v>#N/A</v>
      </c>
      <c r="D32" s="51" t="e">
        <f t="shared" si="18"/>
        <v>#N/A</v>
      </c>
      <c r="E32" s="51"/>
      <c r="F32" s="51"/>
      <c r="G32" s="51">
        <v>5.5</v>
      </c>
      <c r="H32" s="50">
        <f>C$44</f>
        <v>0</v>
      </c>
      <c r="K32" s="51">
        <v>5.0999999999999996</v>
      </c>
      <c r="L32" s="51" t="e">
        <f>IF(P11="",NA(),P11)</f>
        <v>#N/A</v>
      </c>
      <c r="M32" s="51" t="e">
        <f t="shared" si="19"/>
        <v>#N/A</v>
      </c>
      <c r="N32" s="51"/>
      <c r="O32" s="51"/>
      <c r="P32" s="51">
        <v>5.5</v>
      </c>
      <c r="Q32" s="50">
        <f>L$44</f>
        <v>0</v>
      </c>
      <c r="V32" s="76" t="s">
        <v>69</v>
      </c>
      <c r="W32" s="76" t="s">
        <v>70</v>
      </c>
      <c r="X32" s="76" t="s">
        <v>71</v>
      </c>
      <c r="Y32" s="76" t="s">
        <v>21</v>
      </c>
      <c r="Z32" s="76" t="s">
        <v>22</v>
      </c>
    </row>
    <row r="33" spans="2:26" ht="15.6" x14ac:dyDescent="0.6">
      <c r="B33" s="51">
        <v>6.1</v>
      </c>
      <c r="C33" s="51" t="e">
        <f>IF(H12="",NA(),H12)</f>
        <v>#N/A</v>
      </c>
      <c r="D33" s="51" t="e">
        <f t="shared" si="18"/>
        <v>#N/A</v>
      </c>
      <c r="E33" s="51"/>
      <c r="F33" s="51"/>
      <c r="G33" s="51">
        <v>5.5</v>
      </c>
      <c r="H33" s="50">
        <f>C$45</f>
        <v>0</v>
      </c>
      <c r="J33" s="4"/>
      <c r="K33" s="51">
        <v>6.1</v>
      </c>
      <c r="L33" s="51" t="e">
        <f>IF(Q12="",NA(),Q12)</f>
        <v>#N/A</v>
      </c>
      <c r="M33" s="51" t="e">
        <f t="shared" si="19"/>
        <v>#N/A</v>
      </c>
      <c r="N33" s="51"/>
      <c r="O33" s="51"/>
      <c r="P33" s="51">
        <v>5.5</v>
      </c>
      <c r="Q33" s="50">
        <f>L$45</f>
        <v>0</v>
      </c>
      <c r="V33" s="37">
        <f t="shared" ref="V33:V38" si="28">SQRT(V17)</f>
        <v>1.080947825655554</v>
      </c>
      <c r="W33" s="37">
        <f t="shared" ref="W33:W38" si="29">NORMINV((1-$Q$4/100)/2,0,1)</f>
        <v>-1.9599639845400536</v>
      </c>
      <c r="X33" s="37">
        <f t="shared" ref="X33:X38" si="30">NORMINV(1-(1-$Q$4/100)/2,0,1)</f>
        <v>1.9599639845400536</v>
      </c>
      <c r="Y33" s="37">
        <f t="shared" ref="Y33:Y38" si="31">U17+W33*V33</f>
        <v>-5.4405564586041848</v>
      </c>
      <c r="Z33" s="37">
        <f t="shared" ref="Z33:Z38" si="32">U17+X33*V33</f>
        <v>-1.2033188437006506</v>
      </c>
    </row>
    <row r="34" spans="2:26" x14ac:dyDescent="0.55000000000000004">
      <c r="B34" s="51">
        <v>6.1</v>
      </c>
      <c r="C34" s="50" t="e">
        <f>IF(D12="",NA(),D12)</f>
        <v>#N/A</v>
      </c>
      <c r="D34" s="51" t="e">
        <f t="shared" si="18"/>
        <v>#N/A</v>
      </c>
      <c r="E34" s="51"/>
      <c r="F34" s="51"/>
      <c r="G34" s="51">
        <v>6</v>
      </c>
      <c r="H34" s="50">
        <f>C$45</f>
        <v>0</v>
      </c>
      <c r="J34" s="35"/>
      <c r="K34" s="51">
        <v>6.1</v>
      </c>
      <c r="L34" s="50" t="e">
        <f>IF(M12="",NA(),M12)</f>
        <v>#N/A</v>
      </c>
      <c r="M34" s="51" t="e">
        <f t="shared" si="19"/>
        <v>#N/A</v>
      </c>
      <c r="N34" s="51"/>
      <c r="O34" s="51"/>
      <c r="P34" s="51">
        <v>6</v>
      </c>
      <c r="Q34" s="50">
        <f>L$45</f>
        <v>0</v>
      </c>
      <c r="V34" s="37">
        <f t="shared" si="28"/>
        <v>1.0282308799928133</v>
      </c>
      <c r="W34" s="37">
        <f t="shared" si="29"/>
        <v>-1.9599639845400536</v>
      </c>
      <c r="X34" s="37">
        <f t="shared" si="30"/>
        <v>1.9599639845400536</v>
      </c>
      <c r="Y34" s="37">
        <f t="shared" si="31"/>
        <v>-4.0103131934722489</v>
      </c>
      <c r="Z34" s="37">
        <f t="shared" si="32"/>
        <v>2.0277791683430912E-2</v>
      </c>
    </row>
    <row r="35" spans="2:26" x14ac:dyDescent="0.55000000000000004">
      <c r="B35" s="51">
        <v>6.1</v>
      </c>
      <c r="C35" s="51" t="e">
        <f>IF(G12="",NA(),G12)</f>
        <v>#N/A</v>
      </c>
      <c r="D35" s="51" t="e">
        <f t="shared" si="18"/>
        <v>#N/A</v>
      </c>
      <c r="E35" s="51"/>
      <c r="F35" s="51"/>
      <c r="G35" s="51">
        <v>6.5</v>
      </c>
      <c r="H35" s="50">
        <f>C$45</f>
        <v>0</v>
      </c>
      <c r="J35" s="35"/>
      <c r="K35" s="51">
        <v>6.1</v>
      </c>
      <c r="L35" s="51" t="e">
        <f>IF(P12="",NA(),P12)</f>
        <v>#N/A</v>
      </c>
      <c r="M35" s="51" t="e">
        <f t="shared" si="19"/>
        <v>#N/A</v>
      </c>
      <c r="N35" s="51"/>
      <c r="O35" s="51"/>
      <c r="P35" s="51">
        <v>6.5</v>
      </c>
      <c r="Q35" s="50">
        <f>L$45</f>
        <v>0</v>
      </c>
      <c r="V35" s="37">
        <f t="shared" si="28"/>
        <v>1.0208763376949197</v>
      </c>
      <c r="W35" s="37">
        <f t="shared" si="29"/>
        <v>-1.9599639845400536</v>
      </c>
      <c r="X35" s="37">
        <f t="shared" si="30"/>
        <v>1.9599639845400536</v>
      </c>
      <c r="Y35" s="37">
        <f t="shared" si="31"/>
        <v>-0.31322316521634286</v>
      </c>
      <c r="Z35" s="37">
        <f t="shared" si="32"/>
        <v>3.6885385438860414</v>
      </c>
    </row>
    <row r="36" spans="2:26" x14ac:dyDescent="0.55000000000000004">
      <c r="B36" s="30"/>
      <c r="C36" s="30"/>
      <c r="D36" s="30"/>
      <c r="E36" s="30"/>
      <c r="F36" s="30"/>
      <c r="G36" s="30"/>
      <c r="H36" s="30"/>
      <c r="V36" s="37" t="e">
        <f t="shared" si="28"/>
        <v>#VALUE!</v>
      </c>
      <c r="W36" s="37">
        <f t="shared" si="29"/>
        <v>-1.9599639845400536</v>
      </c>
      <c r="X36" s="37">
        <f t="shared" si="30"/>
        <v>1.9599639845400536</v>
      </c>
      <c r="Y36" s="37" t="e">
        <f t="shared" si="31"/>
        <v>#VALUE!</v>
      </c>
      <c r="Z36" s="37" t="e">
        <f t="shared" si="32"/>
        <v>#VALUE!</v>
      </c>
    </row>
    <row r="37" spans="2:26" ht="15.6" x14ac:dyDescent="0.6">
      <c r="B37" s="60" t="s">
        <v>118</v>
      </c>
      <c r="C37" s="54"/>
      <c r="D37" s="54"/>
      <c r="E37" s="54"/>
      <c r="F37" s="54"/>
      <c r="G37" s="54"/>
      <c r="H37" s="54"/>
      <c r="J37" s="31"/>
      <c r="K37" s="60" t="s">
        <v>120</v>
      </c>
      <c r="L37" s="3"/>
      <c r="M37" s="3"/>
      <c r="N37" s="3"/>
      <c r="O37" s="3"/>
      <c r="P37" s="3"/>
      <c r="Q37" s="3"/>
      <c r="V37" s="37" t="e">
        <f t="shared" si="28"/>
        <v>#VALUE!</v>
      </c>
      <c r="W37" s="37">
        <f t="shared" si="29"/>
        <v>-1.9599639845400536</v>
      </c>
      <c r="X37" s="37">
        <f t="shared" si="30"/>
        <v>1.9599639845400536</v>
      </c>
      <c r="Y37" s="37" t="e">
        <f t="shared" si="31"/>
        <v>#VALUE!</v>
      </c>
      <c r="Z37" s="37" t="e">
        <f t="shared" si="32"/>
        <v>#VALUE!</v>
      </c>
    </row>
    <row r="38" spans="2:26" ht="14.7" thickBot="1" x14ac:dyDescent="0.6">
      <c r="B38" s="54"/>
      <c r="C38" s="54"/>
      <c r="D38" s="54"/>
      <c r="E38" s="54"/>
      <c r="F38" s="54"/>
      <c r="G38" s="54"/>
      <c r="H38" s="54"/>
      <c r="J38" s="31"/>
      <c r="K38" s="3"/>
      <c r="L38" s="3"/>
      <c r="M38" s="3"/>
      <c r="N38" s="3"/>
      <c r="O38" s="3"/>
      <c r="P38" s="3"/>
      <c r="Q38" s="3"/>
      <c r="V38" s="37" t="e">
        <f t="shared" si="28"/>
        <v>#VALUE!</v>
      </c>
      <c r="W38" s="37">
        <f t="shared" si="29"/>
        <v>-1.9599639845400536</v>
      </c>
      <c r="X38" s="37">
        <f t="shared" si="30"/>
        <v>1.9599639845400536</v>
      </c>
      <c r="Y38" s="37" t="e">
        <f t="shared" si="31"/>
        <v>#VALUE!</v>
      </c>
      <c r="Z38" s="37" t="e">
        <f t="shared" si="32"/>
        <v>#VALUE!</v>
      </c>
    </row>
    <row r="39" spans="2:26" ht="14.7" thickBot="1" x14ac:dyDescent="0.6">
      <c r="B39" s="92" t="s">
        <v>4</v>
      </c>
      <c r="C39" s="93" t="s">
        <v>37</v>
      </c>
      <c r="D39" s="93" t="s">
        <v>54</v>
      </c>
      <c r="E39" s="62" t="s">
        <v>85</v>
      </c>
      <c r="F39" s="76" t="s">
        <v>11</v>
      </c>
      <c r="G39" s="63" t="s">
        <v>2</v>
      </c>
      <c r="H39" s="76" t="s">
        <v>53</v>
      </c>
      <c r="J39" s="31"/>
      <c r="K39" s="191" t="s">
        <v>4</v>
      </c>
      <c r="L39" s="62" t="s">
        <v>41</v>
      </c>
      <c r="M39" s="3"/>
      <c r="N39" s="3"/>
      <c r="O39" s="3"/>
      <c r="P39" s="3"/>
      <c r="Q39" s="3"/>
      <c r="V39" s="40"/>
      <c r="W39" s="40"/>
      <c r="X39" s="40"/>
      <c r="Y39" s="40"/>
      <c r="Z39" s="40"/>
    </row>
    <row r="40" spans="2:26" x14ac:dyDescent="0.55000000000000004">
      <c r="B40" s="22" t="str">
        <f t="shared" ref="B40:B45" si="33">B7</f>
        <v>1 vs. 2</v>
      </c>
      <c r="C40" s="17">
        <v>0</v>
      </c>
      <c r="D40" s="23">
        <f t="shared" ref="D40:D45" si="34">IFERROR(D7-C40,"")</f>
        <v>-1.9313725490196076</v>
      </c>
      <c r="E40" s="23">
        <f>IF(B7="","",SQRT((E7^2/Data!T7)+(E7^2/Data!T8)))</f>
        <v>0.57701216673090816</v>
      </c>
      <c r="F40" s="36">
        <f>IFERROR(D40/E40,"")</f>
        <v>-3.3471955365549695</v>
      </c>
      <c r="G40" s="55">
        <f>IFERROR(Data!T7+Data!T8-2,"")</f>
        <v>33</v>
      </c>
      <c r="H40" s="23">
        <f t="shared" ref="H40:H45" si="35">IFERROR(IF(TDIST(ABS(F40),G40,2)&lt;0.001,"&lt; 0.001",TDIST(ABS(F40),G40,2)),"")</f>
        <v>2.0497180219682032E-3</v>
      </c>
      <c r="J40" s="31"/>
      <c r="K40" s="22" t="str">
        <f t="shared" ref="K40:K45" si="36">K7</f>
        <v>1 vs. 2</v>
      </c>
      <c r="L40" s="17">
        <v>-0.5</v>
      </c>
      <c r="M40" s="3"/>
      <c r="N40" s="3"/>
      <c r="O40" s="3"/>
      <c r="P40" s="3"/>
      <c r="Q40" s="3"/>
    </row>
    <row r="41" spans="2:26" x14ac:dyDescent="0.55000000000000004">
      <c r="B41" s="24" t="str">
        <f t="shared" si="33"/>
        <v>1 vs. 3</v>
      </c>
      <c r="C41" s="18">
        <v>0</v>
      </c>
      <c r="D41" s="25">
        <f t="shared" si="34"/>
        <v>-1.1140350877192984</v>
      </c>
      <c r="E41" s="25">
        <f>IF(B8="","",SQRT((E8^2/Data!T7)+(E8^2/Data!T9)))</f>
        <v>0.55443473977248103</v>
      </c>
      <c r="F41" s="38">
        <f t="shared" ref="F41:F45" si="37">IFERROR(D41/E41,"")</f>
        <v>-2.0093168912475723</v>
      </c>
      <c r="G41" s="56">
        <f>IFERROR(Data!T7+Data!T9-2,"")</f>
        <v>35</v>
      </c>
      <c r="H41" s="25">
        <f t="shared" si="35"/>
        <v>5.2264285042217966E-2</v>
      </c>
      <c r="J41" s="31"/>
      <c r="K41" s="24" t="str">
        <f t="shared" si="36"/>
        <v>1 vs. 3</v>
      </c>
      <c r="L41" s="18">
        <v>-0.5</v>
      </c>
      <c r="M41" s="3"/>
      <c r="N41" s="3"/>
      <c r="O41" s="3"/>
      <c r="P41" s="3"/>
      <c r="Q41" s="3"/>
    </row>
    <row r="42" spans="2:26" x14ac:dyDescent="0.55000000000000004">
      <c r="B42" s="24" t="str">
        <f t="shared" si="33"/>
        <v>2 vs. 3</v>
      </c>
      <c r="C42" s="18">
        <v>0</v>
      </c>
      <c r="D42" s="25">
        <f t="shared" si="34"/>
        <v>0.81733746130030926</v>
      </c>
      <c r="E42" s="25">
        <f>IF(B9="","",SQRT((E9^2/Data!T8)+(E9^2/Data!T9)))</f>
        <v>0.48075538796126843</v>
      </c>
      <c r="F42" s="38">
        <f t="shared" si="37"/>
        <v>1.7001108708659074</v>
      </c>
      <c r="G42" s="56">
        <f>IFERROR(Data!T8+Data!T9-2,"")</f>
        <v>34</v>
      </c>
      <c r="H42" s="25">
        <f t="shared" si="35"/>
        <v>9.8241989827784468E-2</v>
      </c>
      <c r="J42" s="31"/>
      <c r="K42" s="24" t="str">
        <f t="shared" si="36"/>
        <v>2 vs. 3</v>
      </c>
      <c r="L42" s="18">
        <v>-0.5</v>
      </c>
      <c r="M42" s="3"/>
      <c r="N42" s="3"/>
      <c r="O42" s="3"/>
      <c r="P42" s="3"/>
      <c r="Q42" s="3"/>
    </row>
    <row r="43" spans="2:26" x14ac:dyDescent="0.55000000000000004">
      <c r="B43" s="24" t="str">
        <f t="shared" si="33"/>
        <v/>
      </c>
      <c r="C43" s="18"/>
      <c r="D43" s="25" t="str">
        <f t="shared" si="34"/>
        <v/>
      </c>
      <c r="E43" s="25" t="str">
        <f>IF(B10="","",SQRT((E10^2/Data!T7)+(E10^2/Data!T10)))</f>
        <v/>
      </c>
      <c r="F43" s="38" t="str">
        <f t="shared" si="37"/>
        <v/>
      </c>
      <c r="G43" s="56" t="str">
        <f>IFERROR(Data!T7+Data!T10-2,"")</f>
        <v/>
      </c>
      <c r="H43" s="25" t="str">
        <f t="shared" si="35"/>
        <v/>
      </c>
      <c r="J43" s="31"/>
      <c r="K43" s="24" t="str">
        <f t="shared" si="36"/>
        <v/>
      </c>
      <c r="L43" s="18"/>
      <c r="M43" s="3"/>
      <c r="N43" s="3"/>
      <c r="O43" s="3"/>
      <c r="P43" s="3"/>
      <c r="Q43" s="3"/>
    </row>
    <row r="44" spans="2:26" x14ac:dyDescent="0.55000000000000004">
      <c r="B44" s="24" t="str">
        <f t="shared" si="33"/>
        <v/>
      </c>
      <c r="C44" s="18"/>
      <c r="D44" s="25" t="str">
        <f t="shared" si="34"/>
        <v/>
      </c>
      <c r="E44" s="25" t="str">
        <f>IF(B11="","",SQRT((E11^2/Data!T8)+(E11^2/Data!T10)))</f>
        <v/>
      </c>
      <c r="F44" s="38" t="str">
        <f t="shared" si="37"/>
        <v/>
      </c>
      <c r="G44" s="56" t="str">
        <f>IFERROR(Data!T8+Data!T10-2,"")</f>
        <v/>
      </c>
      <c r="H44" s="25" t="str">
        <f t="shared" si="35"/>
        <v/>
      </c>
      <c r="J44" s="31"/>
      <c r="K44" s="24" t="str">
        <f t="shared" si="36"/>
        <v/>
      </c>
      <c r="L44" s="18"/>
      <c r="M44" s="3"/>
      <c r="N44" s="3"/>
      <c r="O44" s="3"/>
      <c r="P44" s="3"/>
      <c r="Q44" s="3"/>
    </row>
    <row r="45" spans="2:26" ht="14.7" thickBot="1" x14ac:dyDescent="0.6">
      <c r="B45" s="26" t="str">
        <f t="shared" si="33"/>
        <v/>
      </c>
      <c r="C45" s="19"/>
      <c r="D45" s="27" t="str">
        <f t="shared" si="34"/>
        <v/>
      </c>
      <c r="E45" s="27" t="str">
        <f>IF(B12="","",SQRT((E12^2/Data!T9)+(E12^2/Data!T10)))</f>
        <v/>
      </c>
      <c r="F45" s="39" t="str">
        <f t="shared" si="37"/>
        <v/>
      </c>
      <c r="G45" s="57" t="str">
        <f>IFERROR(Data!T9+Data!T10-2,"")</f>
        <v/>
      </c>
      <c r="H45" s="27" t="str">
        <f t="shared" si="35"/>
        <v/>
      </c>
      <c r="J45" s="31"/>
      <c r="K45" s="26" t="str">
        <f t="shared" si="36"/>
        <v/>
      </c>
      <c r="L45" s="19"/>
      <c r="M45" s="3"/>
      <c r="N45" s="3"/>
      <c r="O45" s="3"/>
      <c r="P45" s="3"/>
      <c r="Q45" s="3"/>
    </row>
    <row r="46" spans="2:26" x14ac:dyDescent="0.55000000000000004">
      <c r="B46" s="40"/>
      <c r="C46" s="2"/>
      <c r="D46" s="40"/>
      <c r="E46" s="2"/>
      <c r="F46" s="40"/>
      <c r="G46" s="40"/>
      <c r="H46" s="40"/>
      <c r="J46" s="31"/>
      <c r="K46" s="40"/>
      <c r="L46" s="2"/>
      <c r="M46" s="3"/>
      <c r="N46" s="3"/>
      <c r="O46" s="3"/>
      <c r="P46" s="3"/>
      <c r="Q46" s="3"/>
    </row>
    <row r="52" spans="1:9" x14ac:dyDescent="0.55000000000000004">
      <c r="A52" s="35"/>
      <c r="C52" s="54"/>
      <c r="D52" s="54"/>
      <c r="E52" s="54"/>
      <c r="F52" s="54"/>
      <c r="G52" s="54"/>
      <c r="H52" s="54"/>
      <c r="I52" s="54"/>
    </row>
    <row r="53" spans="1:9" x14ac:dyDescent="0.55000000000000004">
      <c r="B53" s="54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2020-01-04T17:02:20Z</dcterms:modified>
</cp:coreProperties>
</file>