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showInkAnnotation="0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uwspedu-my.sharepoint.com/personal/cwendorf_uwsp_edu/Documents/Research/Statistics/BASE/EASE/"/>
    </mc:Choice>
  </mc:AlternateContent>
  <xr:revisionPtr revIDLastSave="6" documentId="114_{AB3BBBDC-6721-411F-B235-F970690E0475}" xr6:coauthVersionLast="47" xr6:coauthVersionMax="47" xr10:uidLastSave="{1E868972-609B-4392-92C9-8316A79E1185}"/>
  <bookViews>
    <workbookView xWindow="-108" yWindow="-108" windowWidth="23256" windowHeight="12576" xr2:uid="{00000000-000D-0000-FFFF-FFFF00000000}"/>
  </bookViews>
  <sheets>
    <sheet name="Intro" sheetId="19" r:id="rId1"/>
    <sheet name="Data" sheetId="1" r:id="rId2"/>
    <sheet name="Means" sheetId="2" r:id="rId3"/>
    <sheet name="OneComp" sheetId="21" r:id="rId4"/>
    <sheet name="Pairwise" sheetId="8" r:id="rId5"/>
  </sheets>
  <externalReferences>
    <externalReference r:id="rId6"/>
    <externalReference r:id="rId7"/>
    <externalReference r:id="rId8"/>
  </externalReferences>
  <definedNames>
    <definedName name="_xlnm._FilterDatabase" localSheetId="1" hidden="1">Data!$K$4:$O$4</definedName>
    <definedName name="Graph" localSheetId="3">[1]Data!#REF!</definedName>
    <definedName name="Graph">[1]Data!#REF!</definedName>
    <definedName name="Relational" localSheetId="3">[1]Data!#REF!</definedName>
    <definedName name="Relational">[1]Data!#REF!</definedName>
    <definedName name="SPSS" localSheetId="3">[2]Data!#REF!</definedName>
    <definedName name="SPSS">[2]Data!#REF!</definedName>
    <definedName name="SPSS2" localSheetId="3">[3]Data!#REF!</definedName>
    <definedName name="SPSS2">[3]Data!#REF!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21" l="1"/>
  <c r="B40" i="21"/>
  <c r="L4" i="1"/>
  <c r="X7" i="1"/>
  <c r="E8" i="21"/>
  <c r="M4" i="1"/>
  <c r="X8" i="1"/>
  <c r="E7" i="21"/>
  <c r="W7" i="1"/>
  <c r="D8" i="21"/>
  <c r="W8" i="1"/>
  <c r="D7" i="21"/>
  <c r="V7" i="1"/>
  <c r="C8" i="21"/>
  <c r="V8" i="1"/>
  <c r="C7" i="21"/>
  <c r="G41" i="21"/>
  <c r="N8" i="21"/>
  <c r="L8" i="21"/>
  <c r="O8" i="21"/>
  <c r="G44" i="21"/>
  <c r="T19" i="21"/>
  <c r="D11" i="21"/>
  <c r="D44" i="21"/>
  <c r="F7" i="21"/>
  <c r="F8" i="21"/>
  <c r="X22" i="1"/>
  <c r="C11" i="21"/>
  <c r="F11" i="21"/>
  <c r="F44" i="21"/>
  <c r="U19" i="21"/>
  <c r="W19" i="21"/>
  <c r="V19" i="21"/>
  <c r="X19" i="21"/>
  <c r="V29" i="21"/>
  <c r="X29" i="21"/>
  <c r="Z29" i="21"/>
  <c r="Z19" i="21"/>
  <c r="Q11" i="21"/>
  <c r="W29" i="21"/>
  <c r="Y29" i="21"/>
  <c r="Y19" i="21"/>
  <c r="P11" i="21"/>
  <c r="G11" i="21"/>
  <c r="D7" i="8"/>
  <c r="B7" i="8"/>
  <c r="B40" i="8"/>
  <c r="G40" i="8"/>
  <c r="Z7" i="1"/>
  <c r="Z8" i="1"/>
  <c r="F7" i="8"/>
  <c r="G7" i="8"/>
  <c r="T24" i="21"/>
  <c r="U24" i="21"/>
  <c r="V24" i="21"/>
  <c r="W24" i="21"/>
  <c r="X24" i="21"/>
  <c r="Y24" i="21"/>
  <c r="Z24" i="21"/>
  <c r="L11" i="21"/>
  <c r="O11" i="21"/>
  <c r="E11" i="21"/>
  <c r="E7" i="8"/>
  <c r="N11" i="21"/>
  <c r="M11" i="21"/>
  <c r="M8" i="21"/>
  <c r="L22" i="21"/>
  <c r="L25" i="21"/>
  <c r="L24" i="21"/>
  <c r="N4" i="1"/>
  <c r="V9" i="1"/>
  <c r="W9" i="1"/>
  <c r="O4" i="1"/>
  <c r="W10" i="1"/>
  <c r="D12" i="8"/>
  <c r="X9" i="1"/>
  <c r="X10" i="1"/>
  <c r="L12" i="8"/>
  <c r="Z24" i="1"/>
  <c r="O12" i="8"/>
  <c r="D11" i="8"/>
  <c r="L11" i="8"/>
  <c r="Z23" i="1"/>
  <c r="O11" i="8"/>
  <c r="D10" i="8"/>
  <c r="L10" i="8"/>
  <c r="Z22" i="1"/>
  <c r="O10" i="8"/>
  <c r="D9" i="8"/>
  <c r="L9" i="8"/>
  <c r="Y23" i="1"/>
  <c r="O9" i="8"/>
  <c r="D8" i="8"/>
  <c r="L8" i="8"/>
  <c r="Y22" i="1"/>
  <c r="O8" i="8"/>
  <c r="L7" i="8"/>
  <c r="O7" i="8"/>
  <c r="B10" i="8"/>
  <c r="B43" i="8"/>
  <c r="G43" i="8"/>
  <c r="C10" i="8"/>
  <c r="N10" i="8"/>
  <c r="M10" i="8"/>
  <c r="N10" i="21"/>
  <c r="T18" i="21"/>
  <c r="D41" i="21"/>
  <c r="F41" i="21"/>
  <c r="U18" i="21"/>
  <c r="X28" i="21"/>
  <c r="V18" i="21"/>
  <c r="V28" i="21"/>
  <c r="Z28" i="21"/>
  <c r="W28" i="21"/>
  <c r="Y28" i="21"/>
  <c r="G40" i="21"/>
  <c r="T17" i="21"/>
  <c r="D40" i="21"/>
  <c r="F40" i="21"/>
  <c r="U17" i="21"/>
  <c r="X27" i="21"/>
  <c r="V17" i="21"/>
  <c r="V27" i="21"/>
  <c r="Z27" i="21"/>
  <c r="W27" i="21"/>
  <c r="Y27" i="21"/>
  <c r="W18" i="21"/>
  <c r="T23" i="21"/>
  <c r="U23" i="21"/>
  <c r="V23" i="21"/>
  <c r="X23" i="21"/>
  <c r="W23" i="21"/>
  <c r="Z23" i="21"/>
  <c r="Y23" i="21"/>
  <c r="W17" i="21"/>
  <c r="T22" i="21"/>
  <c r="U22" i="21"/>
  <c r="V22" i="21"/>
  <c r="W22" i="21"/>
  <c r="X22" i="21"/>
  <c r="Z22" i="21"/>
  <c r="Y22" i="21"/>
  <c r="X18" i="21"/>
  <c r="Z18" i="21"/>
  <c r="Y18" i="21"/>
  <c r="X17" i="21"/>
  <c r="Z17" i="21"/>
  <c r="Y17" i="21"/>
  <c r="N7" i="21"/>
  <c r="L7" i="21"/>
  <c r="O7" i="21"/>
  <c r="K8" i="21"/>
  <c r="K41" i="21"/>
  <c r="K7" i="21"/>
  <c r="K40" i="21"/>
  <c r="H7" i="21"/>
  <c r="C18" i="21"/>
  <c r="C19" i="21"/>
  <c r="G7" i="21"/>
  <c r="C20" i="21"/>
  <c r="H8" i="21"/>
  <c r="C21" i="21"/>
  <c r="C22" i="21"/>
  <c r="G8" i="21"/>
  <c r="C23" i="21"/>
  <c r="H11" i="21"/>
  <c r="C25" i="21"/>
  <c r="C24" i="21"/>
  <c r="C26" i="21"/>
  <c r="O34" i="21"/>
  <c r="O35" i="21"/>
  <c r="P34" i="21"/>
  <c r="Q34" i="21"/>
  <c r="Q35" i="21"/>
  <c r="P35" i="21"/>
  <c r="Q7" i="21"/>
  <c r="L18" i="21"/>
  <c r="M7" i="21"/>
  <c r="L19" i="21"/>
  <c r="P7" i="21"/>
  <c r="L20" i="21"/>
  <c r="Q8" i="21"/>
  <c r="L21" i="21"/>
  <c r="P8" i="21"/>
  <c r="L23" i="21"/>
  <c r="L26" i="21"/>
  <c r="O31" i="21"/>
  <c r="O32" i="21"/>
  <c r="P31" i="21"/>
  <c r="P32" i="21"/>
  <c r="Q31" i="21"/>
  <c r="Q32" i="21"/>
  <c r="N32" i="21"/>
  <c r="L32" i="21"/>
  <c r="N31" i="21"/>
  <c r="L31" i="21"/>
  <c r="P23" i="21"/>
  <c r="Q16" i="21"/>
  <c r="P24" i="21"/>
  <c r="P25" i="21"/>
  <c r="P26" i="21"/>
  <c r="P27" i="21"/>
  <c r="P28" i="21"/>
  <c r="Q28" i="21"/>
  <c r="Q27" i="21"/>
  <c r="Q26" i="21"/>
  <c r="M26" i="21"/>
  <c r="Q25" i="21"/>
  <c r="M25" i="21"/>
  <c r="Q24" i="21"/>
  <c r="M24" i="21"/>
  <c r="Q23" i="21"/>
  <c r="M23" i="21"/>
  <c r="P22" i="21"/>
  <c r="Q22" i="21"/>
  <c r="M22" i="21"/>
  <c r="P21" i="21"/>
  <c r="Q21" i="21"/>
  <c r="M21" i="21"/>
  <c r="P20" i="21"/>
  <c r="Q20" i="21"/>
  <c r="M20" i="21"/>
  <c r="P19" i="21"/>
  <c r="Q19" i="21"/>
  <c r="M19" i="21"/>
  <c r="P18" i="21"/>
  <c r="Q18" i="21"/>
  <c r="M18" i="21"/>
  <c r="K11" i="21"/>
  <c r="N6" i="21"/>
  <c r="T10" i="1"/>
  <c r="B10" i="2"/>
  <c r="K10" i="2"/>
  <c r="K43" i="2"/>
  <c r="T9" i="1"/>
  <c r="B9" i="2"/>
  <c r="K9" i="2"/>
  <c r="K42" i="2"/>
  <c r="T8" i="1"/>
  <c r="B8" i="2"/>
  <c r="K8" i="2"/>
  <c r="K41" i="2"/>
  <c r="T7" i="1"/>
  <c r="B7" i="2"/>
  <c r="K7" i="2"/>
  <c r="K40" i="2"/>
  <c r="B12" i="8"/>
  <c r="K12" i="8"/>
  <c r="K45" i="8"/>
  <c r="B11" i="8"/>
  <c r="K11" i="8"/>
  <c r="K44" i="8"/>
  <c r="K10" i="8"/>
  <c r="K43" i="8"/>
  <c r="B9" i="8"/>
  <c r="K9" i="8"/>
  <c r="K42" i="8"/>
  <c r="B8" i="8"/>
  <c r="K8" i="8"/>
  <c r="K41" i="8"/>
  <c r="K7" i="8"/>
  <c r="K40" i="8"/>
  <c r="E43" i="21"/>
  <c r="C6" i="8"/>
  <c r="N6" i="8"/>
  <c r="C7" i="8"/>
  <c r="N7" i="8"/>
  <c r="B41" i="8"/>
  <c r="G41" i="8"/>
  <c r="C8" i="8"/>
  <c r="N8" i="8"/>
  <c r="B42" i="8"/>
  <c r="G42" i="8"/>
  <c r="C9" i="8"/>
  <c r="N9" i="8"/>
  <c r="B44" i="8"/>
  <c r="G44" i="8"/>
  <c r="C11" i="8"/>
  <c r="N11" i="8"/>
  <c r="B45" i="8"/>
  <c r="G45" i="8"/>
  <c r="C12" i="8"/>
  <c r="N12" i="8"/>
  <c r="D45" i="8"/>
  <c r="D44" i="8"/>
  <c r="D43" i="8"/>
  <c r="D42" i="8"/>
  <c r="D41" i="8"/>
  <c r="D40" i="8"/>
  <c r="D7" i="2"/>
  <c r="D40" i="2"/>
  <c r="E40" i="2"/>
  <c r="F40" i="2"/>
  <c r="Y7" i="1"/>
  <c r="G40" i="2"/>
  <c r="T17" i="2"/>
  <c r="U17" i="2"/>
  <c r="V17" i="2"/>
  <c r="W17" i="2"/>
  <c r="T23" i="2"/>
  <c r="U23" i="2"/>
  <c r="V23" i="2"/>
  <c r="X23" i="2"/>
  <c r="W23" i="2"/>
  <c r="Y23" i="2"/>
  <c r="E7" i="2"/>
  <c r="L7" i="2"/>
  <c r="N7" i="2"/>
  <c r="O7" i="2"/>
  <c r="V10" i="1"/>
  <c r="Y10" i="1"/>
  <c r="N10" i="2"/>
  <c r="Y9" i="1"/>
  <c r="N9" i="2"/>
  <c r="Y8" i="1"/>
  <c r="N8" i="2"/>
  <c r="D10" i="2"/>
  <c r="Z10" i="1"/>
  <c r="H10" i="2"/>
  <c r="G10" i="2"/>
  <c r="D9" i="2"/>
  <c r="Z9" i="1"/>
  <c r="H9" i="2"/>
  <c r="G9" i="2"/>
  <c r="D8" i="2"/>
  <c r="H8" i="2"/>
  <c r="G8" i="2"/>
  <c r="H7" i="2"/>
  <c r="G7" i="2"/>
  <c r="F10" i="2"/>
  <c r="F9" i="2"/>
  <c r="F8" i="2"/>
  <c r="F7" i="2"/>
  <c r="D43" i="2"/>
  <c r="D42" i="2"/>
  <c r="D41" i="2"/>
  <c r="G43" i="2"/>
  <c r="G42" i="2"/>
  <c r="G41" i="2"/>
  <c r="V11" i="1"/>
  <c r="Y11" i="1"/>
  <c r="W11" i="1"/>
  <c r="X11" i="1"/>
  <c r="V35" i="1"/>
  <c r="U35" i="1"/>
  <c r="V32" i="1"/>
  <c r="U33" i="1"/>
  <c r="V3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U32" i="1"/>
  <c r="U34" i="1"/>
  <c r="V34" i="1"/>
  <c r="W34" i="1"/>
  <c r="E39" i="21"/>
  <c r="E40" i="21"/>
  <c r="E41" i="21"/>
  <c r="E44" i="21"/>
  <c r="F31" i="21"/>
  <c r="F32" i="21"/>
  <c r="G31" i="21"/>
  <c r="G32" i="21"/>
  <c r="H31" i="21"/>
  <c r="H32" i="21"/>
  <c r="H16" i="21"/>
  <c r="G23" i="21"/>
  <c r="G22" i="21"/>
  <c r="G21" i="21"/>
  <c r="G20" i="21"/>
  <c r="G19" i="21"/>
  <c r="G18" i="21"/>
  <c r="H44" i="21"/>
  <c r="H41" i="21"/>
  <c r="H40" i="21"/>
  <c r="E32" i="21"/>
  <c r="C32" i="21"/>
  <c r="E31" i="21"/>
  <c r="C31" i="21"/>
  <c r="G24" i="21"/>
  <c r="G25" i="21"/>
  <c r="G26" i="21"/>
  <c r="G27" i="21"/>
  <c r="G28" i="21"/>
  <c r="H28" i="21"/>
  <c r="H27" i="21"/>
  <c r="H26" i="21"/>
  <c r="D26" i="21"/>
  <c r="H25" i="21"/>
  <c r="D25" i="21"/>
  <c r="H24" i="21"/>
  <c r="D24" i="21"/>
  <c r="H23" i="21"/>
  <c r="D23" i="21"/>
  <c r="H22" i="21"/>
  <c r="D22" i="21"/>
  <c r="H21" i="21"/>
  <c r="D21" i="21"/>
  <c r="H20" i="21"/>
  <c r="D20" i="21"/>
  <c r="H19" i="21"/>
  <c r="D19" i="21"/>
  <c r="H18" i="21"/>
  <c r="D18" i="21"/>
  <c r="M12" i="8"/>
  <c r="L34" i="8"/>
  <c r="M11" i="8"/>
  <c r="L31" i="8"/>
  <c r="L28" i="8"/>
  <c r="M9" i="8"/>
  <c r="L25" i="8"/>
  <c r="M8" i="8"/>
  <c r="L22" i="8"/>
  <c r="M7" i="8"/>
  <c r="L19" i="8"/>
  <c r="Q35" i="8"/>
  <c r="F12" i="8"/>
  <c r="E45" i="8"/>
  <c r="F45" i="8"/>
  <c r="T22" i="8"/>
  <c r="U22" i="8"/>
  <c r="W22" i="8"/>
  <c r="V22" i="8"/>
  <c r="X22" i="8"/>
  <c r="T30" i="8"/>
  <c r="U30" i="8"/>
  <c r="V30" i="8"/>
  <c r="W30" i="8"/>
  <c r="X30" i="8"/>
  <c r="Y30" i="8"/>
  <c r="V38" i="8"/>
  <c r="W38" i="8"/>
  <c r="Y38" i="8"/>
  <c r="Y22" i="8"/>
  <c r="P12" i="8"/>
  <c r="L35" i="8"/>
  <c r="M35" i="8"/>
  <c r="Q34" i="8"/>
  <c r="M34" i="8"/>
  <c r="Q33" i="8"/>
  <c r="Z30" i="8"/>
  <c r="X38" i="8"/>
  <c r="Z38" i="8"/>
  <c r="Z22" i="8"/>
  <c r="Q12" i="8"/>
  <c r="L33" i="8"/>
  <c r="M33" i="8"/>
  <c r="Q32" i="8"/>
  <c r="T21" i="8"/>
  <c r="F11" i="8"/>
  <c r="E44" i="8"/>
  <c r="F44" i="8"/>
  <c r="U21" i="8"/>
  <c r="W21" i="8"/>
  <c r="V21" i="8"/>
  <c r="X21" i="8"/>
  <c r="W37" i="8"/>
  <c r="V37" i="8"/>
  <c r="Y37" i="8"/>
  <c r="T29" i="8"/>
  <c r="U29" i="8"/>
  <c r="V29" i="8"/>
  <c r="W29" i="8"/>
  <c r="X29" i="8"/>
  <c r="Y29" i="8"/>
  <c r="Y21" i="8"/>
  <c r="P11" i="8"/>
  <c r="L32" i="8"/>
  <c r="M32" i="8"/>
  <c r="Q31" i="8"/>
  <c r="M31" i="8"/>
  <c r="Q30" i="8"/>
  <c r="X37" i="8"/>
  <c r="Z37" i="8"/>
  <c r="Z29" i="8"/>
  <c r="Z21" i="8"/>
  <c r="Q11" i="8"/>
  <c r="L30" i="8"/>
  <c r="M30" i="8"/>
  <c r="Q29" i="8"/>
  <c r="T20" i="8"/>
  <c r="F10" i="8"/>
  <c r="E43" i="8"/>
  <c r="F43" i="8"/>
  <c r="U20" i="8"/>
  <c r="W20" i="8"/>
  <c r="V20" i="8"/>
  <c r="X20" i="8"/>
  <c r="W36" i="8"/>
  <c r="V36" i="8"/>
  <c r="Y36" i="8"/>
  <c r="Y20" i="8"/>
  <c r="P10" i="8"/>
  <c r="L29" i="8"/>
  <c r="M29" i="8"/>
  <c r="Q28" i="8"/>
  <c r="M28" i="8"/>
  <c r="Q27" i="8"/>
  <c r="X36" i="8"/>
  <c r="Z36" i="8"/>
  <c r="Z20" i="8"/>
  <c r="Q10" i="8"/>
  <c r="L27" i="8"/>
  <c r="M27" i="8"/>
  <c r="Q26" i="8"/>
  <c r="T19" i="8"/>
  <c r="F9" i="8"/>
  <c r="E42" i="8"/>
  <c r="F42" i="8"/>
  <c r="U19" i="8"/>
  <c r="W19" i="8"/>
  <c r="V19" i="8"/>
  <c r="X19" i="8"/>
  <c r="V35" i="8"/>
  <c r="W35" i="8"/>
  <c r="Y35" i="8"/>
  <c r="T27" i="8"/>
  <c r="U27" i="8"/>
  <c r="V27" i="8"/>
  <c r="W27" i="8"/>
  <c r="Y27" i="8"/>
  <c r="Y19" i="8"/>
  <c r="P9" i="8"/>
  <c r="L26" i="8"/>
  <c r="M26" i="8"/>
  <c r="Q25" i="8"/>
  <c r="M25" i="8"/>
  <c r="Q24" i="8"/>
  <c r="X35" i="8"/>
  <c r="Z35" i="8"/>
  <c r="X27" i="8"/>
  <c r="Z27" i="8"/>
  <c r="Z19" i="8"/>
  <c r="Q9" i="8"/>
  <c r="L24" i="8"/>
  <c r="M24" i="8"/>
  <c r="Q23" i="8"/>
  <c r="T18" i="8"/>
  <c r="F8" i="8"/>
  <c r="E41" i="8"/>
  <c r="F41" i="8"/>
  <c r="U18" i="8"/>
  <c r="W18" i="8"/>
  <c r="V18" i="8"/>
  <c r="X18" i="8"/>
  <c r="V34" i="8"/>
  <c r="W34" i="8"/>
  <c r="Y34" i="8"/>
  <c r="T26" i="8"/>
  <c r="U26" i="8"/>
  <c r="V26" i="8"/>
  <c r="W26" i="8"/>
  <c r="Y26" i="8"/>
  <c r="Y18" i="8"/>
  <c r="P8" i="8"/>
  <c r="L23" i="8"/>
  <c r="M23" i="8"/>
  <c r="Q22" i="8"/>
  <c r="M22" i="8"/>
  <c r="Q21" i="8"/>
  <c r="X34" i="8"/>
  <c r="Z34" i="8"/>
  <c r="X26" i="8"/>
  <c r="Z26" i="8"/>
  <c r="Z18" i="8"/>
  <c r="Q8" i="8"/>
  <c r="L21" i="8"/>
  <c r="M21" i="8"/>
  <c r="Q20" i="8"/>
  <c r="T17" i="8"/>
  <c r="E40" i="8"/>
  <c r="F40" i="8"/>
  <c r="U17" i="8"/>
  <c r="W17" i="8"/>
  <c r="V17" i="8"/>
  <c r="X17" i="8"/>
  <c r="W33" i="8"/>
  <c r="V33" i="8"/>
  <c r="Y33" i="8"/>
  <c r="Y17" i="8"/>
  <c r="P7" i="8"/>
  <c r="L20" i="8"/>
  <c r="M20" i="8"/>
  <c r="Q19" i="8"/>
  <c r="M19" i="8"/>
  <c r="Q18" i="8"/>
  <c r="X33" i="8"/>
  <c r="Z33" i="8"/>
  <c r="Z17" i="8"/>
  <c r="Q7" i="8"/>
  <c r="L18" i="8"/>
  <c r="M18" i="8"/>
  <c r="H35" i="8"/>
  <c r="G12" i="8"/>
  <c r="C35" i="8"/>
  <c r="D35" i="8"/>
  <c r="H34" i="8"/>
  <c r="C34" i="8"/>
  <c r="D34" i="8"/>
  <c r="H33" i="8"/>
  <c r="H12" i="8"/>
  <c r="C33" i="8"/>
  <c r="D33" i="8"/>
  <c r="H32" i="8"/>
  <c r="G11" i="8"/>
  <c r="C32" i="8"/>
  <c r="D32" i="8"/>
  <c r="H31" i="8"/>
  <c r="C31" i="8"/>
  <c r="D31" i="8"/>
  <c r="H30" i="8"/>
  <c r="H11" i="8"/>
  <c r="C30" i="8"/>
  <c r="D30" i="8"/>
  <c r="H29" i="8"/>
  <c r="G10" i="8"/>
  <c r="C29" i="8"/>
  <c r="D29" i="8"/>
  <c r="H28" i="8"/>
  <c r="C28" i="8"/>
  <c r="D28" i="8"/>
  <c r="H27" i="8"/>
  <c r="H10" i="8"/>
  <c r="C27" i="8"/>
  <c r="D27" i="8"/>
  <c r="H26" i="8"/>
  <c r="G9" i="8"/>
  <c r="C26" i="8"/>
  <c r="D26" i="8"/>
  <c r="H25" i="8"/>
  <c r="C25" i="8"/>
  <c r="D25" i="8"/>
  <c r="H24" i="8"/>
  <c r="H9" i="8"/>
  <c r="C24" i="8"/>
  <c r="D24" i="8"/>
  <c r="H23" i="8"/>
  <c r="G8" i="8"/>
  <c r="C23" i="8"/>
  <c r="D23" i="8"/>
  <c r="H22" i="8"/>
  <c r="C22" i="8"/>
  <c r="D22" i="8"/>
  <c r="H21" i="8"/>
  <c r="H8" i="8"/>
  <c r="C21" i="8"/>
  <c r="D21" i="8"/>
  <c r="H20" i="8"/>
  <c r="C20" i="8"/>
  <c r="D20" i="8"/>
  <c r="H19" i="8"/>
  <c r="C19" i="8"/>
  <c r="D19" i="8"/>
  <c r="H18" i="8"/>
  <c r="H7" i="8"/>
  <c r="C18" i="8"/>
  <c r="D18" i="8"/>
  <c r="Q29" i="2"/>
  <c r="C10" i="2"/>
  <c r="T20" i="2"/>
  <c r="E43" i="2"/>
  <c r="F43" i="2"/>
  <c r="U20" i="2"/>
  <c r="W20" i="2"/>
  <c r="V20" i="2"/>
  <c r="X20" i="2"/>
  <c r="T26" i="2"/>
  <c r="U26" i="2"/>
  <c r="V26" i="2"/>
  <c r="W26" i="2"/>
  <c r="Y26" i="2"/>
  <c r="Y20" i="2"/>
  <c r="P10" i="2"/>
  <c r="L29" i="2"/>
  <c r="M29" i="2"/>
  <c r="Q28" i="2"/>
  <c r="E10" i="2"/>
  <c r="L10" i="2"/>
  <c r="M10" i="2"/>
  <c r="L28" i="2"/>
  <c r="M28" i="2"/>
  <c r="Q27" i="2"/>
  <c r="X26" i="2"/>
  <c r="Z26" i="2"/>
  <c r="Z20" i="2"/>
  <c r="Q10" i="2"/>
  <c r="L27" i="2"/>
  <c r="M27" i="2"/>
  <c r="Q26" i="2"/>
  <c r="C9" i="2"/>
  <c r="T19" i="2"/>
  <c r="E42" i="2"/>
  <c r="F42" i="2"/>
  <c r="U19" i="2"/>
  <c r="W19" i="2"/>
  <c r="V19" i="2"/>
  <c r="X19" i="2"/>
  <c r="T25" i="2"/>
  <c r="U25" i="2"/>
  <c r="V25" i="2"/>
  <c r="W25" i="2"/>
  <c r="X25" i="2"/>
  <c r="Y25" i="2"/>
  <c r="V31" i="2"/>
  <c r="W31" i="2"/>
  <c r="Y31" i="2"/>
  <c r="Y19" i="2"/>
  <c r="P9" i="2"/>
  <c r="L26" i="2"/>
  <c r="M26" i="2"/>
  <c r="Q25" i="2"/>
  <c r="E9" i="2"/>
  <c r="L9" i="2"/>
  <c r="M9" i="2"/>
  <c r="L25" i="2"/>
  <c r="M25" i="2"/>
  <c r="Q24" i="2"/>
  <c r="Z25" i="2"/>
  <c r="X31" i="2"/>
  <c r="Z31" i="2"/>
  <c r="Z19" i="2"/>
  <c r="Q9" i="2"/>
  <c r="L24" i="2"/>
  <c r="M24" i="2"/>
  <c r="Q23" i="2"/>
  <c r="C8" i="2"/>
  <c r="T18" i="2"/>
  <c r="E41" i="2"/>
  <c r="F41" i="2"/>
  <c r="U18" i="2"/>
  <c r="W18" i="2"/>
  <c r="V18" i="2"/>
  <c r="X18" i="2"/>
  <c r="T24" i="2"/>
  <c r="U24" i="2"/>
  <c r="V24" i="2"/>
  <c r="W24" i="2"/>
  <c r="Y24" i="2"/>
  <c r="Y18" i="2"/>
  <c r="P8" i="2"/>
  <c r="L23" i="2"/>
  <c r="M23" i="2"/>
  <c r="Q22" i="2"/>
  <c r="E8" i="2"/>
  <c r="L8" i="2"/>
  <c r="M8" i="2"/>
  <c r="L22" i="2"/>
  <c r="M22" i="2"/>
  <c r="Q21" i="2"/>
  <c r="X24" i="2"/>
  <c r="Z24" i="2"/>
  <c r="Z18" i="2"/>
  <c r="Q8" i="2"/>
  <c r="L21" i="2"/>
  <c r="M21" i="2"/>
  <c r="Q20" i="2"/>
  <c r="C7" i="2"/>
  <c r="X17" i="2"/>
  <c r="W29" i="2"/>
  <c r="V29" i="2"/>
  <c r="Y29" i="2"/>
  <c r="Y17" i="2"/>
  <c r="P7" i="2"/>
  <c r="L20" i="2"/>
  <c r="M20" i="2"/>
  <c r="Q19" i="2"/>
  <c r="M7" i="2"/>
  <c r="L19" i="2"/>
  <c r="M19" i="2"/>
  <c r="Q18" i="2"/>
  <c r="X29" i="2"/>
  <c r="Z29" i="2"/>
  <c r="Z23" i="2"/>
  <c r="Z17" i="2"/>
  <c r="Q7" i="2"/>
  <c r="L18" i="2"/>
  <c r="M18" i="2"/>
  <c r="C19" i="2"/>
  <c r="C29" i="2"/>
  <c r="D29" i="2"/>
  <c r="C28" i="2"/>
  <c r="D28" i="2"/>
  <c r="C27" i="2"/>
  <c r="D27" i="2"/>
  <c r="C26" i="2"/>
  <c r="D26" i="2"/>
  <c r="C25" i="2"/>
  <c r="D25" i="2"/>
  <c r="C24" i="2"/>
  <c r="D24" i="2"/>
  <c r="C23" i="2"/>
  <c r="D23" i="2"/>
  <c r="C22" i="2"/>
  <c r="D22" i="2"/>
  <c r="C21" i="2"/>
  <c r="D21" i="2"/>
  <c r="C20" i="2"/>
  <c r="D20" i="2"/>
  <c r="D19" i="2"/>
  <c r="C18" i="2"/>
  <c r="D18" i="2"/>
  <c r="W35" i="1"/>
  <c r="Z33" i="1"/>
  <c r="W33" i="1"/>
  <c r="X33" i="1"/>
  <c r="Y33" i="1"/>
  <c r="W32" i="1"/>
  <c r="T28" i="8"/>
  <c r="U28" i="8"/>
  <c r="V28" i="8"/>
  <c r="W28" i="8"/>
  <c r="X28" i="8"/>
  <c r="Z28" i="8"/>
  <c r="Y28" i="8"/>
  <c r="T25" i="8"/>
  <c r="U25" i="8"/>
  <c r="V25" i="8"/>
  <c r="W25" i="8"/>
  <c r="X25" i="8"/>
  <c r="Z25" i="8"/>
  <c r="Y25" i="8"/>
  <c r="Z11" i="1"/>
  <c r="X32" i="2"/>
  <c r="V32" i="2"/>
  <c r="Z32" i="2"/>
  <c r="W32" i="2"/>
  <c r="Y32" i="2"/>
  <c r="X30" i="2"/>
  <c r="V30" i="2"/>
  <c r="Z30" i="2"/>
  <c r="W30" i="2"/>
  <c r="Y30" i="2"/>
  <c r="E10" i="8"/>
  <c r="E9" i="8"/>
  <c r="E8" i="8"/>
  <c r="T25" i="1"/>
  <c r="T24" i="1"/>
  <c r="T23" i="1"/>
  <c r="T22" i="1"/>
  <c r="E11" i="8"/>
  <c r="E12" i="8"/>
  <c r="B43" i="2"/>
  <c r="H18" i="2"/>
  <c r="H19" i="2"/>
  <c r="H20" i="2"/>
  <c r="H21" i="2"/>
  <c r="H22" i="2"/>
  <c r="H23" i="2"/>
  <c r="H24" i="2"/>
  <c r="H25" i="2"/>
  <c r="H26" i="2"/>
  <c r="H27" i="2"/>
  <c r="H28" i="2"/>
  <c r="H29" i="2"/>
  <c r="B42" i="2"/>
  <c r="B41" i="2"/>
  <c r="B40" i="2"/>
  <c r="H40" i="2"/>
  <c r="H41" i="2"/>
  <c r="H43" i="2"/>
  <c r="H42" i="2"/>
  <c r="H45" i="8"/>
  <c r="O9" i="2"/>
  <c r="H41" i="8"/>
  <c r="H43" i="8"/>
  <c r="O8" i="2"/>
  <c r="H44" i="8"/>
  <c r="O10" i="2"/>
  <c r="H40" i="8"/>
  <c r="H42" i="8"/>
</calcChain>
</file>

<file path=xl/sharedStrings.xml><?xml version="1.0" encoding="utf-8"?>
<sst xmlns="http://schemas.openxmlformats.org/spreadsheetml/2006/main" count="321" uniqueCount="137">
  <si>
    <t>Group</t>
  </si>
  <si>
    <t>N</t>
  </si>
  <si>
    <t>df</t>
  </si>
  <si>
    <t>d</t>
  </si>
  <si>
    <t>Contact Information</t>
  </si>
  <si>
    <t>Department of Psychology</t>
  </si>
  <si>
    <t>University of Wisconsin - Stevens Point</t>
  </si>
  <si>
    <t>An overview of the module</t>
  </si>
  <si>
    <t>Provides analyses of all pairwise comparisons</t>
  </si>
  <si>
    <t>t</t>
  </si>
  <si>
    <t>k</t>
  </si>
  <si>
    <t>M</t>
  </si>
  <si>
    <t>V</t>
  </si>
  <si>
    <t>W</t>
  </si>
  <si>
    <t>c</t>
  </si>
  <si>
    <t>q</t>
  </si>
  <si>
    <t>a</t>
  </si>
  <si>
    <t>LLp</t>
  </si>
  <si>
    <t>Ulp</t>
  </si>
  <si>
    <t>LL</t>
  </si>
  <si>
    <t>UL</t>
  </si>
  <si>
    <t>Approximation of the Noncentrality Parameter Confidence Interval</t>
  </si>
  <si>
    <t>Confidence intervals are based on the central t distribution.</t>
  </si>
  <si>
    <t>d(unb)</t>
  </si>
  <si>
    <t>Raw Data</t>
  </si>
  <si>
    <t>Description</t>
  </si>
  <si>
    <t>Value</t>
  </si>
  <si>
    <t>Project Name</t>
  </si>
  <si>
    <t>Project Description</t>
  </si>
  <si>
    <t>ID</t>
  </si>
  <si>
    <t>Project Summary</t>
  </si>
  <si>
    <t>No adjustments for multiple intervals have been made.</t>
  </si>
  <si>
    <t>Confidence intervals are calculated independent of each other (they are not simultaneous).</t>
  </si>
  <si>
    <t>Axis</t>
  </si>
  <si>
    <t>Hypoth</t>
  </si>
  <si>
    <t>Input Method: Raw Data</t>
  </si>
  <si>
    <t>CI %:</t>
  </si>
  <si>
    <t>Reference</t>
  </si>
  <si>
    <t>Definitions of Variables and Levels</t>
  </si>
  <si>
    <t>Analyses of the Means</t>
  </si>
  <si>
    <t>Analyses of the Effect Sizes</t>
  </si>
  <si>
    <t>Where you summarize and enter your data</t>
  </si>
  <si>
    <t>Provides separate analyses of each mean</t>
  </si>
  <si>
    <t>Analyses of the Pairwise Comparisons</t>
  </si>
  <si>
    <t>Analyses of the Standardized Pairwise Comparisons</t>
  </si>
  <si>
    <t>Following Cumming (2012), confidence intervals are centered on d and not d(unb).</t>
  </si>
  <si>
    <t>Total</t>
  </si>
  <si>
    <t>F</t>
  </si>
  <si>
    <t>Overall</t>
  </si>
  <si>
    <t>p</t>
  </si>
  <si>
    <t>Contrast</t>
  </si>
  <si>
    <t>Analysis of Variance</t>
  </si>
  <si>
    <t>Source</t>
  </si>
  <si>
    <t>SS</t>
  </si>
  <si>
    <t>MS</t>
  </si>
  <si>
    <t>Eta-Sq.</t>
  </si>
  <si>
    <t>Descriptive Statistics</t>
  </si>
  <si>
    <t>Name</t>
  </si>
  <si>
    <t>Subsequent statistics are calculated using these descriptive statistics.</t>
  </si>
  <si>
    <t>Correlations</t>
  </si>
  <si>
    <t>Subsequent statistics are calculated using these correlations.</t>
  </si>
  <si>
    <t>Background Calculations</t>
  </si>
  <si>
    <t>CI for d</t>
  </si>
  <si>
    <t>Measure</t>
  </si>
  <si>
    <t>Design: Single Factor, Within-Subjects</t>
  </si>
  <si>
    <t>This module is appropriate for single factor within-subjects (repeated measures) data.</t>
  </si>
  <si>
    <t>Factor</t>
  </si>
  <si>
    <t>Subject</t>
  </si>
  <si>
    <t>Error</t>
  </si>
  <si>
    <t>Craig A. Wendorf</t>
  </si>
  <si>
    <t>Skew</t>
  </si>
  <si>
    <t>SD</t>
  </si>
  <si>
    <t>LLz</t>
  </si>
  <si>
    <t>Ulz</t>
  </si>
  <si>
    <t>Reference Line</t>
  </si>
  <si>
    <t>Point</t>
  </si>
  <si>
    <t>Confidence Plots</t>
  </si>
  <si>
    <t>Label</t>
  </si>
  <si>
    <t>SE</t>
  </si>
  <si>
    <t>Diff.</t>
  </si>
  <si>
    <t>CI for Diff.</t>
  </si>
  <si>
    <t>CI for M</t>
  </si>
  <si>
    <t>Technical Notes</t>
  </si>
  <si>
    <t>Overview of EASE</t>
  </si>
  <si>
    <t>For Means and Mean Differences</t>
  </si>
  <si>
    <t>Purpose of this Design Module</t>
  </si>
  <si>
    <t>For Standardized Effect Sizes</t>
  </si>
  <si>
    <t>Confidence intervals are based on the noncentral t distribution.</t>
  </si>
  <si>
    <t>Summary of the Tabs</t>
  </si>
  <si>
    <t>Intro:</t>
  </si>
  <si>
    <t>Data:</t>
  </si>
  <si>
    <t>Means:</t>
  </si>
  <si>
    <t>Pairwise:</t>
  </si>
  <si>
    <t>For all tabs, only information in yellow cells should be altered.</t>
  </si>
  <si>
    <t>Graphs can be copied and pasted into other documents.</t>
  </si>
  <si>
    <t>Separate versions of the file can be saved for different data sets.</t>
  </si>
  <si>
    <t>This module provides analyses of single means and their effect sizes.</t>
  </si>
  <si>
    <t>This module provides analyses of pairwise comparisons and their effect sizes.</t>
  </si>
  <si>
    <t>EASE is designed to provide real-time calculation of basic statistics.</t>
  </si>
  <si>
    <t>EASE calculates statistics not readily available in other statistics packages.</t>
  </si>
  <si>
    <t>All interval calculations use Lecoutre's (2007) quasi-exact approximation.</t>
  </si>
  <si>
    <t>d(unb) is an unbiased estimate of the standardized effect size.</t>
  </si>
  <si>
    <t>This module uses raw data as input.</t>
  </si>
  <si>
    <t>Analyses of One Pairwise Comparison</t>
  </si>
  <si>
    <t>Difference</t>
  </si>
  <si>
    <t>Difference Axis</t>
  </si>
  <si>
    <t>Reference Lines</t>
  </si>
  <si>
    <t>Range</t>
  </si>
  <si>
    <t>Axis Scale:</t>
  </si>
  <si>
    <t>Provides analysis of one specified pairwise comparison</t>
  </si>
  <si>
    <t>Confidence Intervals</t>
  </si>
  <si>
    <t>Hypothesis Tests</t>
  </si>
  <si>
    <t>Graphical Display</t>
  </si>
  <si>
    <t>EASE emphasizes effect sizes and confidence intervals.</t>
  </si>
  <si>
    <t>EASE also includes null hypothesis significance tests.</t>
  </si>
  <si>
    <t>Subset</t>
  </si>
  <si>
    <t>Comparison Lines</t>
  </si>
  <si>
    <t>Analyses of One Standardized Pairwise Comparison</t>
  </si>
  <si>
    <t>Auto</t>
  </si>
  <si>
    <t>Using this Module</t>
  </si>
  <si>
    <t>OneComp:</t>
  </si>
  <si>
    <t>EASE: Estimation Approach to Statistics with Excel</t>
  </si>
  <si>
    <t>Data from Donohue (2002)</t>
  </si>
  <si>
    <t>This is the approximate full data from Donohue (2002) as used in Chap. 14 of Cumming and Calin-Jageman (2016) to demonstrate Repeated-Measures designs.</t>
  </si>
  <si>
    <t>Pretest</t>
  </si>
  <si>
    <t>Critical Thinking Pretest Score</t>
  </si>
  <si>
    <t>Posttest</t>
  </si>
  <si>
    <t>Critical Thinking Posttest Score</t>
  </si>
  <si>
    <t>Followup</t>
  </si>
  <si>
    <t>Critical Thinking Followup Score</t>
  </si>
  <si>
    <t>cwendorf@uwsp.edu</t>
  </si>
  <si>
    <t>How to Cite</t>
  </si>
  <si>
    <t>EASE: Estimation Approach to Statistics with Excel [Excel Spreadsheet].</t>
  </si>
  <si>
    <t>Version: 2.20200104</t>
  </si>
  <si>
    <t>https://cwendorf.github.io/BASE/EASE</t>
  </si>
  <si>
    <t>http://cwendorf.github.io</t>
  </si>
  <si>
    <t>Wendorf, C. A. (2020).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</si>
</sst>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1" fillId="4" borderId="10" applyNumberFormat="0" applyFont="0" applyAlignment="0" applyProtection="0"/>
    <xf numFmtId="0" fontId="16" fillId="0" borderId="0" applyNumberFormat="0" applyFill="0" applyBorder="0" applyAlignment="0" applyProtection="0"/>
  </cellStyleXfs>
  <cellXfs count="131">
    <xf numFmtId="0" fontId="0" fillId="0" borderId="0" xfId="0"/>
    <xf numFmtId="0" fontId="2" fillId="0" borderId="0" xfId="0" applyFont="1" applyAlignment="1">
      <alignment horizontal="center"/>
    </xf>
    <xf numFmtId="0" fontId="0" fillId="0" borderId="2" xfId="0" applyBorder="1" applyProtection="1">
      <protection hidden="1"/>
    </xf>
    <xf numFmtId="0" fontId="0" fillId="0" borderId="0" xfId="0" applyProtection="1">
      <protection hidden="1"/>
    </xf>
    <xf numFmtId="0" fontId="4" fillId="0" borderId="0" xfId="0" applyFont="1" applyProtection="1">
      <protection hidden="1"/>
    </xf>
    <xf numFmtId="0" fontId="0" fillId="0" borderId="0" xfId="0" applyAlignment="1" applyProtection="1">
      <alignment horizontal="center"/>
      <protection hidden="1"/>
    </xf>
    <xf numFmtId="0" fontId="3" fillId="0" borderId="0" xfId="0" applyFont="1"/>
    <xf numFmtId="0" fontId="5" fillId="0" borderId="0" xfId="0" applyFont="1" applyProtection="1">
      <protection hidden="1"/>
    </xf>
    <xf numFmtId="0" fontId="0" fillId="0" borderId="1" xfId="0" applyBorder="1"/>
    <xf numFmtId="0" fontId="0" fillId="0" borderId="2" xfId="0" applyBorder="1"/>
    <xf numFmtId="0" fontId="6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3" borderId="3" xfId="0" applyNumberFormat="1" applyFill="1" applyBorder="1" applyAlignment="1" applyProtection="1">
      <alignment horizontal="center"/>
      <protection locked="0"/>
    </xf>
    <xf numFmtId="164" fontId="0" fillId="3" borderId="4" xfId="0" applyNumberFormat="1" applyFill="1" applyBorder="1" applyAlignment="1" applyProtection="1">
      <alignment horizontal="center"/>
      <protection locked="0"/>
    </xf>
    <xf numFmtId="164" fontId="0" fillId="3" borderId="5" xfId="0" applyNumberFormat="1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hidden="1"/>
    </xf>
    <xf numFmtId="164" fontId="0" fillId="0" borderId="3" xfId="0" applyNumberForma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164" fontId="0" fillId="0" borderId="4" xfId="0" applyNumberFormat="1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center"/>
      <protection hidden="1"/>
    </xf>
    <xf numFmtId="164" fontId="0" fillId="0" borderId="5" xfId="0" applyNumberFormat="1" applyBorder="1" applyAlignment="1" applyProtection="1">
      <alignment horizontal="center"/>
      <protection hidden="1"/>
    </xf>
    <xf numFmtId="0" fontId="8" fillId="0" borderId="0" xfId="0" applyFont="1" applyProtection="1">
      <protection hidden="1"/>
    </xf>
    <xf numFmtId="0" fontId="8" fillId="0" borderId="0" xfId="0" applyFont="1" applyAlignment="1" applyProtection="1">
      <alignment horizontal="center"/>
      <protection hidden="1"/>
    </xf>
    <xf numFmtId="164" fontId="0" fillId="0" borderId="3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3" borderId="8" xfId="0" applyFill="1" applyBorder="1" applyAlignment="1" applyProtection="1">
      <alignment horizontal="center"/>
      <protection locked="0" hidden="1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top" wrapText="1"/>
    </xf>
    <xf numFmtId="0" fontId="9" fillId="0" borderId="0" xfId="0" applyFont="1" applyAlignment="1" applyProtection="1">
      <alignment horizontal="center"/>
      <protection hidden="1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 applyProtection="1">
      <alignment horizontal="center"/>
      <protection hidden="1"/>
    </xf>
    <xf numFmtId="0" fontId="9" fillId="0" borderId="0" xfId="0" applyFont="1" applyProtection="1">
      <protection hidden="1"/>
    </xf>
    <xf numFmtId="0" fontId="9" fillId="0" borderId="0" xfId="0" applyFont="1"/>
    <xf numFmtId="0" fontId="0" fillId="3" borderId="4" xfId="0" applyFill="1" applyBorder="1" applyAlignment="1" applyProtection="1">
      <alignment horizontal="center"/>
      <protection locked="0"/>
    </xf>
    <xf numFmtId="1" fontId="0" fillId="0" borderId="3" xfId="0" applyNumberFormat="1" applyBorder="1" applyAlignment="1" applyProtection="1">
      <alignment horizontal="center"/>
      <protection hidden="1"/>
    </xf>
    <xf numFmtId="1" fontId="0" fillId="0" borderId="4" xfId="0" applyNumberFormat="1" applyBorder="1" applyAlignment="1" applyProtection="1">
      <alignment horizontal="center"/>
      <protection hidden="1"/>
    </xf>
    <xf numFmtId="1" fontId="0" fillId="0" borderId="5" xfId="0" applyNumberFormat="1" applyBorder="1" applyAlignment="1" applyProtection="1">
      <alignment horizontal="center"/>
      <protection hidden="1"/>
    </xf>
    <xf numFmtId="0" fontId="8" fillId="0" borderId="0" xfId="5" applyFont="1" applyAlignment="1" applyProtection="1">
      <alignment horizontal="center"/>
      <protection hidden="1"/>
    </xf>
    <xf numFmtId="0" fontId="5" fillId="0" borderId="0" xfId="0" applyFont="1"/>
    <xf numFmtId="0" fontId="10" fillId="0" borderId="0" xfId="5" applyFont="1" applyAlignment="1" applyProtection="1">
      <alignment horizontal="left"/>
      <protection hidden="1"/>
    </xf>
    <xf numFmtId="0" fontId="6" fillId="0" borderId="1" xfId="0" applyFon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  <protection hidden="1"/>
    </xf>
    <xf numFmtId="164" fontId="0" fillId="3" borderId="7" xfId="0" applyNumberFormat="1" applyFill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hidden="1"/>
    </xf>
    <xf numFmtId="164" fontId="0" fillId="0" borderId="7" xfId="0" applyNumberForma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12" fillId="0" borderId="1" xfId="0" applyFont="1" applyBorder="1" applyAlignment="1" applyProtection="1">
      <alignment horizontal="center"/>
      <protection hidden="1"/>
    </xf>
    <xf numFmtId="0" fontId="13" fillId="0" borderId="1" xfId="0" applyFont="1" applyBorder="1" applyAlignment="1" applyProtection="1">
      <alignment horizontal="center"/>
      <protection hidden="1"/>
    </xf>
    <xf numFmtId="164" fontId="0" fillId="0" borderId="3" xfId="0" applyNumberFormat="1" applyBorder="1" applyAlignment="1" applyProtection="1">
      <alignment horizontal="center"/>
      <protection locked="0"/>
    </xf>
    <xf numFmtId="164" fontId="0" fillId="0" borderId="4" xfId="0" applyNumberFormat="1" applyBorder="1" applyAlignment="1" applyProtection="1">
      <alignment horizontal="center"/>
      <protection locked="0"/>
    </xf>
    <xf numFmtId="164" fontId="8" fillId="0" borderId="3" xfId="0" applyNumberFormat="1" applyFont="1" applyBorder="1" applyAlignment="1" applyProtection="1">
      <alignment horizontal="center"/>
      <protection hidden="1"/>
    </xf>
    <xf numFmtId="0" fontId="8" fillId="0" borderId="3" xfId="0" applyFont="1" applyBorder="1" applyAlignment="1" applyProtection="1">
      <alignment horizontal="center"/>
      <protection hidden="1"/>
    </xf>
    <xf numFmtId="0" fontId="14" fillId="0" borderId="3" xfId="0" applyFont="1" applyBorder="1" applyAlignment="1" applyProtection="1">
      <alignment horizontal="center"/>
      <protection hidden="1"/>
    </xf>
    <xf numFmtId="164" fontId="8" fillId="0" borderId="4" xfId="0" applyNumberFormat="1" applyFont="1" applyBorder="1" applyAlignment="1" applyProtection="1">
      <alignment horizontal="center"/>
      <protection hidden="1"/>
    </xf>
    <xf numFmtId="1" fontId="8" fillId="0" borderId="4" xfId="0" applyNumberFormat="1" applyFont="1" applyBorder="1" applyAlignment="1" applyProtection="1">
      <alignment horizontal="center"/>
      <protection hidden="1"/>
    </xf>
    <xf numFmtId="164" fontId="8" fillId="0" borderId="4" xfId="5" applyNumberFormat="1" applyFont="1" applyBorder="1" applyAlignment="1" applyProtection="1">
      <alignment horizontal="center"/>
      <protection hidden="1"/>
    </xf>
    <xf numFmtId="1" fontId="8" fillId="0" borderId="4" xfId="5" applyNumberFormat="1" applyFont="1" applyBorder="1" applyAlignment="1" applyProtection="1">
      <alignment horizontal="center"/>
      <protection hidden="1"/>
    </xf>
    <xf numFmtId="165" fontId="8" fillId="0" borderId="4" xfId="0" applyNumberFormat="1" applyFont="1" applyBorder="1" applyAlignment="1" applyProtection="1">
      <alignment horizontal="center"/>
      <protection hidden="1"/>
    </xf>
    <xf numFmtId="164" fontId="8" fillId="0" borderId="5" xfId="0" applyNumberFormat="1" applyFont="1" applyBorder="1" applyAlignment="1" applyProtection="1">
      <alignment horizontal="center"/>
      <protection hidden="1"/>
    </xf>
    <xf numFmtId="1" fontId="8" fillId="0" borderId="5" xfId="0" applyNumberFormat="1" applyFont="1" applyBorder="1" applyAlignment="1" applyProtection="1">
      <alignment horizontal="center"/>
      <protection hidden="1"/>
    </xf>
    <xf numFmtId="0" fontId="0" fillId="0" borderId="7" xfId="0" applyBorder="1"/>
    <xf numFmtId="164" fontId="0" fillId="0" borderId="2" xfId="0" applyNumberFormat="1" applyBorder="1" applyAlignment="1">
      <alignment horizontal="center"/>
    </xf>
    <xf numFmtId="0" fontId="0" fillId="0" borderId="6" xfId="0" applyBorder="1"/>
    <xf numFmtId="164" fontId="0" fillId="0" borderId="6" xfId="0" applyNumberFormat="1" applyBorder="1" applyAlignment="1">
      <alignment horizontal="center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8" fillId="0" borderId="0" xfId="0" applyFont="1"/>
    <xf numFmtId="0" fontId="9" fillId="0" borderId="0" xfId="0" applyFont="1" applyAlignment="1" applyProtection="1">
      <alignment horizontal="left"/>
      <protection hidden="1"/>
    </xf>
    <xf numFmtId="0" fontId="9" fillId="0" borderId="0" xfId="0" applyFont="1" applyAlignment="1">
      <alignment horizontal="left"/>
    </xf>
    <xf numFmtId="0" fontId="1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Protection="1">
      <protection hidden="1"/>
    </xf>
    <xf numFmtId="164" fontId="0" fillId="0" borderId="0" xfId="0" applyNumberFormat="1" applyAlignment="1">
      <alignment horizontal="left"/>
    </xf>
    <xf numFmtId="0" fontId="17" fillId="0" borderId="0" xfId="0" applyFont="1" applyProtection="1">
      <protection hidden="1"/>
    </xf>
    <xf numFmtId="0" fontId="8" fillId="0" borderId="4" xfId="0" applyFont="1" applyBorder="1" applyAlignment="1" applyProtection="1">
      <alignment horizontal="center"/>
      <protection hidden="1"/>
    </xf>
    <xf numFmtId="0" fontId="8" fillId="0" borderId="5" xfId="0" applyFont="1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164" fontId="0" fillId="4" borderId="3" xfId="6" applyNumberFormat="1" applyFont="1" applyBorder="1" applyAlignment="1" applyProtection="1">
      <alignment horizontal="center"/>
      <protection locked="0"/>
    </xf>
    <xf numFmtId="16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/>
    <xf numFmtId="164" fontId="0" fillId="4" borderId="12" xfId="6" applyNumberFormat="1" applyFont="1" applyBorder="1" applyAlignment="1" applyProtection="1">
      <alignment horizontal="center"/>
      <protection locked="0"/>
    </xf>
    <xf numFmtId="1" fontId="0" fillId="0" borderId="7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64" fontId="8" fillId="0" borderId="0" xfId="0" applyNumberFormat="1" applyFont="1" applyAlignment="1">
      <alignment horizontal="left"/>
    </xf>
    <xf numFmtId="164" fontId="0" fillId="3" borderId="8" xfId="0" applyNumberFormat="1" applyFill="1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hidden="1"/>
    </xf>
    <xf numFmtId="0" fontId="18" fillId="0" borderId="0" xfId="0" applyFont="1" applyProtection="1">
      <protection hidden="1"/>
    </xf>
    <xf numFmtId="164" fontId="8" fillId="0" borderId="0" xfId="0" applyNumberFormat="1" applyFont="1"/>
    <xf numFmtId="164" fontId="9" fillId="0" borderId="11" xfId="0" applyNumberFormat="1" applyFont="1" applyBorder="1" applyAlignment="1">
      <alignment horizontal="center"/>
    </xf>
    <xf numFmtId="0" fontId="16" fillId="0" borderId="0" xfId="7" applyProtection="1">
      <protection hidden="1"/>
    </xf>
    <xf numFmtId="0" fontId="0" fillId="3" borderId="7" xfId="0" applyFill="1" applyBorder="1" applyAlignment="1" applyProtection="1">
      <alignment horizontal="center"/>
      <protection locked="0"/>
    </xf>
    <xf numFmtId="164" fontId="0" fillId="3" borderId="11" xfId="6" applyNumberFormat="1" applyFont="1" applyFill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hidden="1"/>
    </xf>
    <xf numFmtId="0" fontId="2" fillId="0" borderId="0" xfId="0" applyFont="1" applyAlignment="1">
      <alignment horizontal="center"/>
    </xf>
    <xf numFmtId="0" fontId="17" fillId="0" borderId="0" xfId="0" applyFont="1" applyAlignment="1" applyProtection="1">
      <alignment horizontal="center"/>
      <protection hidden="1"/>
    </xf>
    <xf numFmtId="0" fontId="19" fillId="0" borderId="0" xfId="7" applyFont="1" applyFill="1" applyAlignment="1" applyProtection="1">
      <alignment horizontal="center"/>
      <protection hidden="1"/>
    </xf>
    <xf numFmtId="0" fontId="6" fillId="2" borderId="1" xfId="0" applyFont="1" applyFill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0" fillId="3" borderId="2" xfId="0" applyFill="1" applyBorder="1" applyAlignment="1" applyProtection="1">
      <alignment vertical="top" wrapText="1"/>
      <protection locked="0"/>
    </xf>
    <xf numFmtId="0" fontId="0" fillId="3" borderId="0" xfId="0" applyFill="1" applyAlignment="1" applyProtection="1">
      <alignment vertical="top" wrapText="1"/>
      <protection locked="0"/>
    </xf>
    <xf numFmtId="0" fontId="0" fillId="3" borderId="6" xfId="0" applyFill="1" applyBorder="1" applyAlignment="1" applyProtection="1">
      <alignment vertical="top" wrapText="1"/>
      <protection locked="0"/>
    </xf>
    <xf numFmtId="0" fontId="6" fillId="0" borderId="1" xfId="0" applyFont="1" applyBorder="1"/>
    <xf numFmtId="0" fontId="0" fillId="3" borderId="2" xfId="0" applyFill="1" applyBorder="1" applyAlignment="1" applyProtection="1">
      <alignment horizontal="left" vertical="top"/>
      <protection locked="0"/>
    </xf>
    <xf numFmtId="0" fontId="0" fillId="3" borderId="6" xfId="0" applyFill="1" applyBorder="1" applyAlignment="1" applyProtection="1">
      <alignment horizontal="left" vertical="top"/>
      <protection locked="0"/>
    </xf>
    <xf numFmtId="0" fontId="0" fillId="3" borderId="5" xfId="0" applyFill="1" applyBorder="1" applyAlignment="1" applyProtection="1">
      <alignment horizontal="left"/>
      <protection locked="0"/>
    </xf>
    <xf numFmtId="0" fontId="0" fillId="3" borderId="3" xfId="0" applyFill="1" applyBorder="1" applyAlignment="1" applyProtection="1">
      <alignment horizontal="left"/>
      <protection locked="0"/>
    </xf>
    <xf numFmtId="0" fontId="0" fillId="3" borderId="4" xfId="0" applyFill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>
      <alignment horizontal="center"/>
    </xf>
  </cellXfs>
  <cellStyles count="8">
    <cellStyle name="Hyperlink" xfId="7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2 3" xfId="2" xr:uid="{00000000-0005-0000-0000-000004000000}"/>
    <cellStyle name="Normal 2 3 2" xfId="4" xr:uid="{00000000-0005-0000-0000-000005000000}"/>
    <cellStyle name="Normal_EffectSizeCalculator" xfId="5" xr:uid="{00000000-0005-0000-0000-000006000000}"/>
    <cellStyle name="Note" xfId="6" builtinId="10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cat>
            <c:strRef>
              <c:f>Means!$B$7:$B$10</c:f>
              <c:strCache>
                <c:ptCount val="4"/>
                <c:pt idx="0">
                  <c:v>Pretest</c:v>
                </c:pt>
                <c:pt idx="1">
                  <c:v>Posttest</c:v>
                </c:pt>
                <c:pt idx="3">
                  <c:v>Followup</c:v>
                </c:pt>
              </c:strCache>
            </c:strRef>
          </c:cat>
          <c:val>
            <c:numRef>
              <c:f>Means!$D$7:$D$10</c:f>
              <c:numCache>
                <c:formatCode>0.000</c:formatCode>
                <c:ptCount val="4"/>
                <c:pt idx="0">
                  <c:v>19.3</c:v>
                </c:pt>
                <c:pt idx="1">
                  <c:v>23.6</c:v>
                </c:pt>
                <c:pt idx="2">
                  <c:v>0</c:v>
                </c:pt>
                <c:pt idx="3">
                  <c:v>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B-4838-8E9F-09B52A3D5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Means!$G$18:$G$29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Means!$H$18:$H$29</c:f>
              <c:numCache>
                <c:formatCode>0.000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DB-4838-8E9F-09B52A3D5532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 w="1587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Means!$C$18:$C$20</c:f>
              <c:numCache>
                <c:formatCode>0.000</c:formatCode>
                <c:ptCount val="3"/>
                <c:pt idx="0">
                  <c:v>22.062975344320204</c:v>
                </c:pt>
                <c:pt idx="1">
                  <c:v>19.3</c:v>
                </c:pt>
                <c:pt idx="2">
                  <c:v>16.537024655679797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3-4197-9C3A-25F083B6B6B3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Means!$C$21:$C$23</c:f>
              <c:numCache>
                <c:formatCode>0.000</c:formatCode>
                <c:ptCount val="3"/>
                <c:pt idx="0">
                  <c:v>25.828539153002382</c:v>
                </c:pt>
                <c:pt idx="1">
                  <c:v>23.6</c:v>
                </c:pt>
                <c:pt idx="2">
                  <c:v>21.371460846997621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3-4197-9C3A-25F083B6B6B3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Means!$B$24:$B$26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D3-4197-9C3A-25F083B6B6B3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Means!$B$27:$B$29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Means!$C$27:$C$29</c:f>
              <c:numCache>
                <c:formatCode>0.000</c:formatCode>
                <c:ptCount val="3"/>
                <c:pt idx="0">
                  <c:v>25.560243331479061</c:v>
                </c:pt>
                <c:pt idx="1">
                  <c:v>23.4</c:v>
                </c:pt>
                <c:pt idx="2">
                  <c:v>21.239756668520936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D3-4197-9C3A-25F083B6B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Group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Means!$M$6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Means!$K$7:$K$10</c:f>
              <c:strCache>
                <c:ptCount val="4"/>
                <c:pt idx="0">
                  <c:v>Pretest</c:v>
                </c:pt>
                <c:pt idx="1">
                  <c:v>Posttest</c:v>
                </c:pt>
                <c:pt idx="3">
                  <c:v>Followup</c:v>
                </c:pt>
              </c:strCache>
            </c:strRef>
          </c:cat>
          <c:val>
            <c:numRef>
              <c:f>Means!$M$7:$M$10</c:f>
              <c:numCache>
                <c:formatCode>0.000</c:formatCode>
                <c:ptCount val="4"/>
                <c:pt idx="0">
                  <c:v>-0.11382862382782713</c:v>
                </c:pt>
                <c:pt idx="1">
                  <c:v>0.7257928524199978</c:v>
                </c:pt>
                <c:pt idx="2">
                  <c:v>0</c:v>
                </c:pt>
                <c:pt idx="3">
                  <c:v>0.7071421076942801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Means!$P$18:$P$29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Means!$Q$18:$Q$29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28-4B80-9379-B6793EDF6DA6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Means!$L$18:$L$20</c:f>
              <c:numCache>
                <c:formatCode>0.000</c:formatCode>
                <c:ptCount val="3"/>
                <c:pt idx="0">
                  <c:v>0.32283569987874261</c:v>
                </c:pt>
                <c:pt idx="1">
                  <c:v>-0.11382862382782713</c:v>
                </c:pt>
                <c:pt idx="2">
                  <c:v>-0.55688021963052647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28-4B80-9379-B6793EDF6DA6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Means!$L$21:$L$23</c:f>
              <c:numCache>
                <c:formatCode>0.000</c:formatCode>
                <c:ptCount val="3"/>
                <c:pt idx="0">
                  <c:v>1.2474392242608683</c:v>
                </c:pt>
                <c:pt idx="1">
                  <c:v>0.7257928524199978</c:v>
                </c:pt>
                <c:pt idx="2">
                  <c:v>0.24929677729296146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C28-4B80-9379-B6793EDF6DA6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Means!$K$24:$K$26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C28-4B80-9379-B6793EDF6DA6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Means!$K$27:$K$29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Means!$L$27:$L$29</c:f>
              <c:numCache>
                <c:formatCode>0.000</c:formatCode>
                <c:ptCount val="3"/>
                <c:pt idx="0">
                  <c:v>1.2252177127215651</c:v>
                </c:pt>
                <c:pt idx="1">
                  <c:v>0.7071421076942801</c:v>
                </c:pt>
                <c:pt idx="2">
                  <c:v>0.23288596495428476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A25B-4898-9CD2-430DC0F1F04E}"/>
              </c:ext>
            </c:extLst>
          </c:dPt>
          <c:cat>
            <c:strRef>
              <c:f>OneComp!$B$40:$B$44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OneComp!$D$7:$D$8</c:f>
              <c:numCache>
                <c:formatCode>0.000</c:formatCode>
                <c:ptCount val="2"/>
                <c:pt idx="0">
                  <c:v>23.6</c:v>
                </c:pt>
                <c:pt idx="1">
                  <c:v>19.3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A25B-4898-9CD2-430DC0F1F0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A25B-4898-9CD2-430DC0F1F0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A25B-4898-9CD2-430DC0F1F0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30C7694-843C-49B7-95C1-462D6992E4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25B-4898-9CD2-430DC0F1F0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1A456C7-662A-419A-B4DE-291EAAE1B7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25B-4898-9CD2-430DC0F1F04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BA2708C-863C-43E4-94B7-2831A20769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25B-4898-9CD2-430DC0F1F04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F37F305-F521-4F62-B4CB-8CB7381B28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25B-4898-9CD2-430DC0F1F04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A25B-4898-9CD2-430DC0F1F04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A25B-4898-9CD2-430DC0F1F04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OneComp!$F$18:$F$28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OneComp!$G$18:$G$28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28.6</c:v>
                </c:pt>
                <c:pt idx="5">
                  <c:v>23.6</c:v>
                </c:pt>
                <c:pt idx="6">
                  <c:v>18.600000000000001</c:v>
                </c:pt>
                <c:pt idx="7">
                  <c:v>13.600000000000001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OneComp!$H$18:$H$28</c15:f>
                <c15:dlblRangeCache>
                  <c:ptCount val="11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5.000</c:v>
                  </c:pt>
                  <c:pt idx="5">
                    <c:v>0.000</c:v>
                  </c:pt>
                  <c:pt idx="6">
                    <c:v>-5.000</c:v>
                  </c:pt>
                  <c:pt idx="7">
                    <c:v>-10.000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A25B-4898-9CD2-430DC0F1F04E}"/>
            </c:ext>
          </c:extLst>
        </c:ser>
        <c:ser>
          <c:idx val="4"/>
          <c:order val="2"/>
          <c:tx>
            <c:v>ReferOne</c:v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OneComp!$B$31:$B$32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OneComp!$C$31:$C$32</c:f>
              <c:numCache>
                <c:formatCode>0.000</c:formatCode>
                <c:ptCount val="2"/>
                <c:pt idx="0">
                  <c:v>23.6</c:v>
                </c:pt>
                <c:pt idx="1">
                  <c:v>23.6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25B-4898-9CD2-430DC0F1F04E}"/>
            </c:ext>
          </c:extLst>
        </c:ser>
        <c:ser>
          <c:idx val="5"/>
          <c:order val="3"/>
          <c:tx>
            <c:v>ReferTwo</c:v>
          </c:tx>
          <c:spPr>
            <a:ln w="12700">
              <a:solidFill>
                <a:schemeClr val="tx1">
                  <a:shade val="95000"/>
                  <a:satMod val="105000"/>
                </a:schemeClr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chemeClr val="tx1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0-A25B-4898-9CD2-430DC0F1F04E}"/>
              </c:ext>
            </c:extLst>
          </c:dPt>
          <c:xVal>
            <c:numRef>
              <c:f>OneComp!$D$31:$D$32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OneComp!$E$31:$E$32</c:f>
              <c:numCache>
                <c:formatCode>0.000</c:formatCode>
                <c:ptCount val="2"/>
                <c:pt idx="0">
                  <c:v>19.3</c:v>
                </c:pt>
                <c:pt idx="1">
                  <c:v>19.3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25B-4898-9CD2-430DC0F1F04E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OneComp!$C$18:$C$20</c:f>
              <c:numCache>
                <c:formatCode>0.000</c:formatCode>
                <c:ptCount val="3"/>
                <c:pt idx="0">
                  <c:v>25.828539153002382</c:v>
                </c:pt>
                <c:pt idx="1">
                  <c:v>23.6</c:v>
                </c:pt>
                <c:pt idx="2">
                  <c:v>21.371460846997621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25B-4898-9CD2-430DC0F1F04E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OneComp!$C$21:$C$23</c:f>
              <c:numCache>
                <c:formatCode>0.000</c:formatCode>
                <c:ptCount val="3"/>
                <c:pt idx="0">
                  <c:v>22.062975344320204</c:v>
                </c:pt>
                <c:pt idx="1">
                  <c:v>19.3</c:v>
                </c:pt>
                <c:pt idx="2">
                  <c:v>16.537024655679797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25B-4898-9CD2-430DC0F1F04E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25B-4898-9CD2-430DC0F1F04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AD95609E-F60D-47D7-901D-28CC9E53EE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25B-4898-9CD2-430DC0F1F04E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fld id="{8ECB7C5E-737D-434C-A7C8-46147C1042CB}" type="CELLRANGE">
                      <a:rPr lang="en-US"/>
                      <a:pPr>
                        <a:defRPr b="1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85DC3B1-7195-4520-9423-E728DDE1FF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OneComp!$B$24:$B$26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OneComp!$C$24:$C$26</c:f>
              <c:numCache>
                <c:formatCode>0.000</c:formatCode>
                <c:ptCount val="3"/>
                <c:pt idx="0">
                  <c:v>21.854861452520346</c:v>
                </c:pt>
                <c:pt idx="1">
                  <c:v>19.3</c:v>
                </c:pt>
                <c:pt idx="2">
                  <c:v>16.745138547479655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OneComp!$D$24:$D$26</c15:f>
                <c15:dlblRangeCache>
                  <c:ptCount val="3"/>
                  <c:pt idx="0">
                    <c:v>-1.745</c:v>
                  </c:pt>
                  <c:pt idx="1">
                    <c:v>-4.300</c:v>
                  </c:pt>
                  <c:pt idx="2">
                    <c:v>-6.855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9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Mean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dunb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F294-4BAA-A5CB-E3AC3EB706A3}"/>
              </c:ext>
            </c:extLst>
          </c:dPt>
          <c:cat>
            <c:strRef>
              <c:f>OneComp!$K$7:$K$11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OneComp!$M$7:$M$8</c:f>
              <c:numCache>
                <c:formatCode>0.000</c:formatCode>
                <c:ptCount val="2"/>
                <c:pt idx="0">
                  <c:v>0.7257928524199978</c:v>
                </c:pt>
                <c:pt idx="1">
                  <c:v>-0.11382862382782713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F294-4BAA-A5CB-E3AC3EB706A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F294-4BAA-A5CB-E3AC3EB706A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6B5A86F-86FB-40A6-AFE9-E007BECEAC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294-4BAA-A5CB-E3AC3EB706A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07EBC0A-F0C6-4115-9DA9-789865EF79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294-4BAA-A5CB-E3AC3EB706A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AFF27E0-DFCE-4531-83A6-578CA06268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294-4BAA-A5CB-E3AC3EB706A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8649695-7909-40FE-A42B-01A25BD040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294-4BAA-A5CB-E3AC3EB706A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55CE13F-106D-4071-B227-B515A62D9F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294-4BAA-A5CB-E3AC3EB706A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9DC05FF-68CA-47E7-9DE9-70D75FA967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294-4BAA-A5CB-E3AC3EB706A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F294-4BAA-A5CB-E3AC3EB706A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OneComp!$O$18:$O$28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OneComp!$P$18:$P$28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1.7257928524199979</c:v>
                </c:pt>
                <c:pt idx="4">
                  <c:v>1.2257928524199979</c:v>
                </c:pt>
                <c:pt idx="5">
                  <c:v>0.7257928524199978</c:v>
                </c:pt>
                <c:pt idx="6">
                  <c:v>0.2257928524199978</c:v>
                </c:pt>
                <c:pt idx="7">
                  <c:v>-0.2742071475800022</c:v>
                </c:pt>
                <c:pt idx="8">
                  <c:v>-0.7742071475800022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OneComp!$Q$18:$Q$28</c15:f>
                <c15:dlblRangeCache>
                  <c:ptCount val="11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1.000</c:v>
                  </c:pt>
                  <c:pt idx="4">
                    <c:v>0.500</c:v>
                  </c:pt>
                  <c:pt idx="5">
                    <c:v>0.000</c:v>
                  </c:pt>
                  <c:pt idx="6">
                    <c:v>-0.500</c:v>
                  </c:pt>
                  <c:pt idx="7">
                    <c:v>-1.000</c:v>
                  </c:pt>
                  <c:pt idx="8">
                    <c:v>-1.500</c:v>
                  </c:pt>
                  <c:pt idx="9">
                    <c:v>#N/A</c:v>
                  </c:pt>
                  <c:pt idx="10">
                    <c:v>#N/A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F294-4BAA-A5CB-E3AC3EB706A3}"/>
            </c:ext>
          </c:extLst>
        </c:ser>
        <c:ser>
          <c:idx val="4"/>
          <c:order val="2"/>
          <c:tx>
            <c:v>ReferOne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OneComp!$K$31:$K$32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OneComp!$L$31:$L$32</c:f>
              <c:numCache>
                <c:formatCode>0.000</c:formatCode>
                <c:ptCount val="2"/>
                <c:pt idx="0">
                  <c:v>0.7257928524199978</c:v>
                </c:pt>
                <c:pt idx="1">
                  <c:v>0.7257928524199978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294-4BAA-A5CB-E3AC3EB706A3}"/>
            </c:ext>
          </c:extLst>
        </c:ser>
        <c:ser>
          <c:idx val="5"/>
          <c:order val="3"/>
          <c:tx>
            <c:v>ReferTwo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F-F294-4BAA-A5CB-E3AC3EB706A3}"/>
              </c:ext>
            </c:extLst>
          </c:dPt>
          <c:xVal>
            <c:numRef>
              <c:f>OneComp!$M$31:$M$32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OneComp!$N$31:$N$32</c:f>
              <c:numCache>
                <c:formatCode>0.000</c:formatCode>
                <c:ptCount val="2"/>
                <c:pt idx="0">
                  <c:v>-0.11382862382782713</c:v>
                </c:pt>
                <c:pt idx="1">
                  <c:v>-0.11382862382782713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294-4BAA-A5CB-E3AC3EB706A3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rgbClr val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OneComp!$L$18:$L$20</c:f>
              <c:numCache>
                <c:formatCode>0.000</c:formatCode>
                <c:ptCount val="3"/>
                <c:pt idx="0">
                  <c:v>1.2474392242608683</c:v>
                </c:pt>
                <c:pt idx="1">
                  <c:v>0.7257928524199978</c:v>
                </c:pt>
                <c:pt idx="2">
                  <c:v>0.24929677729296146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294-4BAA-A5CB-E3AC3EB706A3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OneComp!$L$21:$L$23</c:f>
              <c:numCache>
                <c:formatCode>0.000</c:formatCode>
                <c:ptCount val="3"/>
                <c:pt idx="0">
                  <c:v>0.32283569987874261</c:v>
                </c:pt>
                <c:pt idx="1">
                  <c:v>-0.11382862382782713</c:v>
                </c:pt>
                <c:pt idx="2">
                  <c:v>-0.55688021963052647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294-4BAA-A5CB-E3AC3EB706A3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294-4BAA-A5CB-E3AC3EB706A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BBC3A0C-8133-4ACE-871D-D8CB35FA06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F294-4BAA-A5CB-E3AC3EB706A3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fld id="{B50027A8-3C25-4815-9AED-35693BB19F0D}" type="CELLRANGE">
                      <a:rPr lang="en-US"/>
                      <a:pPr>
                        <a:defRPr b="1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EA61091-3F35-4EE4-A862-74247D0E92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OneComp!$K$24:$K$26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OneComp!$L$24:$L$26</c:f>
              <c:numCache>
                <c:formatCode>0.000</c:formatCode>
                <c:ptCount val="3"/>
                <c:pt idx="0">
                  <c:v>0.38239919047504956</c:v>
                </c:pt>
                <c:pt idx="1">
                  <c:v>-0.11382862382782713</c:v>
                </c:pt>
                <c:pt idx="2">
                  <c:v>-0.62547110035665954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OneComp!$M$24:$M$26</c15:f>
                <c15:dlblRangeCache>
                  <c:ptCount val="3"/>
                  <c:pt idx="0">
                    <c:v>-0.273</c:v>
                  </c:pt>
                  <c:pt idx="1">
                    <c:v>-0.770</c:v>
                  </c:pt>
                  <c:pt idx="2">
                    <c:v>-1.281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Standardized</a:t>
                </a:r>
                <a:r>
                  <a:rPr lang="en-US" sz="1200" baseline="0"/>
                  <a:t> Difference</a:t>
                </a:r>
                <a:r>
                  <a:rPr lang="en-US" sz="1200"/>
                  <a:t>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Pairwise!$D$6</c:f>
              <c:strCache>
                <c:ptCount val="1"/>
                <c:pt idx="0">
                  <c:v>Diff.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Pairwise!$B$7:$B$12</c:f>
              <c:strCache>
                <c:ptCount val="5"/>
                <c:pt idx="0">
                  <c:v>1 vs. 2</c:v>
                </c:pt>
                <c:pt idx="3">
                  <c:v>1 vs. 4</c:v>
                </c:pt>
                <c:pt idx="4">
                  <c:v>2 vs. 4</c:v>
                </c:pt>
              </c:strCache>
            </c:strRef>
          </c:cat>
          <c:val>
            <c:numRef>
              <c:f>Pairwise!$D$7:$D$12</c:f>
              <c:numCache>
                <c:formatCode>0.000</c:formatCode>
                <c:ptCount val="6"/>
                <c:pt idx="0">
                  <c:v>-4.3000000000000007</c:v>
                </c:pt>
                <c:pt idx="1">
                  <c:v>0</c:v>
                </c:pt>
                <c:pt idx="2">
                  <c:v>0</c:v>
                </c:pt>
                <c:pt idx="3">
                  <c:v>-4.0999999999999979</c:v>
                </c:pt>
                <c:pt idx="4">
                  <c:v>0.20000000000000284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Pairwise!$G$18:$G$35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Pairwise!$H$18:$H$35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2E-46C4-8D1A-357628ECC2CE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Pairwise!$B$18:$B$20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Pairwise!$C$18:$C$20</c:f>
              <c:numCache>
                <c:formatCode>0.000</c:formatCode>
                <c:ptCount val="3"/>
                <c:pt idx="0">
                  <c:v>-1.7451385474796548</c:v>
                </c:pt>
                <c:pt idx="1">
                  <c:v>-4.3000000000000007</c:v>
                </c:pt>
                <c:pt idx="2">
                  <c:v>-6.8548614525203462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2E-46C4-8D1A-357628ECC2CE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Pairwise!$B$21:$B$23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32E-46C4-8D1A-357628ECC2CE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Pairwise!$B$24:$B$26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32E-46C4-8D1A-357628ECC2CE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Pairwise!$B$27:$B$29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Pairwise!$C$27:$C$29</c:f>
              <c:numCache>
                <c:formatCode>0.000</c:formatCode>
                <c:ptCount val="3"/>
                <c:pt idx="0">
                  <c:v>-1.6709717707998748</c:v>
                </c:pt>
                <c:pt idx="1">
                  <c:v>-4.0999999999999979</c:v>
                </c:pt>
                <c:pt idx="2">
                  <c:v>-6.5290282292001205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32E-46C4-8D1A-357628ECC2CE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Pairwise!$B$30:$B$32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Pairwise!$C$30:$C$32</c:f>
              <c:numCache>
                <c:formatCode>0.000</c:formatCode>
                <c:ptCount val="3"/>
                <c:pt idx="0">
                  <c:v>1.7750834011249965</c:v>
                </c:pt>
                <c:pt idx="1">
                  <c:v>0.20000000000000284</c:v>
                </c:pt>
                <c:pt idx="2">
                  <c:v>-1.3750834011249908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32E-46C4-8D1A-357628ECC2CE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Pairwise!$B$33:$B$35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Pairwise!$C$33:$C$35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Mean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Pairwise!$K$7:$K$12</c:f>
              <c:strCache>
                <c:ptCount val="5"/>
                <c:pt idx="0">
                  <c:v>1 vs. 2</c:v>
                </c:pt>
                <c:pt idx="3">
                  <c:v>1 vs. 4</c:v>
                </c:pt>
                <c:pt idx="4">
                  <c:v>2 vs. 4</c:v>
                </c:pt>
              </c:strCache>
            </c:strRef>
          </c:cat>
          <c:val>
            <c:numRef>
              <c:f>Pairwise!$M$7:$M$12</c:f>
              <c:numCache>
                <c:formatCode>0.000</c:formatCode>
                <c:ptCount val="6"/>
                <c:pt idx="0">
                  <c:v>-0.7696998571406537</c:v>
                </c:pt>
                <c:pt idx="1">
                  <c:v>0</c:v>
                </c:pt>
                <c:pt idx="2">
                  <c:v>0</c:v>
                </c:pt>
                <c:pt idx="3">
                  <c:v>-0.74278765692506288</c:v>
                </c:pt>
                <c:pt idx="4">
                  <c:v>4.0944334007461343E-2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Pairwise!$P$18:$P$35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Pairwise!$Q$18:$Q$35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1-4ADB-AB07-B4247C5B7297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Pairwise!$K$18:$K$20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Pairwise!$L$18:$L$20</c:f>
              <c:numCache>
                <c:formatCode>0.000</c:formatCode>
                <c:ptCount val="3"/>
                <c:pt idx="0">
                  <c:v>-0.27347204283777699</c:v>
                </c:pt>
                <c:pt idx="1">
                  <c:v>-0.7696998571406537</c:v>
                </c:pt>
                <c:pt idx="2">
                  <c:v>-1.281342333669486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01-4ADB-AB07-B4247C5B7297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Pairwise!$K$21:$K$23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01-4ADB-AB07-B4247C5B7297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Pairwise!$K$24:$K$26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01-4ADB-AB07-B4247C5B7297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Pairwise!$K$27:$K$29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Pairwise!$L$27:$L$29</c:f>
              <c:numCache>
                <c:formatCode>0.000</c:formatCode>
                <c:ptCount val="3"/>
                <c:pt idx="0">
                  <c:v>-0.27535880549057712</c:v>
                </c:pt>
                <c:pt idx="1">
                  <c:v>-0.74278765692506288</c:v>
                </c:pt>
                <c:pt idx="2">
                  <c:v>-1.2839378254315315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301-4ADB-AB07-B4247C5B7297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Pairwise!$K$30:$K$32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Pairwise!$L$30:$L$32</c:f>
              <c:numCache>
                <c:formatCode>0.000</c:formatCode>
                <c:ptCount val="3"/>
                <c:pt idx="0">
                  <c:v>0.49731369048591151</c:v>
                </c:pt>
                <c:pt idx="1">
                  <c:v>4.0944334007461343E-2</c:v>
                </c:pt>
                <c:pt idx="2">
                  <c:v>-0.38001210377345479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301-4ADB-AB07-B4247C5B7297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Pairwise!$K$33:$K$35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Pairwise!$L$33:$L$35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302895</xdr:colOff>
      <xdr:row>14</xdr:row>
      <xdr:rowOff>171449</xdr:rowOff>
    </xdr:from>
    <xdr:to>
      <xdr:col>8</xdr:col>
      <xdr:colOff>9525</xdr:colOff>
      <xdr:row>34</xdr:row>
      <xdr:rowOff>188594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173355</xdr:rowOff>
    </xdr:from>
    <xdr:to>
      <xdr:col>17</xdr:col>
      <xdr:colOff>11430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15238</xdr:rowOff>
    </xdr:from>
    <xdr:to>
      <xdr:col>8</xdr:col>
      <xdr:colOff>30480</xdr:colOff>
      <xdr:row>35</xdr:row>
      <xdr:rowOff>55243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15</xdr:row>
      <xdr:rowOff>7617</xdr:rowOff>
    </xdr:from>
    <xdr:to>
      <xdr:col>17</xdr:col>
      <xdr:colOff>26670</xdr:colOff>
      <xdr:row>35</xdr:row>
      <xdr:rowOff>40002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4CDFAA-A948-4487-96BC-2C60D708C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300990</xdr:colOff>
      <xdr:row>14</xdr:row>
      <xdr:rowOff>175260</xdr:rowOff>
    </xdr:from>
    <xdr:to>
      <xdr:col>8</xdr:col>
      <xdr:colOff>7620</xdr:colOff>
      <xdr:row>35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</xdr:colOff>
      <xdr:row>14</xdr:row>
      <xdr:rowOff>152400</xdr:rowOff>
    </xdr:from>
    <xdr:to>
      <xdr:col>17</xdr:col>
      <xdr:colOff>15240</xdr:colOff>
      <xdr:row>34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wendorf@uwsp.edu" TargetMode="External"/><Relationship Id="rId2" Type="http://schemas.openxmlformats.org/officeDocument/2006/relationships/hyperlink" Target="http://cwendorf.github.io/" TargetMode="External"/><Relationship Id="rId1" Type="http://schemas.openxmlformats.org/officeDocument/2006/relationships/hyperlink" Target="https://cwendorf.github.io/BASE/EAS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Q34"/>
  <sheetViews>
    <sheetView tabSelected="1" showRuler="0" zoomScaleNormal="100" workbookViewId="0">
      <selection activeCell="K31" sqref="K31"/>
    </sheetView>
  </sheetViews>
  <sheetFormatPr defaultColWidth="11.109375" defaultRowHeight="15" customHeight="1" x14ac:dyDescent="0.3"/>
  <cols>
    <col min="1" max="1" width="4.5546875" style="3" customWidth="1"/>
    <col min="2" max="8" width="11.109375" style="3"/>
    <col min="9" max="10" width="4.5546875" style="3" customWidth="1"/>
    <col min="11" max="17" width="11.109375" style="3"/>
    <col min="18" max="19" width="4.5546875" style="3" customWidth="1"/>
    <col min="20" max="16384" width="11.109375" style="3"/>
  </cols>
  <sheetData>
    <row r="2" spans="2:17" ht="18" customHeight="1" x14ac:dyDescent="0.35">
      <c r="B2" s="114" t="s">
        <v>121</v>
      </c>
      <c r="C2" s="114"/>
      <c r="D2" s="114"/>
      <c r="E2" s="114"/>
      <c r="F2" s="114"/>
      <c r="G2" s="114"/>
      <c r="H2" s="114"/>
      <c r="I2" s="89"/>
      <c r="J2" s="89"/>
      <c r="K2" s="115" t="s">
        <v>82</v>
      </c>
      <c r="L2" s="115"/>
      <c r="M2" s="115"/>
      <c r="N2" s="115"/>
      <c r="O2" s="115"/>
      <c r="P2" s="115"/>
      <c r="Q2" s="115"/>
    </row>
    <row r="3" spans="2:17" ht="18" customHeight="1" x14ac:dyDescent="0.35">
      <c r="B3" s="116" t="s">
        <v>64</v>
      </c>
      <c r="C3" s="116"/>
      <c r="D3" s="116"/>
      <c r="E3" s="116"/>
      <c r="F3" s="116"/>
      <c r="G3" s="116"/>
      <c r="H3" s="116"/>
      <c r="I3" s="91"/>
      <c r="J3" s="91"/>
      <c r="K3" s="116" t="s">
        <v>133</v>
      </c>
      <c r="L3" s="116"/>
      <c r="M3" s="116"/>
      <c r="N3" s="116"/>
      <c r="O3" s="116"/>
      <c r="P3" s="116"/>
      <c r="Q3" s="116"/>
    </row>
    <row r="4" spans="2:17" s="91" customFormat="1" ht="18" customHeight="1" x14ac:dyDescent="0.35">
      <c r="B4" s="116" t="s">
        <v>35</v>
      </c>
      <c r="C4" s="116"/>
      <c r="D4" s="116"/>
      <c r="E4" s="116"/>
      <c r="F4" s="116"/>
      <c r="G4" s="116"/>
      <c r="H4" s="116"/>
      <c r="K4" s="117" t="s">
        <v>134</v>
      </c>
      <c r="L4" s="116"/>
      <c r="M4" s="116"/>
      <c r="N4" s="116"/>
      <c r="O4" s="116"/>
      <c r="P4" s="116"/>
      <c r="Q4" s="116"/>
    </row>
    <row r="6" spans="2:17" ht="15" customHeight="1" x14ac:dyDescent="0.3">
      <c r="B6" s="7" t="s">
        <v>83</v>
      </c>
      <c r="K6" s="7" t="s">
        <v>84</v>
      </c>
    </row>
    <row r="8" spans="2:17" ht="15" customHeight="1" x14ac:dyDescent="0.3">
      <c r="B8" s="3" t="s">
        <v>98</v>
      </c>
      <c r="K8" s="3" t="s">
        <v>22</v>
      </c>
    </row>
    <row r="9" spans="2:17" ht="15" customHeight="1" x14ac:dyDescent="0.3">
      <c r="B9" s="3" t="s">
        <v>99</v>
      </c>
      <c r="K9" s="3" t="s">
        <v>32</v>
      </c>
    </row>
    <row r="10" spans="2:17" ht="15" customHeight="1" x14ac:dyDescent="0.3">
      <c r="B10" s="3" t="s">
        <v>113</v>
      </c>
      <c r="K10" s="3" t="s">
        <v>31</v>
      </c>
    </row>
    <row r="11" spans="2:17" ht="15" customHeight="1" x14ac:dyDescent="0.3">
      <c r="B11" s="3" t="s">
        <v>114</v>
      </c>
    </row>
    <row r="13" spans="2:17" ht="15" customHeight="1" x14ac:dyDescent="0.3">
      <c r="B13" s="7" t="s">
        <v>85</v>
      </c>
      <c r="K13" s="7" t="s">
        <v>86</v>
      </c>
    </row>
    <row r="14" spans="2:17" ht="15" customHeight="1" x14ac:dyDescent="0.3">
      <c r="K14"/>
    </row>
    <row r="15" spans="2:17" ht="15" customHeight="1" x14ac:dyDescent="0.3">
      <c r="B15" s="3" t="s">
        <v>65</v>
      </c>
      <c r="K15" t="s">
        <v>101</v>
      </c>
    </row>
    <row r="16" spans="2:17" ht="15" customHeight="1" x14ac:dyDescent="0.3">
      <c r="B16" s="3" t="s">
        <v>102</v>
      </c>
      <c r="K16" t="s">
        <v>45</v>
      </c>
    </row>
    <row r="17" spans="2:17" ht="15" customHeight="1" x14ac:dyDescent="0.3">
      <c r="B17" s="3" t="s">
        <v>96</v>
      </c>
      <c r="K17" t="s">
        <v>87</v>
      </c>
    </row>
    <row r="18" spans="2:17" ht="15" customHeight="1" x14ac:dyDescent="0.3">
      <c r="B18" s="3" t="s">
        <v>97</v>
      </c>
      <c r="K18" s="90" t="s">
        <v>100</v>
      </c>
    </row>
    <row r="20" spans="2:17" ht="15" customHeight="1" x14ac:dyDescent="0.3">
      <c r="B20" s="7" t="s">
        <v>88</v>
      </c>
      <c r="K20" s="7" t="s">
        <v>4</v>
      </c>
    </row>
    <row r="22" spans="2:17" ht="15" customHeight="1" x14ac:dyDescent="0.3">
      <c r="B22" s="3" t="s">
        <v>89</v>
      </c>
      <c r="C22" s="3" t="s">
        <v>7</v>
      </c>
      <c r="K22" s="3" t="s">
        <v>69</v>
      </c>
      <c r="L22"/>
      <c r="M22"/>
      <c r="N22"/>
      <c r="O22"/>
      <c r="P22"/>
      <c r="Q22"/>
    </row>
    <row r="23" spans="2:17" ht="15" customHeight="1" x14ac:dyDescent="0.3">
      <c r="B23" s="3" t="s">
        <v>90</v>
      </c>
      <c r="C23" s="3" t="s">
        <v>41</v>
      </c>
      <c r="K23" s="3" t="s">
        <v>5</v>
      </c>
      <c r="L23"/>
      <c r="M23"/>
      <c r="N23"/>
      <c r="O23"/>
      <c r="P23"/>
      <c r="Q23"/>
    </row>
    <row r="24" spans="2:17" ht="15" customHeight="1" x14ac:dyDescent="0.3">
      <c r="B24" s="3" t="s">
        <v>91</v>
      </c>
      <c r="C24" s="3" t="s">
        <v>42</v>
      </c>
      <c r="K24" s="3" t="s">
        <v>6</v>
      </c>
      <c r="L24"/>
      <c r="M24"/>
      <c r="N24"/>
      <c r="O24"/>
      <c r="P24"/>
      <c r="Q24"/>
    </row>
    <row r="25" spans="2:17" ht="15" customHeight="1" x14ac:dyDescent="0.3">
      <c r="B25" s="3" t="s">
        <v>120</v>
      </c>
      <c r="C25" s="3" t="s">
        <v>109</v>
      </c>
      <c r="K25" s="111" t="s">
        <v>130</v>
      </c>
      <c r="L25"/>
      <c r="M25"/>
      <c r="N25"/>
      <c r="O25"/>
      <c r="P25"/>
      <c r="Q25"/>
    </row>
    <row r="26" spans="2:17" ht="15" customHeight="1" x14ac:dyDescent="0.3">
      <c r="B26" s="3" t="s">
        <v>92</v>
      </c>
      <c r="C26" s="3" t="s">
        <v>8</v>
      </c>
      <c r="K26" s="111" t="s">
        <v>135</v>
      </c>
      <c r="L26"/>
      <c r="M26"/>
      <c r="N26"/>
      <c r="O26"/>
      <c r="P26"/>
      <c r="Q26"/>
    </row>
    <row r="27" spans="2:17" ht="15" customHeight="1" x14ac:dyDescent="0.3">
      <c r="L27"/>
      <c r="M27"/>
      <c r="N27"/>
      <c r="O27"/>
      <c r="P27"/>
      <c r="Q27"/>
    </row>
    <row r="28" spans="2:17" ht="15" customHeight="1" x14ac:dyDescent="0.3">
      <c r="B28" s="7" t="s">
        <v>119</v>
      </c>
      <c r="K28" s="7" t="s">
        <v>131</v>
      </c>
      <c r="L28"/>
      <c r="M28"/>
      <c r="N28"/>
      <c r="O28"/>
      <c r="P28"/>
      <c r="Q28"/>
    </row>
    <row r="29" spans="2:17" ht="15" customHeight="1" x14ac:dyDescent="0.3">
      <c r="B29" s="25"/>
      <c r="L29"/>
      <c r="M29"/>
      <c r="N29"/>
      <c r="O29"/>
      <c r="P29"/>
      <c r="Q29"/>
    </row>
    <row r="30" spans="2:17" ht="15" customHeight="1" x14ac:dyDescent="0.3">
      <c r="B30" s="25" t="s">
        <v>93</v>
      </c>
      <c r="K30" s="3" t="s">
        <v>136</v>
      </c>
      <c r="L30"/>
      <c r="M30"/>
      <c r="N30"/>
      <c r="O30"/>
      <c r="P30"/>
      <c r="Q30"/>
    </row>
    <row r="31" spans="2:17" ht="15" customHeight="1" x14ac:dyDescent="0.3">
      <c r="B31" s="25" t="s">
        <v>94</v>
      </c>
      <c r="K31" s="3" t="s">
        <v>132</v>
      </c>
      <c r="L31"/>
      <c r="M31"/>
      <c r="N31"/>
      <c r="O31"/>
      <c r="P31"/>
      <c r="Q31"/>
    </row>
    <row r="32" spans="2:17" ht="15" customHeight="1" x14ac:dyDescent="0.3">
      <c r="B32" s="25" t="s">
        <v>95</v>
      </c>
      <c r="K32" s="3" t="s">
        <v>134</v>
      </c>
      <c r="L32"/>
      <c r="M32"/>
      <c r="N32"/>
      <c r="O32"/>
      <c r="P32"/>
      <c r="Q32"/>
    </row>
    <row r="33" spans="11:17" ht="15" customHeight="1" x14ac:dyDescent="0.3">
      <c r="L33"/>
      <c r="M33"/>
      <c r="N33"/>
      <c r="O33"/>
      <c r="P33"/>
      <c r="Q33"/>
    </row>
    <row r="34" spans="11:17" ht="15" customHeight="1" x14ac:dyDescent="0.3">
      <c r="K34" s="111"/>
    </row>
  </sheetData>
  <sheetProtection sheet="1" selectLockedCells="1" selectUnlockedCells="1"/>
  <mergeCells count="6">
    <mergeCell ref="B2:H2"/>
    <mergeCell ref="K2:Q2"/>
    <mergeCell ref="B3:H3"/>
    <mergeCell ref="K3:Q3"/>
    <mergeCell ref="B4:H4"/>
    <mergeCell ref="K4:Q4"/>
  </mergeCells>
  <hyperlinks>
    <hyperlink ref="K4" r:id="rId1" xr:uid="{00000000-0004-0000-0000-000000000000}"/>
    <hyperlink ref="K26" r:id="rId2" xr:uid="{657F03B9-2320-403F-A164-1B07784FB4D6}"/>
    <hyperlink ref="K25" r:id="rId3" xr:uid="{75EBE3AA-E4AE-4C8B-AB99-8E519AA6D7EA}"/>
  </hyperlinks>
  <pageMargins left="0.7" right="0.7" top="0.7" bottom="0.7" header="0.3" footer="0.3"/>
  <pageSetup orientation="portrait" r:id="rId4"/>
  <headerFooter>
    <oddHeader>&amp;LEASE: Estimation Approach to Statistics with Excel&amp;RDesign: Single Factor, Within-Subjects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AA206"/>
  <sheetViews>
    <sheetView showRuler="0" zoomScaleNormal="100" workbookViewId="0">
      <selection activeCell="K9" sqref="K9"/>
    </sheetView>
  </sheetViews>
  <sheetFormatPr defaultColWidth="11.109375" defaultRowHeight="14.4" x14ac:dyDescent="0.3"/>
  <cols>
    <col min="1" max="1" width="4.5546875" customWidth="1"/>
    <col min="6" max="6" width="11.109375" style="12"/>
    <col min="9" max="10" width="4.5546875" customWidth="1"/>
    <col min="11" max="15" width="11.109375" style="18"/>
    <col min="16" max="16" width="11.109375" style="40"/>
    <col min="18" max="18" width="4.5546875" customWidth="1"/>
    <col min="19" max="19" width="4.5546875" hidden="1" customWidth="1"/>
    <col min="20" max="26" width="11.109375" hidden="1" customWidth="1"/>
    <col min="27" max="27" width="4.5546875" hidden="1" customWidth="1"/>
  </cols>
  <sheetData>
    <row r="1" spans="2:26" x14ac:dyDescent="0.3">
      <c r="F1"/>
      <c r="K1" s="12"/>
      <c r="L1"/>
      <c r="M1"/>
      <c r="N1"/>
      <c r="O1"/>
    </row>
    <row r="2" spans="2:26" ht="15" customHeight="1" x14ac:dyDescent="0.3">
      <c r="B2" s="119" t="s">
        <v>30</v>
      </c>
      <c r="C2" s="119"/>
      <c r="D2" s="119"/>
      <c r="E2" s="119"/>
      <c r="F2" s="119"/>
      <c r="G2" s="119"/>
      <c r="H2" s="119"/>
      <c r="K2" s="119" t="s">
        <v>24</v>
      </c>
      <c r="L2" s="119"/>
      <c r="M2" s="119"/>
      <c r="N2" s="119"/>
      <c r="O2" s="119"/>
      <c r="P2" s="87"/>
      <c r="Q2" s="88"/>
      <c r="T2" s="119" t="s">
        <v>61</v>
      </c>
      <c r="U2" s="119"/>
      <c r="V2" s="119"/>
      <c r="W2" s="119"/>
      <c r="X2" s="119"/>
      <c r="Y2" s="119"/>
      <c r="Z2" s="119"/>
    </row>
    <row r="3" spans="2:26" ht="18.600000000000001" thickBot="1" x14ac:dyDescent="0.4">
      <c r="E3" s="1"/>
      <c r="K3" s="12"/>
      <c r="L3" s="5"/>
      <c r="M3" s="5"/>
      <c r="N3" s="5"/>
      <c r="O3" s="5"/>
    </row>
    <row r="4" spans="2:26" ht="16.2" thickBot="1" x14ac:dyDescent="0.35">
      <c r="B4" s="7" t="s">
        <v>30</v>
      </c>
      <c r="F4"/>
      <c r="K4" s="48" t="s">
        <v>29</v>
      </c>
      <c r="L4" s="48" t="str">
        <f>IF(B22="","",B22)</f>
        <v>Pretest</v>
      </c>
      <c r="M4" s="48" t="str">
        <f>IF(B23="","",B23)</f>
        <v>Posttest</v>
      </c>
      <c r="N4" s="48" t="str">
        <f>IF(B24="","",B24)</f>
        <v/>
      </c>
      <c r="O4" s="48" t="str">
        <f>IF(B25="","",B25)</f>
        <v>Followup</v>
      </c>
      <c r="T4" s="46" t="s">
        <v>56</v>
      </c>
    </row>
    <row r="5" spans="2:26" ht="15" thickBot="1" x14ac:dyDescent="0.35">
      <c r="K5" s="17">
        <v>1</v>
      </c>
      <c r="L5" s="17">
        <v>7</v>
      </c>
      <c r="M5" s="17">
        <v>16</v>
      </c>
      <c r="N5" s="17"/>
      <c r="O5" s="18">
        <v>16</v>
      </c>
      <c r="P5" s="40">
        <f t="shared" ref="P5:P24" si="0">IFERROR(AVERAGE(L5:O5),"")</f>
        <v>13</v>
      </c>
    </row>
    <row r="6" spans="2:26" ht="15" thickBot="1" x14ac:dyDescent="0.35">
      <c r="B6" s="118" t="s">
        <v>27</v>
      </c>
      <c r="C6" s="118"/>
      <c r="D6" s="118"/>
      <c r="E6" s="118"/>
      <c r="F6" s="118"/>
      <c r="G6" s="118"/>
      <c r="H6" s="118"/>
      <c r="K6" s="18">
        <v>2</v>
      </c>
      <c r="L6" s="18">
        <v>11</v>
      </c>
      <c r="M6" s="18">
        <v>20</v>
      </c>
      <c r="O6" s="18">
        <v>18</v>
      </c>
      <c r="P6" s="40">
        <f t="shared" si="0"/>
        <v>16.333333333333332</v>
      </c>
      <c r="T6" s="54" t="s">
        <v>57</v>
      </c>
      <c r="U6" s="54" t="s">
        <v>63</v>
      </c>
      <c r="V6" s="54" t="s">
        <v>1</v>
      </c>
      <c r="W6" s="54" t="s">
        <v>11</v>
      </c>
      <c r="X6" s="54" t="s">
        <v>71</v>
      </c>
      <c r="Y6" s="54" t="s">
        <v>2</v>
      </c>
      <c r="Z6" s="54" t="s">
        <v>78</v>
      </c>
    </row>
    <row r="7" spans="2:26" x14ac:dyDescent="0.3">
      <c r="B7" s="124" t="s">
        <v>122</v>
      </c>
      <c r="C7" s="124"/>
      <c r="D7" s="124"/>
      <c r="E7" s="124"/>
      <c r="F7" s="124"/>
      <c r="G7" s="124"/>
      <c r="H7" s="124"/>
      <c r="K7" s="18">
        <v>3</v>
      </c>
      <c r="L7" s="18">
        <v>11</v>
      </c>
      <c r="M7" s="18">
        <v>25</v>
      </c>
      <c r="O7" s="18">
        <v>23</v>
      </c>
      <c r="P7" s="40">
        <f t="shared" si="0"/>
        <v>19.666666666666668</v>
      </c>
      <c r="T7" s="56" t="str">
        <f>IF($B$22="","",$B$22)</f>
        <v>Pretest</v>
      </c>
      <c r="U7" s="56">
        <v>1</v>
      </c>
      <c r="V7" s="19">
        <f>IF(COUNT(L:L)=0,"",COUNT(L:L))</f>
        <v>20</v>
      </c>
      <c r="W7" s="20">
        <f>IFERROR(AVERAGE(L:L),"")</f>
        <v>19.3</v>
      </c>
      <c r="X7" s="20">
        <f>IFERROR(STDEV(L:L),"")</f>
        <v>5.9036117401932318</v>
      </c>
      <c r="Y7" s="19">
        <f>IFERROR(V7-1,"")</f>
        <v>19</v>
      </c>
      <c r="Z7" s="27">
        <f>IFERROR(X7/SQRT(V7),"")</f>
        <v>1.3200877163837894</v>
      </c>
    </row>
    <row r="8" spans="2:26" ht="15" thickBot="1" x14ac:dyDescent="0.35">
      <c r="B8" s="125"/>
      <c r="C8" s="125"/>
      <c r="D8" s="125"/>
      <c r="E8" s="125"/>
      <c r="F8" s="125"/>
      <c r="G8" s="125"/>
      <c r="H8" s="125"/>
      <c r="K8" s="18">
        <v>4</v>
      </c>
      <c r="L8" s="18">
        <v>13</v>
      </c>
      <c r="M8" s="18">
        <v>22</v>
      </c>
      <c r="O8" s="18">
        <v>21</v>
      </c>
      <c r="P8" s="40">
        <f t="shared" si="0"/>
        <v>18.666666666666668</v>
      </c>
      <c r="T8" s="58" t="str">
        <f>IF($B$23="","",$B$23)</f>
        <v>Posttest</v>
      </c>
      <c r="U8" s="58">
        <v>2</v>
      </c>
      <c r="V8" s="21">
        <f>IF(COUNT(M:M)=0,"",COUNT(M:M))</f>
        <v>20</v>
      </c>
      <c r="W8" s="22">
        <f>IFERROR(AVERAGE(M:M),"")</f>
        <v>23.6</v>
      </c>
      <c r="X8" s="22">
        <f>IFERROR(STDEV(M:M),"")</f>
        <v>4.761689218179435</v>
      </c>
      <c r="Y8" s="21">
        <f>IFERROR(V8-1,"")</f>
        <v>19</v>
      </c>
      <c r="Z8" s="29">
        <f>IFERROR(X8/SQRT(V8),"")</f>
        <v>1.0647460779577043</v>
      </c>
    </row>
    <row r="9" spans="2:26" ht="15" thickBot="1" x14ac:dyDescent="0.35">
      <c r="B9" s="8"/>
      <c r="C9" s="8"/>
      <c r="D9" s="8"/>
      <c r="E9" s="8"/>
      <c r="F9" s="33"/>
      <c r="G9" s="8"/>
      <c r="H9" s="8"/>
      <c r="K9" s="18">
        <v>5</v>
      </c>
      <c r="L9" s="18">
        <v>15</v>
      </c>
      <c r="M9" s="18">
        <v>28</v>
      </c>
      <c r="O9" s="18">
        <v>27</v>
      </c>
      <c r="P9" s="40">
        <f t="shared" si="0"/>
        <v>23.333333333333332</v>
      </c>
      <c r="T9" s="58" t="str">
        <f>IF($B$24="","",$B$24)</f>
        <v/>
      </c>
      <c r="U9" s="58">
        <v>3</v>
      </c>
      <c r="V9" s="21" t="str">
        <f>IF(COUNT(N:N)=0,"",COUNT(N:N))</f>
        <v/>
      </c>
      <c r="W9" s="22" t="str">
        <f>IFERROR(AVERAGE(N:N),"")</f>
        <v/>
      </c>
      <c r="X9" s="22" t="str">
        <f>IFERROR(STDEV(N:N),"")</f>
        <v/>
      </c>
      <c r="Y9" s="21" t="str">
        <f>IFERROR(V9-1,"")</f>
        <v/>
      </c>
      <c r="Z9" s="29" t="str">
        <f>IFERROR(X9/SQRT(V9),"")</f>
        <v/>
      </c>
    </row>
    <row r="10" spans="2:26" ht="15" thickBot="1" x14ac:dyDescent="0.35">
      <c r="B10" s="123" t="s">
        <v>28</v>
      </c>
      <c r="C10" s="123"/>
      <c r="D10" s="123"/>
      <c r="E10" s="123"/>
      <c r="F10" s="123"/>
      <c r="G10" s="123"/>
      <c r="H10" s="123"/>
      <c r="K10" s="18">
        <v>6</v>
      </c>
      <c r="L10" s="18">
        <v>17</v>
      </c>
      <c r="M10" s="18">
        <v>12</v>
      </c>
      <c r="O10" s="18">
        <v>21</v>
      </c>
      <c r="P10" s="40">
        <f t="shared" si="0"/>
        <v>16.666666666666668</v>
      </c>
      <c r="T10" s="58" t="str">
        <f>IF($B$25="","",$B$25)</f>
        <v>Followup</v>
      </c>
      <c r="U10" s="58">
        <v>4</v>
      </c>
      <c r="V10" s="21">
        <f>IF(COUNT(O:O)=0,"",COUNT(O:O))</f>
        <v>20</v>
      </c>
      <c r="W10" s="22">
        <f>IFERROR(AVERAGE(O:O),"")</f>
        <v>23.4</v>
      </c>
      <c r="X10" s="22">
        <f>IFERROR(STDEV(O:O),"")</f>
        <v>4.6157624676638962</v>
      </c>
      <c r="Y10" s="21">
        <f>IFERROR(V10-1,"")</f>
        <v>19</v>
      </c>
      <c r="Z10" s="29">
        <f>IFERROR(X10/SQRT(V10),"")</f>
        <v>1.0321158645688646</v>
      </c>
    </row>
    <row r="11" spans="2:26" ht="15" thickBot="1" x14ac:dyDescent="0.35">
      <c r="B11" s="120" t="s">
        <v>123</v>
      </c>
      <c r="C11" s="120"/>
      <c r="D11" s="120"/>
      <c r="E11" s="120"/>
      <c r="F11" s="120"/>
      <c r="G11" s="120"/>
      <c r="H11" s="120"/>
      <c r="K11" s="18">
        <v>7</v>
      </c>
      <c r="L11" s="18">
        <v>18</v>
      </c>
      <c r="M11" s="18">
        <v>16</v>
      </c>
      <c r="O11" s="18">
        <v>18</v>
      </c>
      <c r="P11" s="40">
        <f t="shared" si="0"/>
        <v>17.333333333333332</v>
      </c>
      <c r="T11" s="60" t="s">
        <v>48</v>
      </c>
      <c r="U11" s="60" t="s">
        <v>48</v>
      </c>
      <c r="V11" s="23">
        <f>IFERROR(SUM(V7:V10),"")</f>
        <v>60</v>
      </c>
      <c r="W11" s="24">
        <f>IFERROR(AVERAGE(W7:W10),"")</f>
        <v>22.100000000000005</v>
      </c>
      <c r="X11" s="24">
        <f>IFERROR(STDEV(L:O),"")</f>
        <v>5.4203008234736547</v>
      </c>
      <c r="Y11" s="23">
        <f>IFERROR(V11-1,"")</f>
        <v>59</v>
      </c>
      <c r="Z11" s="30">
        <f>IFERROR(X11/SQRT(V11),"")</f>
        <v>0.69975782735826042</v>
      </c>
    </row>
    <row r="12" spans="2:26" x14ac:dyDescent="0.3">
      <c r="B12" s="121"/>
      <c r="C12" s="121"/>
      <c r="D12" s="121"/>
      <c r="E12" s="121"/>
      <c r="F12" s="121"/>
      <c r="G12" s="121"/>
      <c r="H12" s="121"/>
      <c r="K12" s="18">
        <v>8</v>
      </c>
      <c r="L12" s="18">
        <v>18</v>
      </c>
      <c r="M12" s="18">
        <v>26</v>
      </c>
      <c r="O12" s="18">
        <v>21</v>
      </c>
      <c r="P12" s="40">
        <f t="shared" si="0"/>
        <v>21.666666666666668</v>
      </c>
      <c r="T12" s="9"/>
      <c r="U12" s="9"/>
      <c r="V12" s="9"/>
      <c r="W12" s="9"/>
      <c r="X12" s="9"/>
      <c r="Y12" s="9"/>
      <c r="Z12" s="9"/>
    </row>
    <row r="13" spans="2:26" x14ac:dyDescent="0.3">
      <c r="B13" s="121"/>
      <c r="C13" s="121"/>
      <c r="D13" s="121"/>
      <c r="E13" s="121"/>
      <c r="F13" s="121"/>
      <c r="G13" s="121"/>
      <c r="H13" s="121"/>
      <c r="K13" s="18">
        <v>9</v>
      </c>
      <c r="L13" s="18">
        <v>19</v>
      </c>
      <c r="M13" s="18">
        <v>21</v>
      </c>
      <c r="O13" s="18">
        <v>24</v>
      </c>
      <c r="P13" s="40">
        <f t="shared" si="0"/>
        <v>21.333333333333332</v>
      </c>
      <c r="T13" t="s">
        <v>58</v>
      </c>
    </row>
    <row r="14" spans="2:26" ht="15" thickBot="1" x14ac:dyDescent="0.35">
      <c r="B14" s="122"/>
      <c r="C14" s="122"/>
      <c r="D14" s="122"/>
      <c r="E14" s="122"/>
      <c r="F14" s="122"/>
      <c r="G14" s="122"/>
      <c r="H14" s="122"/>
      <c r="K14" s="18">
        <v>10</v>
      </c>
      <c r="L14" s="18">
        <v>19</v>
      </c>
      <c r="M14" s="18">
        <v>22</v>
      </c>
      <c r="O14" s="18">
        <v>21</v>
      </c>
      <c r="P14" s="40">
        <f t="shared" si="0"/>
        <v>20.666666666666668</v>
      </c>
    </row>
    <row r="15" spans="2:26" x14ac:dyDescent="0.3">
      <c r="K15" s="18">
        <v>11</v>
      </c>
      <c r="L15" s="18">
        <v>19</v>
      </c>
      <c r="M15" s="18">
        <v>26</v>
      </c>
      <c r="O15" s="18">
        <v>27</v>
      </c>
      <c r="P15" s="40">
        <f t="shared" si="0"/>
        <v>24</v>
      </c>
    </row>
    <row r="16" spans="2:26" x14ac:dyDescent="0.3">
      <c r="K16" s="18">
        <v>12</v>
      </c>
      <c r="L16" s="18">
        <v>19</v>
      </c>
      <c r="M16" s="18">
        <v>30</v>
      </c>
      <c r="O16" s="18">
        <v>28</v>
      </c>
      <c r="P16" s="40">
        <f t="shared" si="0"/>
        <v>25.666666666666668</v>
      </c>
    </row>
    <row r="17" spans="2:26" x14ac:dyDescent="0.3">
      <c r="K17" s="18">
        <v>13</v>
      </c>
      <c r="L17" s="18">
        <v>21</v>
      </c>
      <c r="M17" s="18">
        <v>23</v>
      </c>
      <c r="O17" s="18">
        <v>18</v>
      </c>
      <c r="P17" s="40">
        <f t="shared" si="0"/>
        <v>20.666666666666668</v>
      </c>
    </row>
    <row r="18" spans="2:26" x14ac:dyDescent="0.3">
      <c r="K18" s="18">
        <v>14</v>
      </c>
      <c r="L18" s="18">
        <v>22</v>
      </c>
      <c r="M18" s="18">
        <v>27</v>
      </c>
      <c r="O18" s="18">
        <v>27</v>
      </c>
      <c r="P18" s="40">
        <f t="shared" si="0"/>
        <v>25.333333333333332</v>
      </c>
    </row>
    <row r="19" spans="2:26" ht="15.6" x14ac:dyDescent="0.3">
      <c r="B19" s="7" t="s">
        <v>38</v>
      </c>
      <c r="C19" s="11"/>
      <c r="D19" s="12"/>
      <c r="E19" s="12"/>
      <c r="G19" s="12"/>
      <c r="H19" s="13"/>
      <c r="K19" s="18">
        <v>15</v>
      </c>
      <c r="L19" s="18">
        <v>25</v>
      </c>
      <c r="M19" s="18">
        <v>23</v>
      </c>
      <c r="O19" s="18">
        <v>23</v>
      </c>
      <c r="P19" s="40">
        <f t="shared" si="0"/>
        <v>23.666666666666668</v>
      </c>
      <c r="T19" s="46" t="s">
        <v>59</v>
      </c>
      <c r="Y19" s="12"/>
      <c r="Z19" s="28"/>
    </row>
    <row r="20" spans="2:26" ht="15" thickBot="1" x14ac:dyDescent="0.35">
      <c r="B20" s="11"/>
      <c r="C20" s="11"/>
      <c r="D20" s="12"/>
      <c r="E20" s="12"/>
      <c r="G20" s="12"/>
      <c r="H20" s="12"/>
      <c r="K20" s="18">
        <v>16</v>
      </c>
      <c r="L20" s="18">
        <v>25</v>
      </c>
      <c r="M20" s="18">
        <v>27</v>
      </c>
      <c r="O20" s="18">
        <v>28</v>
      </c>
      <c r="P20" s="40">
        <f t="shared" si="0"/>
        <v>26.666666666666668</v>
      </c>
    </row>
    <row r="21" spans="2:26" ht="15" thickBot="1" x14ac:dyDescent="0.35">
      <c r="B21" s="118" t="s">
        <v>63</v>
      </c>
      <c r="C21" s="118"/>
      <c r="D21" s="118" t="s">
        <v>25</v>
      </c>
      <c r="E21" s="118"/>
      <c r="F21" s="118"/>
      <c r="G21" s="118"/>
      <c r="H21" s="10" t="s">
        <v>26</v>
      </c>
      <c r="K21" s="18">
        <v>17</v>
      </c>
      <c r="L21" s="18">
        <v>25</v>
      </c>
      <c r="M21" s="18">
        <v>28</v>
      </c>
      <c r="O21" s="18">
        <v>31</v>
      </c>
      <c r="P21" s="40">
        <f t="shared" si="0"/>
        <v>28</v>
      </c>
      <c r="T21" s="54" t="s">
        <v>57</v>
      </c>
      <c r="U21" s="53"/>
      <c r="V21" s="54" t="s">
        <v>63</v>
      </c>
      <c r="W21" s="54">
        <v>1</v>
      </c>
      <c r="X21" s="54">
        <v>2</v>
      </c>
      <c r="Y21" s="54">
        <v>3</v>
      </c>
      <c r="Z21" s="54">
        <v>4</v>
      </c>
    </row>
    <row r="22" spans="2:26" x14ac:dyDescent="0.3">
      <c r="B22" s="127" t="s">
        <v>124</v>
      </c>
      <c r="C22" s="127"/>
      <c r="D22" s="127" t="s">
        <v>125</v>
      </c>
      <c r="E22" s="127"/>
      <c r="F22" s="127"/>
      <c r="G22" s="127"/>
      <c r="H22" s="82">
        <v>1</v>
      </c>
      <c r="K22" s="18">
        <v>18</v>
      </c>
      <c r="L22" s="18">
        <v>26</v>
      </c>
      <c r="M22" s="18">
        <v>24</v>
      </c>
      <c r="O22" s="18">
        <v>18</v>
      </c>
      <c r="P22" s="40">
        <f t="shared" si="0"/>
        <v>22.666666666666668</v>
      </c>
      <c r="T22" s="56" t="str">
        <f>IF($B$22="","",$B$22)</f>
        <v>Pretest</v>
      </c>
      <c r="U22" s="55"/>
      <c r="V22" s="56">
        <v>1</v>
      </c>
      <c r="W22" s="27">
        <v>1</v>
      </c>
      <c r="X22" s="66">
        <f>IFERROR(CORREL(L:L,M:M),"")</f>
        <v>0.49315488008545716</v>
      </c>
      <c r="Y22" s="66" t="str">
        <f>IFERROR(CORREL(L:L,N:N),"")</f>
        <v/>
      </c>
      <c r="Z22" s="66">
        <f>IFERROR(CORREL(L:L,O:O),"")</f>
        <v>0.53617260638639941</v>
      </c>
    </row>
    <row r="23" spans="2:26" x14ac:dyDescent="0.3">
      <c r="B23" s="128" t="s">
        <v>126</v>
      </c>
      <c r="C23" s="128"/>
      <c r="D23" s="128" t="s">
        <v>127</v>
      </c>
      <c r="E23" s="128"/>
      <c r="F23" s="128"/>
      <c r="G23" s="128"/>
      <c r="H23" s="41">
        <v>2</v>
      </c>
      <c r="K23" s="18">
        <v>19</v>
      </c>
      <c r="L23" s="18">
        <v>27</v>
      </c>
      <c r="M23" s="18">
        <v>28</v>
      </c>
      <c r="O23" s="18">
        <v>31</v>
      </c>
      <c r="P23" s="40">
        <f t="shared" si="0"/>
        <v>28.666666666666668</v>
      </c>
      <c r="T23" s="58" t="str">
        <f>IF($B$23="","",$B$23)</f>
        <v>Posttest</v>
      </c>
      <c r="U23" s="57"/>
      <c r="V23" s="58">
        <v>2</v>
      </c>
      <c r="W23" s="29"/>
      <c r="X23" s="29">
        <v>1</v>
      </c>
      <c r="Y23" s="67" t="str">
        <f>IFERROR(CORREL(M:M,N:N),"")</f>
        <v/>
      </c>
      <c r="Z23" s="67">
        <f>IFERROR(CORREL(M:M,O:O),"")</f>
        <v>0.74282018112380377</v>
      </c>
    </row>
    <row r="24" spans="2:26" x14ac:dyDescent="0.3">
      <c r="B24" s="128"/>
      <c r="C24" s="128"/>
      <c r="D24" s="128"/>
      <c r="E24" s="128"/>
      <c r="F24" s="128"/>
      <c r="G24" s="128"/>
      <c r="H24" s="41"/>
      <c r="K24" s="18">
        <v>20</v>
      </c>
      <c r="L24" s="18">
        <v>29</v>
      </c>
      <c r="M24" s="18">
        <v>28</v>
      </c>
      <c r="O24" s="18">
        <v>27</v>
      </c>
      <c r="P24" s="40">
        <f t="shared" si="0"/>
        <v>28</v>
      </c>
      <c r="T24" s="58" t="str">
        <f>IF($B$24="","",$B$24)</f>
        <v/>
      </c>
      <c r="U24" s="57"/>
      <c r="V24" s="58">
        <v>3</v>
      </c>
      <c r="W24" s="29"/>
      <c r="X24" s="29"/>
      <c r="Y24" s="29">
        <v>1</v>
      </c>
      <c r="Z24" s="67" t="str">
        <f>IFERROR(CORREL(N:N,O:O),"")</f>
        <v/>
      </c>
    </row>
    <row r="25" spans="2:26" ht="15" thickBot="1" x14ac:dyDescent="0.35">
      <c r="B25" s="126" t="s">
        <v>128</v>
      </c>
      <c r="C25" s="126"/>
      <c r="D25" s="126" t="s">
        <v>129</v>
      </c>
      <c r="E25" s="126"/>
      <c r="F25" s="126"/>
      <c r="G25" s="126"/>
      <c r="H25" s="83">
        <v>4</v>
      </c>
      <c r="P25" s="40" t="str">
        <f t="shared" ref="P25:P69" si="1">IFERROR(AVERAGE(L25:O25),"")</f>
        <v/>
      </c>
      <c r="T25" s="60" t="str">
        <f>IF($B$25="","",$B$25)</f>
        <v>Followup</v>
      </c>
      <c r="U25" s="59"/>
      <c r="V25" s="60">
        <v>4</v>
      </c>
      <c r="W25" s="30"/>
      <c r="X25" s="30"/>
      <c r="Y25" s="30"/>
      <c r="Z25" s="30">
        <v>1</v>
      </c>
    </row>
    <row r="26" spans="2:26" x14ac:dyDescent="0.3">
      <c r="B26" s="9"/>
      <c r="C26" s="9"/>
      <c r="D26" s="9"/>
      <c r="E26" s="9"/>
      <c r="F26" s="9"/>
      <c r="G26" s="9"/>
      <c r="H26" s="9"/>
      <c r="P26" s="40" t="str">
        <f t="shared" si="1"/>
        <v/>
      </c>
      <c r="T26" s="9"/>
      <c r="U26" s="9"/>
      <c r="V26" s="9"/>
      <c r="W26" s="9"/>
      <c r="X26" s="9"/>
      <c r="Y26" s="9"/>
      <c r="Z26" s="9"/>
    </row>
    <row r="27" spans="2:26" x14ac:dyDescent="0.3">
      <c r="P27" s="40" t="str">
        <f t="shared" si="1"/>
        <v/>
      </c>
      <c r="T27" t="s">
        <v>60</v>
      </c>
    </row>
    <row r="28" spans="2:26" x14ac:dyDescent="0.3">
      <c r="B28" s="34"/>
      <c r="C28" s="34"/>
      <c r="E28" s="6"/>
      <c r="F28"/>
      <c r="P28" s="40" t="str">
        <f t="shared" si="1"/>
        <v/>
      </c>
    </row>
    <row r="29" spans="2:26" ht="15.6" x14ac:dyDescent="0.3">
      <c r="B29" s="34"/>
      <c r="C29" s="34"/>
      <c r="E29" s="34"/>
      <c r="F29" s="34"/>
      <c r="P29" s="40" t="str">
        <f t="shared" si="1"/>
        <v/>
      </c>
      <c r="T29" s="47" t="s">
        <v>51</v>
      </c>
      <c r="U29" s="45"/>
      <c r="V29" s="45"/>
      <c r="W29" s="45"/>
      <c r="X29" s="45"/>
      <c r="Y29" s="45"/>
      <c r="Z29" s="3"/>
    </row>
    <row r="30" spans="2:26" ht="15" thickBot="1" x14ac:dyDescent="0.35">
      <c r="B30" s="34"/>
      <c r="C30" s="34"/>
      <c r="E30" s="34"/>
      <c r="F30" s="34"/>
      <c r="P30" s="40" t="str">
        <f t="shared" si="1"/>
        <v/>
      </c>
      <c r="S30" s="3"/>
      <c r="T30" s="45"/>
      <c r="U30" s="45"/>
      <c r="V30" s="45"/>
      <c r="W30" s="45"/>
      <c r="X30" s="45"/>
      <c r="Y30" s="45"/>
      <c r="Z30" s="3"/>
    </row>
    <row r="31" spans="2:26" ht="15" thickBot="1" x14ac:dyDescent="0.35">
      <c r="B31" s="34"/>
      <c r="C31" s="34"/>
      <c r="E31" s="34"/>
      <c r="F31" s="34"/>
      <c r="P31" s="40" t="str">
        <f t="shared" si="1"/>
        <v/>
      </c>
      <c r="S31" s="3"/>
      <c r="T31" s="64" t="s">
        <v>52</v>
      </c>
      <c r="U31" s="64" t="s">
        <v>53</v>
      </c>
      <c r="V31" s="64" t="s">
        <v>2</v>
      </c>
      <c r="W31" s="64" t="s">
        <v>54</v>
      </c>
      <c r="X31" s="64" t="s">
        <v>47</v>
      </c>
      <c r="Y31" s="65" t="s">
        <v>49</v>
      </c>
      <c r="Z31" s="64" t="s">
        <v>55</v>
      </c>
    </row>
    <row r="32" spans="2:26" x14ac:dyDescent="0.3">
      <c r="B32" s="34"/>
      <c r="C32" s="34"/>
      <c r="E32" s="34"/>
      <c r="F32" s="34"/>
      <c r="M32" s="17"/>
      <c r="N32" s="17"/>
      <c r="O32" s="17"/>
      <c r="P32" s="40" t="str">
        <f t="shared" si="1"/>
        <v/>
      </c>
      <c r="S32" s="3"/>
      <c r="T32" s="19" t="s">
        <v>67</v>
      </c>
      <c r="U32" s="68">
        <f>IFERROR(DEVSQ(Data!P:P)*(V33+1),"")</f>
        <v>1066.7333333333336</v>
      </c>
      <c r="V32" s="69">
        <f>IFERROR(Data!V7-1,"")</f>
        <v>19</v>
      </c>
      <c r="W32" s="68">
        <f>IFERROR(U32/V32,"")</f>
        <v>56.143859649122817</v>
      </c>
      <c r="X32" s="70"/>
      <c r="Y32" s="70"/>
      <c r="Z32" s="69"/>
    </row>
    <row r="33" spans="2:26" x14ac:dyDescent="0.3">
      <c r="B33" s="34"/>
      <c r="C33" s="34"/>
      <c r="E33" s="34"/>
      <c r="F33" s="34"/>
      <c r="P33" s="40" t="str">
        <f t="shared" si="1"/>
        <v/>
      </c>
      <c r="S33" s="3"/>
      <c r="T33" s="92" t="s">
        <v>66</v>
      </c>
      <c r="U33" s="71">
        <f>IFERROR(DEVSQ(Data!W7:W10)*(V32+1),"")</f>
        <v>235.59999999999997</v>
      </c>
      <c r="V33" s="72">
        <f>IFERROR(COUNT(Data!W7:W10)-1,"")</f>
        <v>2</v>
      </c>
      <c r="W33" s="71">
        <f>IFERROR(U33/V33,"")</f>
        <v>117.79999999999998</v>
      </c>
      <c r="X33" s="71">
        <f>IFERROR(W33/W34,"")</f>
        <v>10.384472626043889</v>
      </c>
      <c r="Y33" s="71" t="str">
        <f>IFERROR(IF(FDIST(X33,V33,V34)&lt;0.001,"&lt; 0.001",FDIST(X33,V33,V34)),"")</f>
        <v>&lt; 0.001</v>
      </c>
      <c r="Z33" s="22">
        <f>IFERROR(U33/(U33+U34),"")</f>
        <v>0.35339999999999933</v>
      </c>
    </row>
    <row r="34" spans="2:26" x14ac:dyDescent="0.3">
      <c r="B34" s="34"/>
      <c r="C34" s="34"/>
      <c r="E34" s="34"/>
      <c r="F34" s="34"/>
      <c r="P34" s="40" t="str">
        <f t="shared" si="1"/>
        <v/>
      </c>
      <c r="S34" s="3"/>
      <c r="T34" s="92" t="s">
        <v>68</v>
      </c>
      <c r="U34" s="73">
        <f>IFERROR(U35-U33-U32,"")</f>
        <v>431.06666666666797</v>
      </c>
      <c r="V34" s="74">
        <f>IFERROR(V35-V33-V32,"")</f>
        <v>38</v>
      </c>
      <c r="W34" s="73">
        <f>IFERROR(U34/V34,"")</f>
        <v>11.343859649122841</v>
      </c>
      <c r="X34" s="71"/>
      <c r="Y34" s="75"/>
      <c r="Z34" s="21"/>
    </row>
    <row r="35" spans="2:26" ht="15" thickBot="1" x14ac:dyDescent="0.35">
      <c r="B35" s="34"/>
      <c r="C35" s="34"/>
      <c r="E35" s="34"/>
      <c r="F35" s="34"/>
      <c r="P35" s="40" t="str">
        <f t="shared" si="1"/>
        <v/>
      </c>
      <c r="S35" s="3"/>
      <c r="T35" s="93" t="s">
        <v>46</v>
      </c>
      <c r="U35" s="76">
        <f>IFERROR(Data!X11^2*V35,"")</f>
        <v>1733.4000000000015</v>
      </c>
      <c r="V35" s="77">
        <f>IFERROR(Data!V11-1,"")</f>
        <v>59</v>
      </c>
      <c r="W35" s="76">
        <f>IFERROR(U35/V35,"")</f>
        <v>29.379661016949179</v>
      </c>
      <c r="X35" s="76"/>
      <c r="Y35" s="76"/>
      <c r="Z35" s="23"/>
    </row>
    <row r="36" spans="2:26" x14ac:dyDescent="0.3">
      <c r="B36" s="34"/>
      <c r="C36" s="34"/>
      <c r="E36" s="34"/>
      <c r="F36" s="34"/>
      <c r="P36" s="40" t="str">
        <f t="shared" si="1"/>
        <v/>
      </c>
      <c r="S36" s="3"/>
      <c r="T36" s="2"/>
      <c r="U36" s="2"/>
      <c r="V36" s="2"/>
      <c r="W36" s="2"/>
      <c r="X36" s="2"/>
      <c r="Y36" s="2"/>
      <c r="Z36" s="2"/>
    </row>
    <row r="37" spans="2:26" x14ac:dyDescent="0.3">
      <c r="B37" s="34"/>
      <c r="C37" s="34"/>
      <c r="E37" s="34"/>
      <c r="F37" s="34"/>
      <c r="P37" s="40" t="str">
        <f t="shared" si="1"/>
        <v/>
      </c>
    </row>
    <row r="38" spans="2:26" x14ac:dyDescent="0.3">
      <c r="B38" s="34"/>
      <c r="C38" s="34"/>
      <c r="P38" s="40" t="str">
        <f t="shared" si="1"/>
        <v/>
      </c>
    </row>
    <row r="39" spans="2:26" x14ac:dyDescent="0.3">
      <c r="B39" s="34"/>
      <c r="C39" s="34"/>
      <c r="P39" s="40" t="str">
        <f t="shared" si="1"/>
        <v/>
      </c>
    </row>
    <row r="40" spans="2:26" x14ac:dyDescent="0.3">
      <c r="B40" s="34"/>
      <c r="C40" s="34"/>
      <c r="P40" s="40" t="str">
        <f t="shared" si="1"/>
        <v/>
      </c>
    </row>
    <row r="41" spans="2:26" x14ac:dyDescent="0.3">
      <c r="B41" s="34"/>
      <c r="C41" s="34"/>
      <c r="P41" s="40" t="str">
        <f t="shared" si="1"/>
        <v/>
      </c>
    </row>
    <row r="42" spans="2:26" x14ac:dyDescent="0.3">
      <c r="B42" s="34"/>
      <c r="C42" s="34"/>
      <c r="P42" s="40" t="str">
        <f t="shared" si="1"/>
        <v/>
      </c>
    </row>
    <row r="43" spans="2:26" x14ac:dyDescent="0.3">
      <c r="B43" s="34"/>
      <c r="C43" s="34"/>
      <c r="P43" s="40" t="str">
        <f t="shared" si="1"/>
        <v/>
      </c>
    </row>
    <row r="44" spans="2:26" x14ac:dyDescent="0.3">
      <c r="P44" s="40" t="str">
        <f t="shared" si="1"/>
        <v/>
      </c>
    </row>
    <row r="45" spans="2:26" x14ac:dyDescent="0.3">
      <c r="P45" s="40" t="str">
        <f t="shared" si="1"/>
        <v/>
      </c>
    </row>
    <row r="46" spans="2:26" x14ac:dyDescent="0.3">
      <c r="P46" s="40" t="str">
        <f t="shared" si="1"/>
        <v/>
      </c>
    </row>
    <row r="47" spans="2:26" x14ac:dyDescent="0.3">
      <c r="P47" s="40" t="str">
        <f t="shared" si="1"/>
        <v/>
      </c>
    </row>
    <row r="48" spans="2:26" x14ac:dyDescent="0.3">
      <c r="P48" s="40" t="str">
        <f t="shared" si="1"/>
        <v/>
      </c>
    </row>
    <row r="49" spans="16:16" x14ac:dyDescent="0.3">
      <c r="P49" s="40" t="str">
        <f t="shared" si="1"/>
        <v/>
      </c>
    </row>
    <row r="50" spans="16:16" x14ac:dyDescent="0.3">
      <c r="P50" s="40" t="str">
        <f t="shared" si="1"/>
        <v/>
      </c>
    </row>
    <row r="51" spans="16:16" x14ac:dyDescent="0.3">
      <c r="P51" s="40" t="str">
        <f t="shared" si="1"/>
        <v/>
      </c>
    </row>
    <row r="52" spans="16:16" x14ac:dyDescent="0.3">
      <c r="P52" s="40" t="str">
        <f t="shared" si="1"/>
        <v/>
      </c>
    </row>
    <row r="53" spans="16:16" x14ac:dyDescent="0.3">
      <c r="P53" s="40" t="str">
        <f t="shared" si="1"/>
        <v/>
      </c>
    </row>
    <row r="54" spans="16:16" x14ac:dyDescent="0.3">
      <c r="P54" s="40" t="str">
        <f t="shared" si="1"/>
        <v/>
      </c>
    </row>
    <row r="55" spans="16:16" x14ac:dyDescent="0.3">
      <c r="P55" s="40" t="str">
        <f t="shared" si="1"/>
        <v/>
      </c>
    </row>
    <row r="56" spans="16:16" x14ac:dyDescent="0.3">
      <c r="P56" s="40" t="str">
        <f t="shared" si="1"/>
        <v/>
      </c>
    </row>
    <row r="57" spans="16:16" x14ac:dyDescent="0.3">
      <c r="P57" s="40" t="str">
        <f t="shared" si="1"/>
        <v/>
      </c>
    </row>
    <row r="58" spans="16:16" x14ac:dyDescent="0.3">
      <c r="P58" s="40" t="str">
        <f t="shared" si="1"/>
        <v/>
      </c>
    </row>
    <row r="59" spans="16:16" x14ac:dyDescent="0.3">
      <c r="P59" s="40" t="str">
        <f t="shared" si="1"/>
        <v/>
      </c>
    </row>
    <row r="60" spans="16:16" x14ac:dyDescent="0.3">
      <c r="P60" s="40" t="str">
        <f t="shared" si="1"/>
        <v/>
      </c>
    </row>
    <row r="61" spans="16:16" x14ac:dyDescent="0.3">
      <c r="P61" s="40" t="str">
        <f t="shared" si="1"/>
        <v/>
      </c>
    </row>
    <row r="62" spans="16:16" x14ac:dyDescent="0.3">
      <c r="P62" s="40" t="str">
        <f t="shared" si="1"/>
        <v/>
      </c>
    </row>
    <row r="63" spans="16:16" x14ac:dyDescent="0.3">
      <c r="P63" s="40" t="str">
        <f t="shared" si="1"/>
        <v/>
      </c>
    </row>
    <row r="64" spans="16:16" x14ac:dyDescent="0.3">
      <c r="P64" s="40" t="str">
        <f t="shared" si="1"/>
        <v/>
      </c>
    </row>
    <row r="65" spans="16:16" x14ac:dyDescent="0.3">
      <c r="P65" s="40" t="str">
        <f t="shared" si="1"/>
        <v/>
      </c>
    </row>
    <row r="66" spans="16:16" x14ac:dyDescent="0.3">
      <c r="P66" s="40" t="str">
        <f t="shared" si="1"/>
        <v/>
      </c>
    </row>
    <row r="67" spans="16:16" x14ac:dyDescent="0.3">
      <c r="P67" s="40" t="str">
        <f t="shared" si="1"/>
        <v/>
      </c>
    </row>
    <row r="68" spans="16:16" x14ac:dyDescent="0.3">
      <c r="P68" s="40" t="str">
        <f t="shared" si="1"/>
        <v/>
      </c>
    </row>
    <row r="69" spans="16:16" x14ac:dyDescent="0.3">
      <c r="P69" s="40" t="str">
        <f t="shared" si="1"/>
        <v/>
      </c>
    </row>
    <row r="70" spans="16:16" x14ac:dyDescent="0.3">
      <c r="P70" s="40" t="str">
        <f t="shared" ref="P70:P133" si="2">IFERROR(AVERAGE(L70:O70),"")</f>
        <v/>
      </c>
    </row>
    <row r="71" spans="16:16" x14ac:dyDescent="0.3">
      <c r="P71" s="40" t="str">
        <f t="shared" si="2"/>
        <v/>
      </c>
    </row>
    <row r="72" spans="16:16" x14ac:dyDescent="0.3">
      <c r="P72" s="40" t="str">
        <f t="shared" si="2"/>
        <v/>
      </c>
    </row>
    <row r="73" spans="16:16" x14ac:dyDescent="0.3">
      <c r="P73" s="40" t="str">
        <f t="shared" si="2"/>
        <v/>
      </c>
    </row>
    <row r="74" spans="16:16" x14ac:dyDescent="0.3">
      <c r="P74" s="40" t="str">
        <f t="shared" si="2"/>
        <v/>
      </c>
    </row>
    <row r="75" spans="16:16" x14ac:dyDescent="0.3">
      <c r="P75" s="40" t="str">
        <f t="shared" si="2"/>
        <v/>
      </c>
    </row>
    <row r="76" spans="16:16" x14ac:dyDescent="0.3">
      <c r="P76" s="40" t="str">
        <f t="shared" si="2"/>
        <v/>
      </c>
    </row>
    <row r="77" spans="16:16" x14ac:dyDescent="0.3">
      <c r="P77" s="40" t="str">
        <f t="shared" si="2"/>
        <v/>
      </c>
    </row>
    <row r="78" spans="16:16" x14ac:dyDescent="0.3">
      <c r="P78" s="40" t="str">
        <f t="shared" si="2"/>
        <v/>
      </c>
    </row>
    <row r="79" spans="16:16" x14ac:dyDescent="0.3">
      <c r="P79" s="40" t="str">
        <f t="shared" si="2"/>
        <v/>
      </c>
    </row>
    <row r="80" spans="16:16" x14ac:dyDescent="0.3">
      <c r="P80" s="40" t="str">
        <f t="shared" si="2"/>
        <v/>
      </c>
    </row>
    <row r="81" spans="16:16" x14ac:dyDescent="0.3">
      <c r="P81" s="40" t="str">
        <f t="shared" si="2"/>
        <v/>
      </c>
    </row>
    <row r="82" spans="16:16" x14ac:dyDescent="0.3">
      <c r="P82" s="40" t="str">
        <f t="shared" si="2"/>
        <v/>
      </c>
    </row>
    <row r="83" spans="16:16" x14ac:dyDescent="0.3">
      <c r="P83" s="40" t="str">
        <f t="shared" si="2"/>
        <v/>
      </c>
    </row>
    <row r="84" spans="16:16" x14ac:dyDescent="0.3">
      <c r="P84" s="40" t="str">
        <f t="shared" si="2"/>
        <v/>
      </c>
    </row>
    <row r="85" spans="16:16" x14ac:dyDescent="0.3">
      <c r="P85" s="40" t="str">
        <f t="shared" si="2"/>
        <v/>
      </c>
    </row>
    <row r="86" spans="16:16" x14ac:dyDescent="0.3">
      <c r="P86" s="40" t="str">
        <f t="shared" si="2"/>
        <v/>
      </c>
    </row>
    <row r="87" spans="16:16" x14ac:dyDescent="0.3">
      <c r="P87" s="40" t="str">
        <f t="shared" si="2"/>
        <v/>
      </c>
    </row>
    <row r="88" spans="16:16" x14ac:dyDescent="0.3">
      <c r="P88" s="40" t="str">
        <f t="shared" si="2"/>
        <v/>
      </c>
    </row>
    <row r="89" spans="16:16" x14ac:dyDescent="0.3">
      <c r="P89" s="40" t="str">
        <f t="shared" si="2"/>
        <v/>
      </c>
    </row>
    <row r="90" spans="16:16" x14ac:dyDescent="0.3">
      <c r="P90" s="40" t="str">
        <f t="shared" si="2"/>
        <v/>
      </c>
    </row>
    <row r="91" spans="16:16" x14ac:dyDescent="0.3">
      <c r="P91" s="40" t="str">
        <f t="shared" si="2"/>
        <v/>
      </c>
    </row>
    <row r="92" spans="16:16" x14ac:dyDescent="0.3">
      <c r="P92" s="40" t="str">
        <f t="shared" si="2"/>
        <v/>
      </c>
    </row>
    <row r="93" spans="16:16" x14ac:dyDescent="0.3">
      <c r="P93" s="40" t="str">
        <f t="shared" si="2"/>
        <v/>
      </c>
    </row>
    <row r="94" spans="16:16" x14ac:dyDescent="0.3">
      <c r="P94" s="40" t="str">
        <f t="shared" si="2"/>
        <v/>
      </c>
    </row>
    <row r="95" spans="16:16" x14ac:dyDescent="0.3">
      <c r="P95" s="40" t="str">
        <f t="shared" si="2"/>
        <v/>
      </c>
    </row>
    <row r="96" spans="16:16" x14ac:dyDescent="0.3">
      <c r="P96" s="40" t="str">
        <f t="shared" si="2"/>
        <v/>
      </c>
    </row>
    <row r="97" spans="16:16" x14ac:dyDescent="0.3">
      <c r="P97" s="40" t="str">
        <f t="shared" si="2"/>
        <v/>
      </c>
    </row>
    <row r="98" spans="16:16" x14ac:dyDescent="0.3">
      <c r="P98" s="40" t="str">
        <f t="shared" si="2"/>
        <v/>
      </c>
    </row>
    <row r="99" spans="16:16" x14ac:dyDescent="0.3">
      <c r="P99" s="40" t="str">
        <f t="shared" si="2"/>
        <v/>
      </c>
    </row>
    <row r="100" spans="16:16" x14ac:dyDescent="0.3">
      <c r="P100" s="40" t="str">
        <f t="shared" si="2"/>
        <v/>
      </c>
    </row>
    <row r="101" spans="16:16" x14ac:dyDescent="0.3">
      <c r="P101" s="40" t="str">
        <f t="shared" si="2"/>
        <v/>
      </c>
    </row>
    <row r="102" spans="16:16" x14ac:dyDescent="0.3">
      <c r="P102" s="40" t="str">
        <f t="shared" si="2"/>
        <v/>
      </c>
    </row>
    <row r="103" spans="16:16" x14ac:dyDescent="0.3">
      <c r="P103" s="40" t="str">
        <f t="shared" si="2"/>
        <v/>
      </c>
    </row>
    <row r="104" spans="16:16" x14ac:dyDescent="0.3">
      <c r="P104" s="40" t="str">
        <f t="shared" si="2"/>
        <v/>
      </c>
    </row>
    <row r="105" spans="16:16" x14ac:dyDescent="0.3">
      <c r="P105" s="40" t="str">
        <f t="shared" si="2"/>
        <v/>
      </c>
    </row>
    <row r="106" spans="16:16" x14ac:dyDescent="0.3">
      <c r="P106" s="40" t="str">
        <f t="shared" si="2"/>
        <v/>
      </c>
    </row>
    <row r="107" spans="16:16" x14ac:dyDescent="0.3">
      <c r="P107" s="40" t="str">
        <f t="shared" si="2"/>
        <v/>
      </c>
    </row>
    <row r="108" spans="16:16" x14ac:dyDescent="0.3">
      <c r="P108" s="40" t="str">
        <f t="shared" si="2"/>
        <v/>
      </c>
    </row>
    <row r="109" spans="16:16" x14ac:dyDescent="0.3">
      <c r="P109" s="40" t="str">
        <f t="shared" si="2"/>
        <v/>
      </c>
    </row>
    <row r="110" spans="16:16" x14ac:dyDescent="0.3">
      <c r="P110" s="40" t="str">
        <f t="shared" si="2"/>
        <v/>
      </c>
    </row>
    <row r="111" spans="16:16" x14ac:dyDescent="0.3">
      <c r="P111" s="40" t="str">
        <f t="shared" si="2"/>
        <v/>
      </c>
    </row>
    <row r="112" spans="16:16" x14ac:dyDescent="0.3">
      <c r="P112" s="40" t="str">
        <f t="shared" si="2"/>
        <v/>
      </c>
    </row>
    <row r="113" spans="16:16" x14ac:dyDescent="0.3">
      <c r="P113" s="40" t="str">
        <f t="shared" si="2"/>
        <v/>
      </c>
    </row>
    <row r="114" spans="16:16" x14ac:dyDescent="0.3">
      <c r="P114" s="40" t="str">
        <f t="shared" si="2"/>
        <v/>
      </c>
    </row>
    <row r="115" spans="16:16" x14ac:dyDescent="0.3">
      <c r="P115" s="40" t="str">
        <f t="shared" si="2"/>
        <v/>
      </c>
    </row>
    <row r="116" spans="16:16" x14ac:dyDescent="0.3">
      <c r="P116" s="40" t="str">
        <f t="shared" si="2"/>
        <v/>
      </c>
    </row>
    <row r="117" spans="16:16" x14ac:dyDescent="0.3">
      <c r="P117" s="40" t="str">
        <f t="shared" si="2"/>
        <v/>
      </c>
    </row>
    <row r="118" spans="16:16" x14ac:dyDescent="0.3">
      <c r="P118" s="40" t="str">
        <f t="shared" si="2"/>
        <v/>
      </c>
    </row>
    <row r="119" spans="16:16" x14ac:dyDescent="0.3">
      <c r="P119" s="40" t="str">
        <f t="shared" si="2"/>
        <v/>
      </c>
    </row>
    <row r="120" spans="16:16" x14ac:dyDescent="0.3">
      <c r="P120" s="40" t="str">
        <f t="shared" si="2"/>
        <v/>
      </c>
    </row>
    <row r="121" spans="16:16" x14ac:dyDescent="0.3">
      <c r="P121" s="40" t="str">
        <f t="shared" si="2"/>
        <v/>
      </c>
    </row>
    <row r="122" spans="16:16" x14ac:dyDescent="0.3">
      <c r="P122" s="40" t="str">
        <f t="shared" si="2"/>
        <v/>
      </c>
    </row>
    <row r="123" spans="16:16" x14ac:dyDescent="0.3">
      <c r="P123" s="40" t="str">
        <f t="shared" si="2"/>
        <v/>
      </c>
    </row>
    <row r="124" spans="16:16" x14ac:dyDescent="0.3">
      <c r="P124" s="40" t="str">
        <f t="shared" si="2"/>
        <v/>
      </c>
    </row>
    <row r="125" spans="16:16" x14ac:dyDescent="0.3">
      <c r="P125" s="40" t="str">
        <f t="shared" si="2"/>
        <v/>
      </c>
    </row>
    <row r="126" spans="16:16" x14ac:dyDescent="0.3">
      <c r="P126" s="40" t="str">
        <f t="shared" si="2"/>
        <v/>
      </c>
    </row>
    <row r="127" spans="16:16" x14ac:dyDescent="0.3">
      <c r="P127" s="40" t="str">
        <f t="shared" si="2"/>
        <v/>
      </c>
    </row>
    <row r="128" spans="16:16" x14ac:dyDescent="0.3">
      <c r="P128" s="40" t="str">
        <f t="shared" si="2"/>
        <v/>
      </c>
    </row>
    <row r="129" spans="16:16" x14ac:dyDescent="0.3">
      <c r="P129" s="40" t="str">
        <f t="shared" si="2"/>
        <v/>
      </c>
    </row>
    <row r="130" spans="16:16" x14ac:dyDescent="0.3">
      <c r="P130" s="40" t="str">
        <f t="shared" si="2"/>
        <v/>
      </c>
    </row>
    <row r="131" spans="16:16" x14ac:dyDescent="0.3">
      <c r="P131" s="40" t="str">
        <f t="shared" si="2"/>
        <v/>
      </c>
    </row>
    <row r="132" spans="16:16" x14ac:dyDescent="0.3">
      <c r="P132" s="40" t="str">
        <f t="shared" si="2"/>
        <v/>
      </c>
    </row>
    <row r="133" spans="16:16" x14ac:dyDescent="0.3">
      <c r="P133" s="40" t="str">
        <f t="shared" si="2"/>
        <v/>
      </c>
    </row>
    <row r="134" spans="16:16" x14ac:dyDescent="0.3">
      <c r="P134" s="40" t="str">
        <f t="shared" ref="P134:P197" si="3">IFERROR(AVERAGE(L134:O134),"")</f>
        <v/>
      </c>
    </row>
    <row r="135" spans="16:16" x14ac:dyDescent="0.3">
      <c r="P135" s="40" t="str">
        <f t="shared" si="3"/>
        <v/>
      </c>
    </row>
    <row r="136" spans="16:16" x14ac:dyDescent="0.3">
      <c r="P136" s="40" t="str">
        <f t="shared" si="3"/>
        <v/>
      </c>
    </row>
    <row r="137" spans="16:16" x14ac:dyDescent="0.3">
      <c r="P137" s="40" t="str">
        <f t="shared" si="3"/>
        <v/>
      </c>
    </row>
    <row r="138" spans="16:16" x14ac:dyDescent="0.3">
      <c r="P138" s="40" t="str">
        <f t="shared" si="3"/>
        <v/>
      </c>
    </row>
    <row r="139" spans="16:16" x14ac:dyDescent="0.3">
      <c r="P139" s="40" t="str">
        <f t="shared" si="3"/>
        <v/>
      </c>
    </row>
    <row r="140" spans="16:16" x14ac:dyDescent="0.3">
      <c r="P140" s="40" t="str">
        <f t="shared" si="3"/>
        <v/>
      </c>
    </row>
    <row r="141" spans="16:16" x14ac:dyDescent="0.3">
      <c r="P141" s="40" t="str">
        <f t="shared" si="3"/>
        <v/>
      </c>
    </row>
    <row r="142" spans="16:16" x14ac:dyDescent="0.3">
      <c r="P142" s="40" t="str">
        <f t="shared" si="3"/>
        <v/>
      </c>
    </row>
    <row r="143" spans="16:16" x14ac:dyDescent="0.3">
      <c r="P143" s="40" t="str">
        <f t="shared" si="3"/>
        <v/>
      </c>
    </row>
    <row r="144" spans="16:16" x14ac:dyDescent="0.3">
      <c r="P144" s="40" t="str">
        <f t="shared" si="3"/>
        <v/>
      </c>
    </row>
    <row r="145" spans="16:16" x14ac:dyDescent="0.3">
      <c r="P145" s="40" t="str">
        <f t="shared" si="3"/>
        <v/>
      </c>
    </row>
    <row r="146" spans="16:16" x14ac:dyDescent="0.3">
      <c r="P146" s="40" t="str">
        <f t="shared" si="3"/>
        <v/>
      </c>
    </row>
    <row r="147" spans="16:16" x14ac:dyDescent="0.3">
      <c r="P147" s="40" t="str">
        <f t="shared" si="3"/>
        <v/>
      </c>
    </row>
    <row r="148" spans="16:16" x14ac:dyDescent="0.3">
      <c r="P148" s="40" t="str">
        <f t="shared" si="3"/>
        <v/>
      </c>
    </row>
    <row r="149" spans="16:16" x14ac:dyDescent="0.3">
      <c r="P149" s="40" t="str">
        <f t="shared" si="3"/>
        <v/>
      </c>
    </row>
    <row r="150" spans="16:16" x14ac:dyDescent="0.3">
      <c r="P150" s="40" t="str">
        <f t="shared" si="3"/>
        <v/>
      </c>
    </row>
    <row r="151" spans="16:16" x14ac:dyDescent="0.3">
      <c r="P151" s="40" t="str">
        <f t="shared" si="3"/>
        <v/>
      </c>
    </row>
    <row r="152" spans="16:16" x14ac:dyDescent="0.3">
      <c r="P152" s="40" t="str">
        <f t="shared" si="3"/>
        <v/>
      </c>
    </row>
    <row r="153" spans="16:16" x14ac:dyDescent="0.3">
      <c r="P153" s="40" t="str">
        <f t="shared" si="3"/>
        <v/>
      </c>
    </row>
    <row r="154" spans="16:16" x14ac:dyDescent="0.3">
      <c r="P154" s="40" t="str">
        <f t="shared" si="3"/>
        <v/>
      </c>
    </row>
    <row r="155" spans="16:16" x14ac:dyDescent="0.3">
      <c r="P155" s="40" t="str">
        <f t="shared" si="3"/>
        <v/>
      </c>
    </row>
    <row r="156" spans="16:16" x14ac:dyDescent="0.3">
      <c r="P156" s="40" t="str">
        <f t="shared" si="3"/>
        <v/>
      </c>
    </row>
    <row r="157" spans="16:16" x14ac:dyDescent="0.3">
      <c r="P157" s="40" t="str">
        <f t="shared" si="3"/>
        <v/>
      </c>
    </row>
    <row r="158" spans="16:16" x14ac:dyDescent="0.3">
      <c r="P158" s="40" t="str">
        <f t="shared" si="3"/>
        <v/>
      </c>
    </row>
    <row r="159" spans="16:16" x14ac:dyDescent="0.3">
      <c r="P159" s="40" t="str">
        <f t="shared" si="3"/>
        <v/>
      </c>
    </row>
    <row r="160" spans="16:16" x14ac:dyDescent="0.3">
      <c r="P160" s="40" t="str">
        <f t="shared" si="3"/>
        <v/>
      </c>
    </row>
    <row r="161" spans="16:16" x14ac:dyDescent="0.3">
      <c r="P161" s="40" t="str">
        <f t="shared" si="3"/>
        <v/>
      </c>
    </row>
    <row r="162" spans="16:16" x14ac:dyDescent="0.3">
      <c r="P162" s="40" t="str">
        <f t="shared" si="3"/>
        <v/>
      </c>
    </row>
    <row r="163" spans="16:16" x14ac:dyDescent="0.3">
      <c r="P163" s="40" t="str">
        <f t="shared" si="3"/>
        <v/>
      </c>
    </row>
    <row r="164" spans="16:16" x14ac:dyDescent="0.3">
      <c r="P164" s="40" t="str">
        <f t="shared" si="3"/>
        <v/>
      </c>
    </row>
    <row r="165" spans="16:16" x14ac:dyDescent="0.3">
      <c r="P165" s="40" t="str">
        <f t="shared" si="3"/>
        <v/>
      </c>
    </row>
    <row r="166" spans="16:16" x14ac:dyDescent="0.3">
      <c r="P166" s="40" t="str">
        <f t="shared" si="3"/>
        <v/>
      </c>
    </row>
    <row r="167" spans="16:16" x14ac:dyDescent="0.3">
      <c r="P167" s="40" t="str">
        <f t="shared" si="3"/>
        <v/>
      </c>
    </row>
    <row r="168" spans="16:16" x14ac:dyDescent="0.3">
      <c r="P168" s="40" t="str">
        <f t="shared" si="3"/>
        <v/>
      </c>
    </row>
    <row r="169" spans="16:16" x14ac:dyDescent="0.3">
      <c r="P169" s="40" t="str">
        <f t="shared" si="3"/>
        <v/>
      </c>
    </row>
    <row r="170" spans="16:16" x14ac:dyDescent="0.3">
      <c r="P170" s="40" t="str">
        <f t="shared" si="3"/>
        <v/>
      </c>
    </row>
    <row r="171" spans="16:16" x14ac:dyDescent="0.3">
      <c r="P171" s="40" t="str">
        <f t="shared" si="3"/>
        <v/>
      </c>
    </row>
    <row r="172" spans="16:16" x14ac:dyDescent="0.3">
      <c r="P172" s="40" t="str">
        <f t="shared" si="3"/>
        <v/>
      </c>
    </row>
    <row r="173" spans="16:16" x14ac:dyDescent="0.3">
      <c r="P173" s="40" t="str">
        <f t="shared" si="3"/>
        <v/>
      </c>
    </row>
    <row r="174" spans="16:16" x14ac:dyDescent="0.3">
      <c r="P174" s="40" t="str">
        <f t="shared" si="3"/>
        <v/>
      </c>
    </row>
    <row r="175" spans="16:16" x14ac:dyDescent="0.3">
      <c r="P175" s="40" t="str">
        <f t="shared" si="3"/>
        <v/>
      </c>
    </row>
    <row r="176" spans="16:16" x14ac:dyDescent="0.3">
      <c r="P176" s="40" t="str">
        <f t="shared" si="3"/>
        <v/>
      </c>
    </row>
    <row r="177" spans="16:16" x14ac:dyDescent="0.3">
      <c r="P177" s="40" t="str">
        <f t="shared" si="3"/>
        <v/>
      </c>
    </row>
    <row r="178" spans="16:16" x14ac:dyDescent="0.3">
      <c r="P178" s="40" t="str">
        <f t="shared" si="3"/>
        <v/>
      </c>
    </row>
    <row r="179" spans="16:16" x14ac:dyDescent="0.3">
      <c r="P179" s="40" t="str">
        <f t="shared" si="3"/>
        <v/>
      </c>
    </row>
    <row r="180" spans="16:16" x14ac:dyDescent="0.3">
      <c r="P180" s="40" t="str">
        <f t="shared" si="3"/>
        <v/>
      </c>
    </row>
    <row r="181" spans="16:16" x14ac:dyDescent="0.3">
      <c r="P181" s="40" t="str">
        <f t="shared" si="3"/>
        <v/>
      </c>
    </row>
    <row r="182" spans="16:16" x14ac:dyDescent="0.3">
      <c r="P182" s="40" t="str">
        <f t="shared" si="3"/>
        <v/>
      </c>
    </row>
    <row r="183" spans="16:16" x14ac:dyDescent="0.3">
      <c r="P183" s="40" t="str">
        <f t="shared" si="3"/>
        <v/>
      </c>
    </row>
    <row r="184" spans="16:16" x14ac:dyDescent="0.3">
      <c r="P184" s="40" t="str">
        <f t="shared" si="3"/>
        <v/>
      </c>
    </row>
    <row r="185" spans="16:16" x14ac:dyDescent="0.3">
      <c r="P185" s="40" t="str">
        <f t="shared" si="3"/>
        <v/>
      </c>
    </row>
    <row r="186" spans="16:16" x14ac:dyDescent="0.3">
      <c r="P186" s="40" t="str">
        <f t="shared" si="3"/>
        <v/>
      </c>
    </row>
    <row r="187" spans="16:16" x14ac:dyDescent="0.3">
      <c r="P187" s="40" t="str">
        <f t="shared" si="3"/>
        <v/>
      </c>
    </row>
    <row r="188" spans="16:16" x14ac:dyDescent="0.3">
      <c r="P188" s="40" t="str">
        <f t="shared" si="3"/>
        <v/>
      </c>
    </row>
    <row r="189" spans="16:16" x14ac:dyDescent="0.3">
      <c r="P189" s="40" t="str">
        <f t="shared" si="3"/>
        <v/>
      </c>
    </row>
    <row r="190" spans="16:16" x14ac:dyDescent="0.3">
      <c r="P190" s="40" t="str">
        <f t="shared" si="3"/>
        <v/>
      </c>
    </row>
    <row r="191" spans="16:16" x14ac:dyDescent="0.3">
      <c r="P191" s="40" t="str">
        <f t="shared" si="3"/>
        <v/>
      </c>
    </row>
    <row r="192" spans="16:16" x14ac:dyDescent="0.3">
      <c r="P192" s="40" t="str">
        <f t="shared" si="3"/>
        <v/>
      </c>
    </row>
    <row r="193" spans="16:16" x14ac:dyDescent="0.3">
      <c r="P193" s="40" t="str">
        <f t="shared" si="3"/>
        <v/>
      </c>
    </row>
    <row r="194" spans="16:16" x14ac:dyDescent="0.3">
      <c r="P194" s="40" t="str">
        <f t="shared" si="3"/>
        <v/>
      </c>
    </row>
    <row r="195" spans="16:16" x14ac:dyDescent="0.3">
      <c r="P195" s="40" t="str">
        <f t="shared" si="3"/>
        <v/>
      </c>
    </row>
    <row r="196" spans="16:16" x14ac:dyDescent="0.3">
      <c r="P196" s="40" t="str">
        <f t="shared" si="3"/>
        <v/>
      </c>
    </row>
    <row r="197" spans="16:16" x14ac:dyDescent="0.3">
      <c r="P197" s="40" t="str">
        <f t="shared" si="3"/>
        <v/>
      </c>
    </row>
    <row r="198" spans="16:16" x14ac:dyDescent="0.3">
      <c r="P198" s="40" t="str">
        <f t="shared" ref="P198:P206" si="4">IFERROR(AVERAGE(L198:O198),"")</f>
        <v/>
      </c>
    </row>
    <row r="199" spans="16:16" x14ac:dyDescent="0.3">
      <c r="P199" s="40" t="str">
        <f t="shared" si="4"/>
        <v/>
      </c>
    </row>
    <row r="200" spans="16:16" x14ac:dyDescent="0.3">
      <c r="P200" s="40" t="str">
        <f t="shared" si="4"/>
        <v/>
      </c>
    </row>
    <row r="201" spans="16:16" x14ac:dyDescent="0.3">
      <c r="P201" s="40" t="str">
        <f t="shared" si="4"/>
        <v/>
      </c>
    </row>
    <row r="202" spans="16:16" x14ac:dyDescent="0.3">
      <c r="P202" s="40" t="str">
        <f t="shared" si="4"/>
        <v/>
      </c>
    </row>
    <row r="203" spans="16:16" x14ac:dyDescent="0.3">
      <c r="P203" s="40" t="str">
        <f t="shared" si="4"/>
        <v/>
      </c>
    </row>
    <row r="204" spans="16:16" x14ac:dyDescent="0.3">
      <c r="P204" s="40" t="str">
        <f t="shared" si="4"/>
        <v/>
      </c>
    </row>
    <row r="205" spans="16:16" x14ac:dyDescent="0.3">
      <c r="P205" s="40" t="str">
        <f t="shared" si="4"/>
        <v/>
      </c>
    </row>
    <row r="206" spans="16:16" x14ac:dyDescent="0.3">
      <c r="P206" s="40" t="str">
        <f t="shared" si="4"/>
        <v/>
      </c>
    </row>
  </sheetData>
  <sheetProtection sheet="1" selectLockedCells="1" sort="0" autoFilter="0"/>
  <autoFilter ref="K4:O4" xr:uid="{00000000-0009-0000-0000-000001000000}"/>
  <mergeCells count="17">
    <mergeCell ref="B25:C25"/>
    <mergeCell ref="D25:G25"/>
    <mergeCell ref="B22:C22"/>
    <mergeCell ref="D22:G22"/>
    <mergeCell ref="B23:C23"/>
    <mergeCell ref="D23:G23"/>
    <mergeCell ref="B24:C24"/>
    <mergeCell ref="D24:G24"/>
    <mergeCell ref="B21:C21"/>
    <mergeCell ref="D21:G21"/>
    <mergeCell ref="T2:Z2"/>
    <mergeCell ref="B11:H14"/>
    <mergeCell ref="K2:O2"/>
    <mergeCell ref="B10:H10"/>
    <mergeCell ref="B7:H8"/>
    <mergeCell ref="B2:H2"/>
    <mergeCell ref="B6:H6"/>
  </mergeCells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2:AA44"/>
  <sheetViews>
    <sheetView showRuler="0" topLeftCell="C1" zoomScaleNormal="100" workbookViewId="0">
      <selection activeCell="Q4" sqref="Q4"/>
    </sheetView>
  </sheetViews>
  <sheetFormatPr defaultColWidth="11.109375" defaultRowHeight="14.4" x14ac:dyDescent="0.3"/>
  <cols>
    <col min="1" max="1" width="4.5546875" customWidth="1"/>
    <col min="9" max="10" width="4.5546875" customWidth="1"/>
    <col min="18" max="18" width="4.5546875" customWidth="1"/>
    <col min="19" max="19" width="4.5546875" hidden="1" customWidth="1"/>
    <col min="20" max="26" width="0" hidden="1" customWidth="1"/>
    <col min="27" max="27" width="4.5546875" hidden="1" customWidth="1"/>
  </cols>
  <sheetData>
    <row r="2" spans="1:26" ht="15" customHeight="1" x14ac:dyDescent="0.3">
      <c r="B2" s="119" t="s">
        <v>39</v>
      </c>
      <c r="C2" s="119"/>
      <c r="D2" s="119"/>
      <c r="E2" s="119"/>
      <c r="F2" s="119"/>
      <c r="G2" s="119"/>
      <c r="H2" s="119"/>
      <c r="K2" s="119" t="s">
        <v>40</v>
      </c>
      <c r="L2" s="119"/>
      <c r="M2" s="119"/>
      <c r="N2" s="119"/>
      <c r="O2" s="119"/>
      <c r="P2" s="119"/>
      <c r="Q2" s="119"/>
      <c r="T2" s="119" t="s">
        <v>61</v>
      </c>
      <c r="U2" s="119"/>
      <c r="V2" s="119"/>
      <c r="W2" s="119"/>
      <c r="X2" s="119"/>
      <c r="Y2" s="119"/>
      <c r="Z2" s="119"/>
    </row>
    <row r="3" spans="1:26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26" ht="15.6" x14ac:dyDescent="0.3">
      <c r="B4" s="7" t="s">
        <v>110</v>
      </c>
      <c r="C4" s="3"/>
      <c r="D4" s="3"/>
      <c r="E4" s="3"/>
      <c r="F4" s="3"/>
      <c r="G4" s="5" t="s">
        <v>36</v>
      </c>
      <c r="H4" s="31">
        <v>95</v>
      </c>
      <c r="I4" s="3"/>
      <c r="K4" s="7" t="s">
        <v>110</v>
      </c>
      <c r="L4" s="3"/>
      <c r="M4" s="3"/>
      <c r="N4" s="3"/>
      <c r="O4" s="3"/>
      <c r="P4" s="5" t="s">
        <v>36</v>
      </c>
      <c r="Q4" s="31">
        <v>95</v>
      </c>
    </row>
    <row r="5" spans="1:26" ht="15" thickBot="1" x14ac:dyDescent="0.3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26" ht="15" thickBot="1" x14ac:dyDescent="0.35">
      <c r="A6" s="3"/>
      <c r="B6" s="48" t="s">
        <v>63</v>
      </c>
      <c r="C6" s="48" t="s">
        <v>1</v>
      </c>
      <c r="D6" s="48" t="s">
        <v>11</v>
      </c>
      <c r="E6" s="48" t="s">
        <v>71</v>
      </c>
      <c r="F6" s="54" t="s">
        <v>78</v>
      </c>
      <c r="G6" s="129" t="s">
        <v>81</v>
      </c>
      <c r="H6" s="129"/>
      <c r="J6" s="3"/>
      <c r="K6" s="48" t="s">
        <v>63</v>
      </c>
      <c r="L6" s="48" t="s">
        <v>3</v>
      </c>
      <c r="M6" s="48" t="s">
        <v>23</v>
      </c>
      <c r="N6" s="48" t="s">
        <v>2</v>
      </c>
      <c r="O6" s="48" t="s">
        <v>78</v>
      </c>
      <c r="P6" s="129" t="s">
        <v>62</v>
      </c>
      <c r="Q6" s="129"/>
    </row>
    <row r="7" spans="1:26" x14ac:dyDescent="0.3">
      <c r="A7" s="3"/>
      <c r="B7" s="19" t="str">
        <f>Data!T7</f>
        <v>Pretest</v>
      </c>
      <c r="C7" s="61">
        <f>Data!V7</f>
        <v>20</v>
      </c>
      <c r="D7" s="27">
        <f>Data!W7</f>
        <v>19.3</v>
      </c>
      <c r="E7" s="27">
        <f>Data!X7</f>
        <v>5.9036117401932318</v>
      </c>
      <c r="F7" s="27">
        <f>Data!Z7</f>
        <v>1.3200877163837894</v>
      </c>
      <c r="G7" s="20">
        <f>IFERROR(D7-TINV(1-$H$4/100,Data!Y7)*Data!Z7,"")</f>
        <v>16.537024655679797</v>
      </c>
      <c r="H7" s="20">
        <f>IFERROR(D7+TINV(1-$H$4/100,Data!Y7)*Data!Z7,"")</f>
        <v>22.062975344320204</v>
      </c>
      <c r="J7" s="3"/>
      <c r="K7" s="19" t="str">
        <f t="shared" ref="K7:K10" si="0">B7</f>
        <v>Pretest</v>
      </c>
      <c r="L7" s="20">
        <f>IFERROR((D7-C40)/E7,"")</f>
        <v>-0.11857148315398659</v>
      </c>
      <c r="M7" s="20">
        <f>IFERROR((1-3/(4*G40-1))*L7,"")</f>
        <v>-0.11382862382782713</v>
      </c>
      <c r="N7" s="42">
        <f>Data!Y7</f>
        <v>19</v>
      </c>
      <c r="O7" s="20">
        <f>IFERROR(SQRT((N7+2)/(Data!V7*Data!V7)+((L7^2)/(2*(N7+2)))),"")</f>
        <v>0.22985809269330335</v>
      </c>
      <c r="P7" s="27">
        <f>IFERROR(Y17*SQRT(1/C7),"")</f>
        <v>-0.55688021963052647</v>
      </c>
      <c r="Q7" s="27">
        <f>IFERROR(Z17*SQRT(1/C7),"")</f>
        <v>0.32283569987874261</v>
      </c>
    </row>
    <row r="8" spans="1:26" x14ac:dyDescent="0.3">
      <c r="A8" s="3"/>
      <c r="B8" s="21" t="str">
        <f>Data!T8</f>
        <v>Posttest</v>
      </c>
      <c r="C8" s="62">
        <f>Data!V8</f>
        <v>20</v>
      </c>
      <c r="D8" s="29">
        <f>Data!W8</f>
        <v>23.6</v>
      </c>
      <c r="E8" s="29">
        <f>Data!X8</f>
        <v>4.761689218179435</v>
      </c>
      <c r="F8" s="29">
        <f>Data!Z8</f>
        <v>1.0647460779577043</v>
      </c>
      <c r="G8" s="22">
        <f>IFERROR(D8-TINV(1-$H$4/100,Data!Y8)*Data!Z8,"")</f>
        <v>21.371460846997621</v>
      </c>
      <c r="H8" s="22">
        <f>IFERROR(D8+TINV(1-$H$4/100,Data!Y8)*Data!Z8,"")</f>
        <v>25.828539153002382</v>
      </c>
      <c r="J8" s="3"/>
      <c r="K8" s="21" t="str">
        <f t="shared" si="0"/>
        <v>Posttest</v>
      </c>
      <c r="L8" s="22">
        <f>IFERROR((D8-C41)/E8,"")</f>
        <v>0.75603422127083109</v>
      </c>
      <c r="M8" s="22">
        <f>IFERROR((1-3/(4*G41-1))*L8,"")</f>
        <v>0.7257928524199978</v>
      </c>
      <c r="N8" s="43">
        <f>Data!Y8</f>
        <v>19</v>
      </c>
      <c r="O8" s="22">
        <f>IFERROR(SQRT((G41+2)/(Data!V8*Data!V8)+((L8^2)/(2*(G41+2)))),"")</f>
        <v>0.25711715616355346</v>
      </c>
      <c r="P8" s="29">
        <f>IFERROR(Y18*SQRT(1/C8),"")</f>
        <v>0.24929677729296146</v>
      </c>
      <c r="Q8" s="29">
        <f>IFERROR(Z18*SQRT(1/C8),"")</f>
        <v>1.2474392242608683</v>
      </c>
    </row>
    <row r="9" spans="1:26" x14ac:dyDescent="0.3">
      <c r="A9" s="3"/>
      <c r="B9" s="21" t="str">
        <f>Data!T9</f>
        <v/>
      </c>
      <c r="C9" s="62" t="str">
        <f>Data!V9</f>
        <v/>
      </c>
      <c r="D9" s="29" t="str">
        <f>Data!W9</f>
        <v/>
      </c>
      <c r="E9" s="29" t="str">
        <f>Data!X9</f>
        <v/>
      </c>
      <c r="F9" s="29" t="str">
        <f>Data!Z9</f>
        <v/>
      </c>
      <c r="G9" s="22" t="str">
        <f>IFERROR(D9-TINV(1-$H$4/100,Data!Y9)*Data!Z9,"")</f>
        <v/>
      </c>
      <c r="H9" s="22" t="str">
        <f>IFERROR(D9+TINV(1-$H$4/100,Data!Y9)*Data!Z9,"")</f>
        <v/>
      </c>
      <c r="J9" s="3"/>
      <c r="K9" s="21" t="str">
        <f t="shared" si="0"/>
        <v/>
      </c>
      <c r="L9" s="22" t="str">
        <f>IFERROR((D9-C42)/E9,"")</f>
        <v/>
      </c>
      <c r="M9" s="22" t="str">
        <f>IFERROR((1-3/(4*G42-1))*L9,"")</f>
        <v/>
      </c>
      <c r="N9" s="43" t="str">
        <f>Data!Y9</f>
        <v/>
      </c>
      <c r="O9" s="22" t="str">
        <f>IFERROR(SQRT((G42+2)/(Data!V9*Data!V9)+((L9^2)/(2*(G42+2)))),"")</f>
        <v/>
      </c>
      <c r="P9" s="29" t="str">
        <f>IFERROR(Y19*SQRT(1/C9),"")</f>
        <v/>
      </c>
      <c r="Q9" s="29" t="str">
        <f>IFERROR(Z19*SQRT(1/C9),"")</f>
        <v/>
      </c>
    </row>
    <row r="10" spans="1:26" ht="15" thickBot="1" x14ac:dyDescent="0.35">
      <c r="A10" s="3"/>
      <c r="B10" s="21" t="str">
        <f>Data!T10</f>
        <v>Followup</v>
      </c>
      <c r="C10" s="62">
        <f>Data!V10</f>
        <v>20</v>
      </c>
      <c r="D10" s="29">
        <f>Data!W10</f>
        <v>23.4</v>
      </c>
      <c r="E10" s="29">
        <f>Data!X10</f>
        <v>4.6157624676638962</v>
      </c>
      <c r="F10" s="52">
        <f>Data!Z10</f>
        <v>1.0321158645688646</v>
      </c>
      <c r="G10" s="22">
        <f>IFERROR(D10-TINV(1-$H$4/100,Data!Y10)*Data!Z10,"")</f>
        <v>21.239756668520936</v>
      </c>
      <c r="H10" s="22">
        <f>IFERROR(D10+TINV(1-$H$4/100,Data!Y10)*Data!Z10,"")</f>
        <v>25.560243331479061</v>
      </c>
      <c r="J10" s="3"/>
      <c r="K10" s="94" t="str">
        <f t="shared" si="0"/>
        <v>Followup</v>
      </c>
      <c r="L10" s="49">
        <f>IFERROR((D10-C43)/E10,"")</f>
        <v>0.73660636218154174</v>
      </c>
      <c r="M10" s="49">
        <f>IFERROR((1-3/(4*G43-1))*L10,"")</f>
        <v>0.7071421076942801</v>
      </c>
      <c r="N10" s="43">
        <f>Data!Y10</f>
        <v>19</v>
      </c>
      <c r="O10" s="22">
        <f>IFERROR(SQRT((G43+2)/(Data!V10*Data!V10)+((L10^2)/(2*(G43+2)))),"")</f>
        <v>0.25577096026413221</v>
      </c>
      <c r="P10" s="29">
        <f>IFERROR(Y20*SQRT(1/C10),"")</f>
        <v>0.23288596495428476</v>
      </c>
      <c r="Q10" s="29">
        <f>IFERROR(Z20*SQRT(1/C10),"")</f>
        <v>1.2252177127215651</v>
      </c>
    </row>
    <row r="11" spans="1:26" x14ac:dyDescent="0.3">
      <c r="A11" s="3"/>
      <c r="B11" s="2"/>
      <c r="C11" s="2"/>
      <c r="D11" s="2"/>
      <c r="E11" s="2"/>
      <c r="F11" s="9"/>
      <c r="G11" s="2"/>
      <c r="H11" s="2"/>
      <c r="I11" s="3"/>
      <c r="J11" s="3"/>
      <c r="K11" s="2"/>
      <c r="L11" s="2"/>
      <c r="M11" s="2"/>
      <c r="N11" s="2"/>
      <c r="O11" s="2"/>
      <c r="P11" s="2"/>
      <c r="Q11" s="2"/>
    </row>
    <row r="12" spans="1:26" x14ac:dyDescent="0.3">
      <c r="A12" s="3"/>
      <c r="T12" s="28"/>
      <c r="U12" s="28"/>
      <c r="V12" s="28"/>
    </row>
    <row r="13" spans="1:26" x14ac:dyDescent="0.3">
      <c r="A13" s="3"/>
      <c r="T13" s="28"/>
      <c r="U13" s="28"/>
      <c r="V13" s="28"/>
    </row>
    <row r="14" spans="1:26" ht="15.6" x14ac:dyDescent="0.3">
      <c r="B14" s="7" t="s">
        <v>112</v>
      </c>
      <c r="C14" s="3"/>
      <c r="D14" s="3"/>
      <c r="E14" s="3"/>
      <c r="F14" s="3"/>
      <c r="G14" s="3"/>
      <c r="H14" s="3"/>
      <c r="I14" s="3"/>
      <c r="K14" s="7" t="s">
        <v>112</v>
      </c>
      <c r="L14" s="3"/>
      <c r="M14" s="3"/>
      <c r="N14" s="3"/>
      <c r="O14" s="3"/>
      <c r="P14" s="3"/>
      <c r="Q14" s="3"/>
      <c r="T14" s="7" t="s">
        <v>21</v>
      </c>
    </row>
    <row r="15" spans="1:26" ht="15" thickBot="1" x14ac:dyDescent="0.35">
      <c r="A15" s="25"/>
      <c r="B15" s="25"/>
      <c r="C15" s="25"/>
      <c r="D15" s="25"/>
      <c r="E15" s="25"/>
      <c r="F15" s="25"/>
      <c r="G15" s="25"/>
      <c r="H15" s="25"/>
      <c r="I15" s="25"/>
      <c r="J15" s="3"/>
      <c r="K15" s="3"/>
      <c r="L15" s="3"/>
      <c r="M15" s="3"/>
      <c r="N15" s="3"/>
      <c r="O15" s="3"/>
      <c r="P15" s="3"/>
      <c r="Q15" s="3"/>
    </row>
    <row r="16" spans="1:26" ht="15" thickBot="1" x14ac:dyDescent="0.35">
      <c r="A16" s="25"/>
      <c r="B16" s="86" t="s">
        <v>76</v>
      </c>
      <c r="C16" s="40"/>
      <c r="D16" s="40"/>
      <c r="E16" s="40"/>
      <c r="F16" s="40"/>
      <c r="G16" s="40" t="s">
        <v>74</v>
      </c>
      <c r="H16" s="40"/>
      <c r="I16" s="25"/>
      <c r="J16" s="3"/>
      <c r="K16" s="86" t="s">
        <v>76</v>
      </c>
      <c r="L16" s="40"/>
      <c r="M16" s="40"/>
      <c r="N16" s="35"/>
      <c r="O16" s="39"/>
      <c r="P16" s="86" t="s">
        <v>74</v>
      </c>
      <c r="Q16" s="40"/>
      <c r="T16" s="63" t="s">
        <v>10</v>
      </c>
      <c r="U16" s="63" t="s">
        <v>11</v>
      </c>
      <c r="V16" s="63" t="s">
        <v>12</v>
      </c>
      <c r="W16" s="63" t="s">
        <v>13</v>
      </c>
      <c r="X16" s="63" t="s">
        <v>70</v>
      </c>
      <c r="Y16" s="63" t="s">
        <v>19</v>
      </c>
      <c r="Z16" s="63" t="s">
        <v>20</v>
      </c>
    </row>
    <row r="17" spans="1:26" ht="15.6" x14ac:dyDescent="0.3">
      <c r="A17" s="25"/>
      <c r="B17" s="35" t="s">
        <v>0</v>
      </c>
      <c r="C17" s="36" t="s">
        <v>75</v>
      </c>
      <c r="D17" s="35" t="s">
        <v>77</v>
      </c>
      <c r="E17" s="35"/>
      <c r="F17" s="35"/>
      <c r="G17" s="36" t="s">
        <v>33</v>
      </c>
      <c r="H17" s="36" t="s">
        <v>75</v>
      </c>
      <c r="I17" s="25"/>
      <c r="J17" s="3"/>
      <c r="K17" s="36" t="s">
        <v>0</v>
      </c>
      <c r="L17" s="36" t="s">
        <v>75</v>
      </c>
      <c r="M17" s="36" t="s">
        <v>77</v>
      </c>
      <c r="N17" s="40"/>
      <c r="O17" s="39"/>
      <c r="P17" s="36" t="s">
        <v>33</v>
      </c>
      <c r="Q17" s="36" t="s">
        <v>75</v>
      </c>
      <c r="S17" s="4"/>
      <c r="T17" s="27">
        <f>EXP(((LN(2)-LN(G40))/2)+GAMMALN((G40+1)/2)-GAMMALN(G40/2))</f>
        <v>0.98693426752465663</v>
      </c>
      <c r="U17" s="27">
        <f>T17*F40</f>
        <v>-0.52333945592628084</v>
      </c>
      <c r="V17" s="27">
        <f>1+(F40^2)*(1-T17^2)</f>
        <v>1.0072997462175068</v>
      </c>
      <c r="W17" s="27">
        <f>(2*U17^3)-((2*G40-1)/G40)*(F40^2*U17)</f>
        <v>-1.0449094960462979E-4</v>
      </c>
      <c r="X17" s="12">
        <f>W17/SQRT(V17)^3</f>
        <v>-1.0335716517702389E-4</v>
      </c>
      <c r="Y17" s="28">
        <f t="shared" ref="Y17:Z20" si="1">IF($X17&lt;0.001,Y29,Y23)</f>
        <v>-2.4904440528377401</v>
      </c>
      <c r="Z17" s="28">
        <f t="shared" si="1"/>
        <v>1.4437651409851782</v>
      </c>
    </row>
    <row r="18" spans="1:26" x14ac:dyDescent="0.3">
      <c r="A18" s="25"/>
      <c r="B18" s="35">
        <v>1.1000000000000001</v>
      </c>
      <c r="C18" s="38">
        <f>IF(H7="",NA(),H7)</f>
        <v>22.062975344320204</v>
      </c>
      <c r="D18" s="38">
        <f t="shared" ref="D18:D29" si="2">C18</f>
        <v>22.062975344320204</v>
      </c>
      <c r="E18" s="38"/>
      <c r="F18" s="38"/>
      <c r="G18" s="37">
        <v>0.5</v>
      </c>
      <c r="H18" s="37">
        <f>$C$40</f>
        <v>20</v>
      </c>
      <c r="I18" s="25"/>
      <c r="J18" s="3"/>
      <c r="K18" s="35">
        <v>1.1000000000000001</v>
      </c>
      <c r="L18" s="38">
        <f>IF(Q7="",NA(),Q7)</f>
        <v>0.32283569987874261</v>
      </c>
      <c r="M18" s="38">
        <f t="shared" ref="M18:M29" si="3">L18</f>
        <v>0.32283569987874261</v>
      </c>
      <c r="N18" s="40"/>
      <c r="O18" s="39"/>
      <c r="P18" s="37">
        <v>0.5</v>
      </c>
      <c r="Q18" s="37">
        <f>L$40</f>
        <v>0</v>
      </c>
      <c r="T18" s="29">
        <f>EXP(((LN(2)-LN(G41))/2)+GAMMALN((G41+1)/2)-GAMMALN(G41/2))</f>
        <v>0.98693426752465663</v>
      </c>
      <c r="U18" s="29">
        <f>T18*F41</f>
        <v>3.3369114351693367</v>
      </c>
      <c r="V18" s="29">
        <f>1+(F41^2)*(1-T18^2)</f>
        <v>1.2967769484879601</v>
      </c>
      <c r="W18" s="29">
        <f>(2*U18^3)-((2*G41-1)/G41)*(F41^2*U18)</f>
        <v>2.7087085648503262E-2</v>
      </c>
      <c r="X18" s="12">
        <f>W18/SQRT(V18)^3</f>
        <v>1.8342746249173213E-2</v>
      </c>
      <c r="Y18" s="28">
        <f t="shared" si="1"/>
        <v>1.1148890811973757</v>
      </c>
      <c r="Z18" s="28">
        <f t="shared" si="1"/>
        <v>5.5787178064938132</v>
      </c>
    </row>
    <row r="19" spans="1:26" x14ac:dyDescent="0.3">
      <c r="A19" s="25"/>
      <c r="B19" s="35">
        <v>1.1000000000000001</v>
      </c>
      <c r="C19" s="37">
        <f>IF(D7="",NA(),D7)</f>
        <v>19.3</v>
      </c>
      <c r="D19" s="38">
        <f t="shared" si="2"/>
        <v>19.3</v>
      </c>
      <c r="E19" s="38"/>
      <c r="F19" s="38"/>
      <c r="G19" s="37">
        <v>1</v>
      </c>
      <c r="H19" s="37">
        <f>$C$40</f>
        <v>20</v>
      </c>
      <c r="I19" s="25"/>
      <c r="J19" s="3"/>
      <c r="K19" s="35">
        <v>1.1000000000000001</v>
      </c>
      <c r="L19" s="37">
        <f>IF(M7="",NA(),M7)</f>
        <v>-0.11382862382782713</v>
      </c>
      <c r="M19" s="38">
        <f t="shared" si="3"/>
        <v>-0.11382862382782713</v>
      </c>
      <c r="N19" s="40"/>
      <c r="O19" s="39"/>
      <c r="P19" s="37">
        <v>1</v>
      </c>
      <c r="Q19" s="37">
        <f>L$40</f>
        <v>0</v>
      </c>
      <c r="T19" s="29" t="e">
        <f>EXP(((LN(2)-LN(G42))/2)+GAMMALN((G42+1)/2)-GAMMALN(G42/2))</f>
        <v>#VALUE!</v>
      </c>
      <c r="U19" s="29" t="e">
        <f>T19*F42</f>
        <v>#VALUE!</v>
      </c>
      <c r="V19" s="29" t="e">
        <f>1+(F42^2)*(1-T19^2)</f>
        <v>#VALUE!</v>
      </c>
      <c r="W19" s="29" t="e">
        <f>(2*U19^3)-((2*G42-1)/G42)*(F42^2*U19)</f>
        <v>#VALUE!</v>
      </c>
      <c r="X19" s="12" t="e">
        <f>W19/SQRT(V19)^3</f>
        <v>#VALUE!</v>
      </c>
      <c r="Y19" s="28" t="e">
        <f t="shared" si="1"/>
        <v>#VALUE!</v>
      </c>
      <c r="Z19" s="28" t="e">
        <f t="shared" si="1"/>
        <v>#VALUE!</v>
      </c>
    </row>
    <row r="20" spans="1:26" ht="15" thickBot="1" x14ac:dyDescent="0.35">
      <c r="A20" s="25"/>
      <c r="B20" s="35">
        <v>1.1000000000000001</v>
      </c>
      <c r="C20" s="38">
        <f>IF(G7="",NA(),G7)</f>
        <v>16.537024655679797</v>
      </c>
      <c r="D20" s="38">
        <f t="shared" si="2"/>
        <v>16.537024655679797</v>
      </c>
      <c r="E20" s="38"/>
      <c r="F20" s="38"/>
      <c r="G20" s="37">
        <v>1.5</v>
      </c>
      <c r="H20" s="37">
        <f>$C$40</f>
        <v>20</v>
      </c>
      <c r="I20" s="25"/>
      <c r="J20" s="3"/>
      <c r="K20" s="35">
        <v>1.1000000000000001</v>
      </c>
      <c r="L20" s="38">
        <f>IF(P7="",NA(),P7)</f>
        <v>-0.55688021963052647</v>
      </c>
      <c r="M20" s="38">
        <f t="shared" si="3"/>
        <v>-0.55688021963052647</v>
      </c>
      <c r="N20" s="40"/>
      <c r="O20" s="39"/>
      <c r="P20" s="37">
        <v>1.5</v>
      </c>
      <c r="Q20" s="37">
        <f>L$40</f>
        <v>0</v>
      </c>
      <c r="T20" s="29">
        <f>EXP(((LN(2)-LN(G43))/2)+GAMMALN((G43+1)/2)-GAMMALN(G43/2))</f>
        <v>0.98693426752465663</v>
      </c>
      <c r="U20" s="29">
        <f>T20*F43</f>
        <v>3.2511626114627377</v>
      </c>
      <c r="V20" s="29">
        <f>1+(F43^2)*(1-T20^2)</f>
        <v>1.2817203299532856</v>
      </c>
      <c r="W20" s="29">
        <f>(2*U20^3)-((2*G43-1)/G43)*(F43^2*U20)</f>
        <v>2.5052110347957068E-2</v>
      </c>
      <c r="X20" s="12">
        <f>W20/SQRT(V20)^3</f>
        <v>1.7264515957676887E-2</v>
      </c>
      <c r="Y20" s="28">
        <f t="shared" si="1"/>
        <v>1.0414976972868288</v>
      </c>
      <c r="Z20" s="28">
        <f t="shared" si="1"/>
        <v>5.4793401857644568</v>
      </c>
    </row>
    <row r="21" spans="1:26" ht="15" thickBot="1" x14ac:dyDescent="0.35">
      <c r="A21" s="25"/>
      <c r="B21" s="35">
        <v>2.1</v>
      </c>
      <c r="C21" s="38">
        <f>IF(H8="",NA(),H8)</f>
        <v>25.828539153002382</v>
      </c>
      <c r="D21" s="38">
        <f t="shared" si="2"/>
        <v>25.828539153002382</v>
      </c>
      <c r="E21" s="38"/>
      <c r="F21" s="38"/>
      <c r="G21" s="37">
        <v>1.5</v>
      </c>
      <c r="H21" s="37">
        <f>$C$41</f>
        <v>20</v>
      </c>
      <c r="I21" s="25"/>
      <c r="J21" s="3"/>
      <c r="K21" s="35">
        <v>2.1</v>
      </c>
      <c r="L21" s="38">
        <f>IF(Q8="",NA(),Q8)</f>
        <v>1.2474392242608683</v>
      </c>
      <c r="M21" s="38">
        <f t="shared" si="3"/>
        <v>1.2474392242608683</v>
      </c>
      <c r="N21" s="39"/>
      <c r="O21" s="39"/>
      <c r="P21" s="37">
        <v>1.5</v>
      </c>
      <c r="Q21" s="37">
        <f>L$41</f>
        <v>0.2</v>
      </c>
      <c r="T21" s="79"/>
      <c r="U21" s="79"/>
      <c r="V21" s="79"/>
      <c r="W21" s="79"/>
      <c r="X21" s="79"/>
      <c r="Y21" s="79"/>
      <c r="Z21" s="79"/>
    </row>
    <row r="22" spans="1:26" ht="15" thickBot="1" x14ac:dyDescent="0.35">
      <c r="A22" s="25"/>
      <c r="B22" s="35">
        <v>2.1</v>
      </c>
      <c r="C22" s="37">
        <f>IF(D8="",NA(),D8)</f>
        <v>23.6</v>
      </c>
      <c r="D22" s="38">
        <f t="shared" si="2"/>
        <v>23.6</v>
      </c>
      <c r="E22" s="38"/>
      <c r="F22" s="38"/>
      <c r="G22" s="37">
        <v>2</v>
      </c>
      <c r="H22" s="37">
        <f>$C$41</f>
        <v>20</v>
      </c>
      <c r="I22" s="25"/>
      <c r="J22" s="3"/>
      <c r="K22" s="35">
        <v>2.1</v>
      </c>
      <c r="L22" s="37">
        <f>IF(M8="",NA(),M8)</f>
        <v>0.7257928524199978</v>
      </c>
      <c r="M22" s="38">
        <f t="shared" si="3"/>
        <v>0.7257928524199978</v>
      </c>
      <c r="N22" s="39"/>
      <c r="O22" s="39"/>
      <c r="P22" s="37">
        <v>2</v>
      </c>
      <c r="Q22" s="37">
        <f>L$41</f>
        <v>0.2</v>
      </c>
      <c r="T22" s="63" t="s">
        <v>14</v>
      </c>
      <c r="U22" s="63" t="s">
        <v>15</v>
      </c>
      <c r="V22" s="63" t="s">
        <v>16</v>
      </c>
      <c r="W22" s="63" t="s">
        <v>17</v>
      </c>
      <c r="X22" s="63" t="s">
        <v>18</v>
      </c>
      <c r="Y22" s="63" t="s">
        <v>19</v>
      </c>
      <c r="Z22" s="63" t="s">
        <v>20</v>
      </c>
    </row>
    <row r="23" spans="1:26" x14ac:dyDescent="0.3">
      <c r="A23" s="25"/>
      <c r="B23" s="35">
        <v>2.1</v>
      </c>
      <c r="C23" s="38">
        <f>IF(G8="",NA(),G8)</f>
        <v>21.371460846997621</v>
      </c>
      <c r="D23" s="38">
        <f t="shared" si="2"/>
        <v>21.371460846997621</v>
      </c>
      <c r="E23" s="38"/>
      <c r="F23" s="38"/>
      <c r="G23" s="37">
        <v>2.5</v>
      </c>
      <c r="H23" s="37">
        <f>$C$41</f>
        <v>20</v>
      </c>
      <c r="I23" s="25"/>
      <c r="J23" s="3"/>
      <c r="K23" s="35">
        <v>2.1</v>
      </c>
      <c r="L23" s="38">
        <f>IF(P8="",NA(),P8)</f>
        <v>0.24929677729296146</v>
      </c>
      <c r="M23" s="38">
        <f t="shared" si="3"/>
        <v>0.24929677729296146</v>
      </c>
      <c r="N23" s="39"/>
      <c r="O23" s="39"/>
      <c r="P23" s="37">
        <v>2.5</v>
      </c>
      <c r="Q23" s="37">
        <f>L$41</f>
        <v>0.2</v>
      </c>
      <c r="T23" s="27">
        <f>W17/(4*V17)</f>
        <v>-2.5933429944016635E-5</v>
      </c>
      <c r="U23" s="27">
        <f>V17/(2*T23^2)</f>
        <v>748874096.34014821</v>
      </c>
      <c r="V23" s="27">
        <f>U17-(U23*T23)</f>
        <v>19420.350574870074</v>
      </c>
      <c r="W23" s="27">
        <f>2*GAMMAINV((1-$Q$4/100)/2,U23/2,1)</f>
        <v>748798246.15469849</v>
      </c>
      <c r="X23" s="27">
        <f>2*GAMMAINV(1-(1-$Q$4/100)/2,U23/2,1)</f>
        <v>748949950.3142097</v>
      </c>
      <c r="Y23" s="27">
        <f>IF(F40&gt;0,V23+(T23*W23),V23+(T23*X23))</f>
        <v>-2.4904931782220956</v>
      </c>
      <c r="Z23" s="27">
        <f>IF(F40&gt;0,V23+(T23*X23),V23+(T23*W23))</f>
        <v>1.443716014677193</v>
      </c>
    </row>
    <row r="24" spans="1:26" x14ac:dyDescent="0.3">
      <c r="A24" s="25"/>
      <c r="B24" s="35">
        <v>3.1</v>
      </c>
      <c r="C24" s="38" t="e">
        <f>IF(H9="",NA(),H9)</f>
        <v>#N/A</v>
      </c>
      <c r="D24" s="38" t="e">
        <f t="shared" si="2"/>
        <v>#N/A</v>
      </c>
      <c r="E24" s="38"/>
      <c r="F24" s="38"/>
      <c r="G24" s="37">
        <v>2.5</v>
      </c>
      <c r="H24" s="37">
        <f>$C$42</f>
        <v>0</v>
      </c>
      <c r="I24" s="25"/>
      <c r="J24" s="3"/>
      <c r="K24" s="35">
        <v>3.1</v>
      </c>
      <c r="L24" s="38" t="e">
        <f>IF(Q9="",NA(),Q9)</f>
        <v>#N/A</v>
      </c>
      <c r="M24" s="38" t="e">
        <f t="shared" si="3"/>
        <v>#N/A</v>
      </c>
      <c r="N24" s="39"/>
      <c r="O24" s="39"/>
      <c r="P24" s="37">
        <v>2.5</v>
      </c>
      <c r="Q24" s="37">
        <f>L$42</f>
        <v>0</v>
      </c>
      <c r="T24" s="29">
        <f>W18/(4*V18)</f>
        <v>5.2220016865827928E-3</v>
      </c>
      <c r="U24" s="29">
        <f>V18/(2*T24^2)</f>
        <v>23777.230653207636</v>
      </c>
      <c r="V24" s="29">
        <f>U18-(U24*T24)</f>
        <v>-120.82782713814902</v>
      </c>
      <c r="W24" s="29">
        <f>2*GAMMAINV((1-$Q$4/100)/2,U24/2,1)</f>
        <v>23351.719041504955</v>
      </c>
      <c r="X24" s="29">
        <f>2*GAMMAINV(1-(1-$Q$4/100)/2,U24/2,1)</f>
        <v>24206.530853758028</v>
      </c>
      <c r="Y24" s="29">
        <f>IF(F41&gt;0,V24+(T24*W24),V24+(T24*X24))</f>
        <v>1.1148890811973757</v>
      </c>
      <c r="Z24" s="29">
        <f>IF(F41&gt;0,V24+(T24*X24),V24+(T24*W24))</f>
        <v>5.5787178064938132</v>
      </c>
    </row>
    <row r="25" spans="1:26" x14ac:dyDescent="0.3">
      <c r="A25" s="25"/>
      <c r="B25" s="35">
        <v>3.1</v>
      </c>
      <c r="C25" s="37" t="e">
        <f>IF(D9="",NA(),D9)</f>
        <v>#N/A</v>
      </c>
      <c r="D25" s="38" t="e">
        <f t="shared" si="2"/>
        <v>#N/A</v>
      </c>
      <c r="E25" s="38"/>
      <c r="F25" s="38"/>
      <c r="G25" s="37">
        <v>3</v>
      </c>
      <c r="H25" s="37">
        <f>$C$42</f>
        <v>0</v>
      </c>
      <c r="I25" s="25"/>
      <c r="J25" s="3"/>
      <c r="K25" s="35">
        <v>3.1</v>
      </c>
      <c r="L25" s="37" t="e">
        <f>IF(M9="",NA(),M9)</f>
        <v>#N/A</v>
      </c>
      <c r="M25" s="38" t="e">
        <f t="shared" si="3"/>
        <v>#N/A</v>
      </c>
      <c r="N25" s="39"/>
      <c r="O25" s="39"/>
      <c r="P25" s="37">
        <v>3</v>
      </c>
      <c r="Q25" s="37">
        <f>L$42</f>
        <v>0</v>
      </c>
      <c r="T25" s="29" t="e">
        <f>W19/(4*V19)</f>
        <v>#VALUE!</v>
      </c>
      <c r="U25" s="29" t="e">
        <f>V19/(2*T25^2)</f>
        <v>#VALUE!</v>
      </c>
      <c r="V25" s="29" t="e">
        <f>U19-(U25*T25)</f>
        <v>#VALUE!</v>
      </c>
      <c r="W25" s="29" t="e">
        <f>2*GAMMAINV((1-$Q$4/100)/2,U25/2,1)</f>
        <v>#VALUE!</v>
      </c>
      <c r="X25" s="29" t="e">
        <f>2*GAMMAINV(1-(1-$Q$4/100)/2,U25/2,1)</f>
        <v>#VALUE!</v>
      </c>
      <c r="Y25" s="29" t="e">
        <f>IF(F42&gt;0,V25+(T25*W25),V25+(T25*X25))</f>
        <v>#VALUE!</v>
      </c>
      <c r="Z25" s="29" t="e">
        <f>IF(F42&gt;0,V25+(T25*X25),V25+(T25*W25))</f>
        <v>#VALUE!</v>
      </c>
    </row>
    <row r="26" spans="1:26" ht="15" thickBot="1" x14ac:dyDescent="0.35">
      <c r="A26" s="25"/>
      <c r="B26" s="35">
        <v>3.1</v>
      </c>
      <c r="C26" s="38" t="e">
        <f>IF(G9="",NA(),G9)</f>
        <v>#N/A</v>
      </c>
      <c r="D26" s="38" t="e">
        <f t="shared" si="2"/>
        <v>#N/A</v>
      </c>
      <c r="E26" s="38"/>
      <c r="F26" s="38"/>
      <c r="G26" s="37">
        <v>3.5</v>
      </c>
      <c r="H26" s="37">
        <f>$C$42</f>
        <v>0</v>
      </c>
      <c r="I26" s="25"/>
      <c r="J26" s="3"/>
      <c r="K26" s="35">
        <v>3.1</v>
      </c>
      <c r="L26" s="38" t="e">
        <f>IF(P9="",NA(),P9)</f>
        <v>#N/A</v>
      </c>
      <c r="M26" s="38" t="e">
        <f t="shared" si="3"/>
        <v>#N/A</v>
      </c>
      <c r="N26" s="39"/>
      <c r="O26" s="39"/>
      <c r="P26" s="37">
        <v>3.5</v>
      </c>
      <c r="Q26" s="37">
        <f>L$42</f>
        <v>0</v>
      </c>
      <c r="T26" s="52">
        <f>W20/(4*V20)</f>
        <v>4.8864229119448656E-3</v>
      </c>
      <c r="U26" s="52">
        <f>V20/(2*T26^2)</f>
        <v>26839.917326253093</v>
      </c>
      <c r="V26" s="52">
        <f>U20-(U26*T26)</f>
        <v>-127.90002436624637</v>
      </c>
      <c r="W26" s="52">
        <f>2*GAMMAINV((1-$Q$4/100)/2,U26/2,1)</f>
        <v>26387.712317805224</v>
      </c>
      <c r="X26" s="52">
        <f>2*GAMMAINV(1-(1-$Q$4/100)/2,U26/2,1)</f>
        <v>27295.910926163357</v>
      </c>
      <c r="Y26" s="52">
        <f>IF(F43&gt;0,V26+(T26*W26),V26+(T26*X26))</f>
        <v>1.0414976972868288</v>
      </c>
      <c r="Z26" s="52">
        <f>IF(F43&gt;0,V26+(T26*X26),V26+(T26*W26))</f>
        <v>5.4793401857644568</v>
      </c>
    </row>
    <row r="27" spans="1:26" ht="15" thickBot="1" x14ac:dyDescent="0.35">
      <c r="A27" s="25"/>
      <c r="B27" s="35">
        <v>4.0999999999999996</v>
      </c>
      <c r="C27" s="38">
        <f>IF(H10="",NA(),H10)</f>
        <v>25.560243331479061</v>
      </c>
      <c r="D27" s="38">
        <f t="shared" si="2"/>
        <v>25.560243331479061</v>
      </c>
      <c r="E27" s="38"/>
      <c r="F27" s="38"/>
      <c r="G27" s="37">
        <v>3.5</v>
      </c>
      <c r="H27" s="37">
        <f>$C$43</f>
        <v>20</v>
      </c>
      <c r="I27" s="25"/>
      <c r="J27" s="3"/>
      <c r="K27" s="35">
        <v>4.0999999999999996</v>
      </c>
      <c r="L27" s="38">
        <f>IF(Q10="",NA(),Q10)</f>
        <v>1.2252177127215651</v>
      </c>
      <c r="M27" s="38">
        <f t="shared" si="3"/>
        <v>1.2252177127215651</v>
      </c>
      <c r="N27" s="39"/>
      <c r="O27" s="39"/>
      <c r="P27" s="37">
        <v>3.5</v>
      </c>
      <c r="Q27" s="37">
        <f>L$43</f>
        <v>0.5</v>
      </c>
      <c r="T27" s="9"/>
      <c r="U27" s="9"/>
      <c r="V27" s="9"/>
      <c r="W27" s="9"/>
      <c r="X27" s="9"/>
      <c r="Y27" s="9"/>
      <c r="Z27" s="9"/>
    </row>
    <row r="28" spans="1:26" ht="15" thickBot="1" x14ac:dyDescent="0.35">
      <c r="A28" s="25"/>
      <c r="B28" s="36">
        <v>4.0999999999999996</v>
      </c>
      <c r="C28" s="37">
        <f>IF(D10="",NA(),D10)</f>
        <v>23.4</v>
      </c>
      <c r="D28" s="38">
        <f t="shared" si="2"/>
        <v>23.4</v>
      </c>
      <c r="E28" s="38"/>
      <c r="F28" s="38"/>
      <c r="G28" s="37">
        <v>4</v>
      </c>
      <c r="H28" s="37">
        <f>$C$43</f>
        <v>20</v>
      </c>
      <c r="I28" s="25"/>
      <c r="J28" s="3"/>
      <c r="K28" s="36">
        <v>4.0999999999999996</v>
      </c>
      <c r="L28" s="37">
        <f>IF(M10="",NA(),M10)</f>
        <v>0.7071421076942801</v>
      </c>
      <c r="M28" s="38">
        <f t="shared" si="3"/>
        <v>0.7071421076942801</v>
      </c>
      <c r="N28" s="39"/>
      <c r="O28" s="39"/>
      <c r="P28" s="37">
        <v>4</v>
      </c>
      <c r="Q28" s="37">
        <f>L$43</f>
        <v>0.5</v>
      </c>
      <c r="V28" s="63" t="s">
        <v>71</v>
      </c>
      <c r="W28" s="63" t="s">
        <v>72</v>
      </c>
      <c r="X28" s="63" t="s">
        <v>73</v>
      </c>
      <c r="Y28" s="63" t="s">
        <v>19</v>
      </c>
      <c r="Z28" s="63" t="s">
        <v>20</v>
      </c>
    </row>
    <row r="29" spans="1:26" x14ac:dyDescent="0.3">
      <c r="A29" s="25"/>
      <c r="B29" s="36">
        <v>4.0999999999999996</v>
      </c>
      <c r="C29" s="38">
        <f>IF(G10="",NA(),G10)</f>
        <v>21.239756668520936</v>
      </c>
      <c r="D29" s="38">
        <f t="shared" si="2"/>
        <v>21.239756668520936</v>
      </c>
      <c r="E29" s="38"/>
      <c r="F29" s="38"/>
      <c r="G29" s="37">
        <v>4.5</v>
      </c>
      <c r="H29" s="37">
        <f>$C$43</f>
        <v>20</v>
      </c>
      <c r="I29" s="25"/>
      <c r="J29" s="3"/>
      <c r="K29" s="36">
        <v>4.0999999999999996</v>
      </c>
      <c r="L29" s="38">
        <f>IF(P10="",NA(),P10)</f>
        <v>0.23288596495428476</v>
      </c>
      <c r="M29" s="37">
        <f t="shared" si="3"/>
        <v>0.23288596495428476</v>
      </c>
      <c r="N29" s="39"/>
      <c r="O29" s="39"/>
      <c r="P29" s="37">
        <v>4.5</v>
      </c>
      <c r="Q29" s="37">
        <f>L$43</f>
        <v>0.5</v>
      </c>
      <c r="V29" s="28">
        <f>SQRT(V17)</f>
        <v>1.0036432365225738</v>
      </c>
      <c r="W29" s="28">
        <f>NORMINV((1-$Q$4/100)/2,0,1)</f>
        <v>-1.9599639845400536</v>
      </c>
      <c r="X29" s="28">
        <f>NORMINV(1-(1-$Q$4/100)/2,0,1)</f>
        <v>1.9599639845400536</v>
      </c>
      <c r="Y29" s="28">
        <f>U17+W29*V29</f>
        <v>-2.4904440528377401</v>
      </c>
      <c r="Z29" s="28">
        <f>U17+X29*V29</f>
        <v>1.4437651409851782</v>
      </c>
    </row>
    <row r="30" spans="1:26" x14ac:dyDescent="0.3">
      <c r="A30" s="25"/>
      <c r="B30" s="35"/>
      <c r="C30" s="35"/>
      <c r="D30" s="35"/>
      <c r="E30" s="35"/>
      <c r="F30" s="35"/>
      <c r="G30" s="35"/>
      <c r="H30" s="35"/>
      <c r="I30" s="25"/>
      <c r="J30" s="3"/>
      <c r="K30" s="25"/>
      <c r="L30" s="25"/>
      <c r="M30" s="25"/>
      <c r="N30" s="25"/>
      <c r="O30" s="25"/>
      <c r="P30" s="25"/>
      <c r="Q30" s="25"/>
      <c r="V30" s="28">
        <f>SQRT(V18)</f>
        <v>1.1387611463726535</v>
      </c>
      <c r="W30" s="28">
        <f>NORMINV((1-$Q$4/100)/2,0,1)</f>
        <v>-1.9599639845400536</v>
      </c>
      <c r="X30" s="28">
        <f>NORMINV(1-(1-$Q$4/100)/2,0,1)</f>
        <v>1.9599639845400536</v>
      </c>
      <c r="Y30" s="28">
        <f>U18+W30*V30</f>
        <v>1.1049806012853916</v>
      </c>
      <c r="Z30" s="28">
        <f>U18+X30*V30</f>
        <v>5.5688422690532819</v>
      </c>
    </row>
    <row r="31" spans="1:26" x14ac:dyDescent="0.3">
      <c r="A31" s="25"/>
      <c r="B31" s="26"/>
      <c r="C31" s="26"/>
      <c r="D31" s="26"/>
      <c r="E31" s="26"/>
      <c r="F31" s="26"/>
      <c r="G31" s="26"/>
      <c r="H31" s="26"/>
      <c r="I31" s="25"/>
      <c r="J31" s="3"/>
      <c r="K31" s="25"/>
      <c r="L31" s="25"/>
      <c r="M31" s="25"/>
      <c r="N31" s="25"/>
      <c r="O31" s="25"/>
      <c r="P31" s="25"/>
      <c r="Q31" s="25"/>
      <c r="V31" s="28" t="e">
        <f>SQRT(V19)</f>
        <v>#VALUE!</v>
      </c>
      <c r="W31" s="28">
        <f>NORMINV((1-$Q$4/100)/2,0,1)</f>
        <v>-1.9599639845400536</v>
      </c>
      <c r="X31" s="28">
        <f>NORMINV(1-(1-$Q$4/100)/2,0,1)</f>
        <v>1.9599639845400536</v>
      </c>
      <c r="Y31" s="28" t="e">
        <f>U19+W31*V31</f>
        <v>#VALUE!</v>
      </c>
      <c r="Z31" s="28" t="e">
        <f>U19+X31*V31</f>
        <v>#VALUE!</v>
      </c>
    </row>
    <row r="32" spans="1:26" ht="15" thickBot="1" x14ac:dyDescent="0.35">
      <c r="A32" s="25"/>
      <c r="B32" s="32"/>
      <c r="C32" s="26"/>
      <c r="D32" s="26"/>
      <c r="E32" s="26"/>
      <c r="F32" s="26"/>
      <c r="G32" s="26"/>
      <c r="H32" s="26"/>
      <c r="I32" s="25"/>
      <c r="K32" s="84"/>
      <c r="L32" s="84"/>
      <c r="M32" s="84"/>
      <c r="N32" s="84"/>
      <c r="O32" s="84"/>
      <c r="P32" s="84"/>
      <c r="Q32" s="84"/>
      <c r="V32" s="28">
        <f>SQRT(V20)</f>
        <v>1.1321308802224614</v>
      </c>
      <c r="W32" s="28">
        <f>NORMINV((1-$Q$4/100)/2,0,1)</f>
        <v>-1.9599639845400536</v>
      </c>
      <c r="X32" s="28">
        <f>NORMINV(1-(1-$Q$4/100)/2,0,1)</f>
        <v>1.9599639845400536</v>
      </c>
      <c r="Y32" s="28">
        <f>U20+W32*V32</f>
        <v>1.0322268604410838</v>
      </c>
      <c r="Z32" s="28">
        <f>U20+X32*V32</f>
        <v>5.4700983624843911</v>
      </c>
    </row>
    <row r="33" spans="1:26" ht="15.6" x14ac:dyDescent="0.3">
      <c r="A33" s="4"/>
      <c r="B33" s="32"/>
      <c r="C33" s="26"/>
      <c r="D33" s="26"/>
      <c r="E33" s="26"/>
      <c r="F33" s="26"/>
      <c r="G33" s="26"/>
      <c r="H33" s="26"/>
      <c r="I33" s="3"/>
      <c r="J33" s="4"/>
      <c r="K33" s="84"/>
      <c r="L33" s="84"/>
      <c r="M33" s="84"/>
      <c r="N33" s="84"/>
      <c r="O33" s="84"/>
      <c r="P33" s="84"/>
      <c r="Q33" s="84"/>
      <c r="V33" s="9"/>
      <c r="W33" s="9"/>
      <c r="X33" s="9"/>
      <c r="Y33" s="9"/>
      <c r="Z33" s="9"/>
    </row>
    <row r="34" spans="1:26" x14ac:dyDescent="0.3">
      <c r="A34" s="3"/>
      <c r="B34" s="84"/>
      <c r="C34" s="25"/>
      <c r="D34" s="25"/>
      <c r="E34" s="25"/>
      <c r="F34" s="25"/>
      <c r="G34" s="25"/>
      <c r="H34" s="25"/>
      <c r="I34" s="3"/>
      <c r="K34" s="40"/>
      <c r="L34" s="40"/>
      <c r="M34" s="40"/>
      <c r="N34" s="40"/>
      <c r="O34" s="40"/>
      <c r="P34" s="40"/>
      <c r="Q34" s="40"/>
    </row>
    <row r="35" spans="1:26" x14ac:dyDescent="0.3">
      <c r="A35" s="3"/>
      <c r="B35" s="84"/>
      <c r="C35" s="25"/>
      <c r="D35" s="25"/>
      <c r="E35" s="25"/>
      <c r="F35" s="25"/>
      <c r="G35" s="25"/>
      <c r="H35" s="25"/>
      <c r="I35" s="3"/>
      <c r="K35" s="40"/>
      <c r="L35" s="40"/>
      <c r="M35" s="40"/>
      <c r="N35" s="40"/>
      <c r="O35" s="40"/>
      <c r="P35" s="40"/>
      <c r="Q35" s="40"/>
    </row>
    <row r="37" spans="1:26" ht="15.6" x14ac:dyDescent="0.3">
      <c r="B37" s="46" t="s">
        <v>111</v>
      </c>
      <c r="I37" s="3"/>
      <c r="J37" s="3"/>
      <c r="K37" s="46" t="s">
        <v>116</v>
      </c>
      <c r="L37" s="3"/>
      <c r="M37" s="3"/>
      <c r="N37" s="3"/>
      <c r="O37" s="3"/>
      <c r="P37" s="3"/>
      <c r="Q37" s="3"/>
    </row>
    <row r="38" spans="1:26" ht="15" thickBot="1" x14ac:dyDescent="0.35">
      <c r="I38" s="3"/>
      <c r="J38" s="3"/>
      <c r="K38" s="3"/>
      <c r="L38" s="3"/>
      <c r="M38" s="3"/>
      <c r="N38" s="3"/>
      <c r="O38" s="3"/>
      <c r="P38" s="3"/>
      <c r="Q38" s="3"/>
    </row>
    <row r="39" spans="1:26" ht="15" thickBot="1" x14ac:dyDescent="0.35">
      <c r="B39" s="54" t="s">
        <v>63</v>
      </c>
      <c r="C39" s="54" t="s">
        <v>34</v>
      </c>
      <c r="D39" s="54" t="s">
        <v>50</v>
      </c>
      <c r="E39" s="54" t="s">
        <v>78</v>
      </c>
      <c r="F39" s="63" t="s">
        <v>9</v>
      </c>
      <c r="G39" s="48" t="s">
        <v>2</v>
      </c>
      <c r="H39" s="63" t="s">
        <v>49</v>
      </c>
      <c r="I39" s="3"/>
      <c r="J39" s="3"/>
      <c r="K39" s="54" t="s">
        <v>63</v>
      </c>
      <c r="L39" s="48" t="s">
        <v>37</v>
      </c>
      <c r="M39" s="3"/>
      <c r="N39" s="3"/>
      <c r="O39" s="3"/>
      <c r="P39" s="3"/>
      <c r="Q39" s="3"/>
    </row>
    <row r="40" spans="1:26" x14ac:dyDescent="0.3">
      <c r="B40" s="19" t="str">
        <f>B7</f>
        <v>Pretest</v>
      </c>
      <c r="C40" s="14">
        <v>20</v>
      </c>
      <c r="D40" s="27">
        <f>IFERROR(D7-C40,"")</f>
        <v>-0.69999999999999929</v>
      </c>
      <c r="E40" s="27">
        <f>Data!Z7</f>
        <v>1.3200877163837894</v>
      </c>
      <c r="F40" s="27">
        <f>IFERROR(D40/E40,"")</f>
        <v>-0.53026779305057037</v>
      </c>
      <c r="G40" s="42">
        <f>Data!Y7</f>
        <v>19</v>
      </c>
      <c r="H40" s="27">
        <f>IFERROR(IF(TDIST(ABS(F40),G40,2)&lt;0.001,"&lt; 0.001",TDIST(ABS(F40),G40,2)),"")</f>
        <v>0.60206921399446045</v>
      </c>
      <c r="I40" s="3"/>
      <c r="J40" s="3"/>
      <c r="K40" s="19" t="str">
        <f>K7</f>
        <v>Pretest</v>
      </c>
      <c r="L40" s="14">
        <v>0</v>
      </c>
      <c r="M40" s="3"/>
      <c r="N40" s="3"/>
      <c r="O40" s="3"/>
      <c r="P40" s="3"/>
      <c r="Q40" s="3"/>
    </row>
    <row r="41" spans="1:26" x14ac:dyDescent="0.3">
      <c r="B41" s="21" t="str">
        <f>B8</f>
        <v>Posttest</v>
      </c>
      <c r="C41" s="15">
        <v>20</v>
      </c>
      <c r="D41" s="29">
        <f>IFERROR(D8-C41,"")</f>
        <v>3.6000000000000014</v>
      </c>
      <c r="E41" s="29">
        <f>Data!Z8</f>
        <v>1.0647460779577043</v>
      </c>
      <c r="F41" s="29">
        <f>IFERROR(D41/E41,"")</f>
        <v>3.3810878241553919</v>
      </c>
      <c r="G41" s="43">
        <f>Data!Y8</f>
        <v>19</v>
      </c>
      <c r="H41" s="29">
        <f>IFERROR(IF(TDIST(ABS(F41),G41,2)&lt;0.001,"&lt; 0.001",TDIST(ABS(F41),G41,2)),"")</f>
        <v>3.1357285520411116E-3</v>
      </c>
      <c r="I41" s="3"/>
      <c r="J41" s="3"/>
      <c r="K41" s="21" t="str">
        <f>K8</f>
        <v>Posttest</v>
      </c>
      <c r="L41" s="15">
        <v>0.2</v>
      </c>
      <c r="M41" s="3"/>
      <c r="N41" s="3"/>
      <c r="O41" s="3"/>
      <c r="P41" s="3"/>
      <c r="Q41" s="3"/>
    </row>
    <row r="42" spans="1:26" x14ac:dyDescent="0.3">
      <c r="B42" s="21" t="str">
        <f>B9</f>
        <v/>
      </c>
      <c r="C42" s="15"/>
      <c r="D42" s="29" t="str">
        <f>IFERROR(D9-C42,"")</f>
        <v/>
      </c>
      <c r="E42" s="29" t="str">
        <f>Data!Z9</f>
        <v/>
      </c>
      <c r="F42" s="29" t="str">
        <f>IFERROR(D42/E42,"")</f>
        <v/>
      </c>
      <c r="G42" s="43" t="str">
        <f>Data!Y9</f>
        <v/>
      </c>
      <c r="H42" s="29" t="str">
        <f>IFERROR(IF(TDIST(ABS(F42),G42,2)&lt;0.001,"&lt; 0.001",TDIST(ABS(F42),G42,2)),"")</f>
        <v/>
      </c>
      <c r="I42" s="3"/>
      <c r="J42" s="3"/>
      <c r="K42" s="21" t="str">
        <f>K9</f>
        <v/>
      </c>
      <c r="L42" s="15"/>
      <c r="M42" s="3"/>
      <c r="N42" s="3"/>
      <c r="O42" s="3"/>
      <c r="P42" s="3"/>
      <c r="Q42" s="3"/>
    </row>
    <row r="43" spans="1:26" ht="15" thickBot="1" x14ac:dyDescent="0.35">
      <c r="B43" s="94" t="str">
        <f>B10</f>
        <v>Followup</v>
      </c>
      <c r="C43" s="15">
        <v>20</v>
      </c>
      <c r="D43" s="52">
        <f>IFERROR(D10-C43,"")</f>
        <v>3.3999999999999986</v>
      </c>
      <c r="E43" s="52">
        <f>Data!Z10</f>
        <v>1.0321158645688646</v>
      </c>
      <c r="F43" s="52">
        <f>IFERROR(D43/E43,"")</f>
        <v>3.2942037969935152</v>
      </c>
      <c r="G43" s="51">
        <f>Data!Y10</f>
        <v>19</v>
      </c>
      <c r="H43" s="52">
        <f>IFERROR(IF(TDIST(ABS(F43),G43,2)&lt;0.001,"&lt; 0.001",TDIST(ABS(F43),G43,2)),"")</f>
        <v>3.814830960996502E-3</v>
      </c>
      <c r="I43" s="3"/>
      <c r="J43" s="3"/>
      <c r="K43" s="94" t="str">
        <f>K10</f>
        <v>Followup</v>
      </c>
      <c r="L43" s="50">
        <v>0.5</v>
      </c>
      <c r="M43" s="3"/>
      <c r="N43" s="3"/>
      <c r="O43" s="3"/>
      <c r="P43" s="3"/>
      <c r="Q43" s="3"/>
    </row>
    <row r="44" spans="1:26" x14ac:dyDescent="0.3">
      <c r="B44" s="79"/>
      <c r="C44" s="2"/>
      <c r="D44" s="79"/>
      <c r="E44" s="9"/>
      <c r="F44" s="9"/>
      <c r="G44" s="9"/>
      <c r="H44" s="9"/>
      <c r="I44" s="3"/>
      <c r="J44" s="3"/>
      <c r="K44" s="79"/>
      <c r="L44" s="2"/>
      <c r="M44" s="3"/>
      <c r="N44" s="3"/>
      <c r="O44" s="3"/>
      <c r="P44" s="3"/>
      <c r="Q44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A45"/>
  <sheetViews>
    <sheetView showRuler="0" zoomScaleNormal="100" workbookViewId="0">
      <selection activeCell="C40" sqref="C40"/>
    </sheetView>
  </sheetViews>
  <sheetFormatPr defaultColWidth="11.109375" defaultRowHeight="14.4" x14ac:dyDescent="0.3"/>
  <cols>
    <col min="1" max="1" width="4.5546875" customWidth="1"/>
    <col min="9" max="10" width="4.5546875" customWidth="1"/>
    <col min="18" max="18" width="4.6640625" customWidth="1"/>
    <col min="19" max="19" width="4.6640625" hidden="1" customWidth="1"/>
    <col min="20" max="26" width="0" hidden="1" customWidth="1"/>
    <col min="27" max="27" width="4.5546875" hidden="1" customWidth="1"/>
  </cols>
  <sheetData>
    <row r="1" spans="2:26" ht="15" customHeight="1" x14ac:dyDescent="0.3"/>
    <row r="2" spans="2:26" ht="15" customHeight="1" x14ac:dyDescent="0.3">
      <c r="B2" s="119" t="s">
        <v>103</v>
      </c>
      <c r="C2" s="119"/>
      <c r="D2" s="119"/>
      <c r="E2" s="119"/>
      <c r="F2" s="119"/>
      <c r="G2" s="119"/>
      <c r="H2" s="119"/>
      <c r="K2" s="119" t="s">
        <v>117</v>
      </c>
      <c r="L2" s="119"/>
      <c r="M2" s="119"/>
      <c r="N2" s="119"/>
      <c r="O2" s="119"/>
      <c r="P2" s="119"/>
      <c r="Q2" s="119"/>
    </row>
    <row r="4" spans="2:26" ht="15.6" x14ac:dyDescent="0.3">
      <c r="B4" s="46" t="s">
        <v>110</v>
      </c>
      <c r="G4" s="12" t="s">
        <v>36</v>
      </c>
      <c r="H4" s="18">
        <v>95</v>
      </c>
      <c r="K4" s="46" t="s">
        <v>110</v>
      </c>
      <c r="L4" s="3"/>
      <c r="M4" s="3"/>
      <c r="N4" s="3"/>
      <c r="O4" s="3"/>
      <c r="P4" s="5" t="s">
        <v>36</v>
      </c>
      <c r="Q4" s="31">
        <v>95</v>
      </c>
    </row>
    <row r="5" spans="2:26" ht="15" thickBot="1" x14ac:dyDescent="0.35">
      <c r="K5" s="3"/>
      <c r="L5" s="3"/>
      <c r="M5" s="3"/>
      <c r="N5" s="3"/>
      <c r="O5" s="3"/>
      <c r="P5" s="3"/>
      <c r="Q5" s="3"/>
    </row>
    <row r="6" spans="2:26" ht="15" thickBot="1" x14ac:dyDescent="0.35">
      <c r="B6" s="54" t="s">
        <v>63</v>
      </c>
      <c r="C6" s="54" t="s">
        <v>1</v>
      </c>
      <c r="D6" s="54" t="s">
        <v>11</v>
      </c>
      <c r="E6" s="54" t="s">
        <v>71</v>
      </c>
      <c r="F6" s="54" t="s">
        <v>78</v>
      </c>
      <c r="G6" s="130" t="s">
        <v>81</v>
      </c>
      <c r="H6" s="130"/>
      <c r="K6" s="48" t="s">
        <v>63</v>
      </c>
      <c r="L6" s="48" t="s">
        <v>3</v>
      </c>
      <c r="M6" s="48" t="s">
        <v>23</v>
      </c>
      <c r="N6" s="48" t="str">
        <f t="shared" ref="N6:N8" si="0">G39</f>
        <v>df</v>
      </c>
      <c r="O6" s="48" t="s">
        <v>78</v>
      </c>
      <c r="P6" s="129" t="s">
        <v>62</v>
      </c>
      <c r="Q6" s="129"/>
    </row>
    <row r="7" spans="2:26" x14ac:dyDescent="0.3">
      <c r="B7" s="82">
        <v>2</v>
      </c>
      <c r="C7" s="56">
        <f>IF(B7="","",VLOOKUP($B7,Data!$U$7:$X$10,2,FALSE))</f>
        <v>20</v>
      </c>
      <c r="D7" s="27">
        <f>IF(B7="","",VLOOKUP($B7,Data!$U$7:$X$10,3,FALSE))</f>
        <v>23.6</v>
      </c>
      <c r="E7" s="27">
        <f>IF(B7="","",VLOOKUP($B7,Data!$U$7:$X$10,4,FALSE))</f>
        <v>4.761689218179435</v>
      </c>
      <c r="F7" s="27">
        <f>IFERROR(E7/SQRT(C7),"")</f>
        <v>1.0647460779577043</v>
      </c>
      <c r="G7" s="27">
        <f>IFERROR(D7-TINV(1-$H$4/100,C7-1)*F7,"")</f>
        <v>21.371460846997621</v>
      </c>
      <c r="H7" s="27">
        <f>IFERROR(D7+TINV(1-$H$4/100,C7-1)*F7,"")</f>
        <v>25.828539153002382</v>
      </c>
      <c r="K7" s="19">
        <f>B7</f>
        <v>2</v>
      </c>
      <c r="L7" s="20">
        <f>IFERROR((D7-C40)/E7,"")</f>
        <v>0.75603422127083109</v>
      </c>
      <c r="M7" s="20">
        <f>IFERROR((1-3/(4*G40-1))*L7,"")</f>
        <v>0.7257928524199978</v>
      </c>
      <c r="N7" s="42">
        <f t="shared" si="0"/>
        <v>19</v>
      </c>
      <c r="O7" s="20">
        <f>IFERROR(SQRT((N7+2)/(Data!V7*Data!V7)+((L7^2)/(2*(N7+2)))),"")</f>
        <v>0.25711715616355346</v>
      </c>
      <c r="P7" s="27">
        <f>IFERROR(Y17*SQRT(1/C7),"")</f>
        <v>0.24929677729296146</v>
      </c>
      <c r="Q7" s="27">
        <f>IFERROR(Z17*SQRT(1/C7),"")</f>
        <v>1.2474392242608683</v>
      </c>
    </row>
    <row r="8" spans="2:26" ht="15" thickBot="1" x14ac:dyDescent="0.35">
      <c r="B8" s="112">
        <v>1</v>
      </c>
      <c r="C8" s="60">
        <f>IF(B8="","",VLOOKUP($B8,Data!$U$7:$X$10,2,FALSE))</f>
        <v>20</v>
      </c>
      <c r="D8" s="30">
        <f>IF(B8="","",VLOOKUP($B8,Data!$U$7:$X$10,3,FALSE))</f>
        <v>19.3</v>
      </c>
      <c r="E8" s="30">
        <f>IF(B8="","",VLOOKUP($B8,Data!$U$7:$X$10,4,FALSE))</f>
        <v>5.9036117401932318</v>
      </c>
      <c r="F8" s="52">
        <f>IFERROR(E8/SQRT(C8),"")</f>
        <v>1.3200877163837894</v>
      </c>
      <c r="G8" s="52">
        <f>IFERROR(D8-TINV(1-$H$4/100,C8-1)*F8,"")</f>
        <v>16.537024655679797</v>
      </c>
      <c r="H8" s="52">
        <f>IFERROR(D8+TINV(1-$H$4/100,C8-1)*F8,"")</f>
        <v>22.062975344320204</v>
      </c>
      <c r="K8" s="94">
        <f>B8</f>
        <v>1</v>
      </c>
      <c r="L8" s="49">
        <f>IFERROR((D8-C41)/E8,"")</f>
        <v>-0.11857148315398659</v>
      </c>
      <c r="M8" s="49">
        <f>IFERROR((1-3/(4*G41-1))*L8,"")</f>
        <v>-0.11382862382782713</v>
      </c>
      <c r="N8" s="51">
        <f t="shared" si="0"/>
        <v>19</v>
      </c>
      <c r="O8" s="49">
        <f>IFERROR(SQRT((N8+2)/(Data!V8*Data!V8)+((L8^2)/(2*(N8+2)))),"")</f>
        <v>0.22985809269330335</v>
      </c>
      <c r="P8" s="52">
        <f>IFERROR(Y18*SQRT(1/C8),"")</f>
        <v>-0.55688021963052647</v>
      </c>
      <c r="Q8" s="52">
        <f>IFERROR(Z18*SQRT(1/C8),"")</f>
        <v>0.32283569987874261</v>
      </c>
    </row>
    <row r="9" spans="2:26" ht="15" thickBot="1" x14ac:dyDescent="0.35">
      <c r="B9" s="8"/>
      <c r="C9" s="8"/>
      <c r="D9" s="8"/>
      <c r="E9" s="8"/>
      <c r="F9" s="8"/>
      <c r="G9" s="8"/>
      <c r="H9" s="8"/>
      <c r="K9" s="8"/>
      <c r="L9" s="8"/>
      <c r="M9" s="8"/>
      <c r="N9" s="8"/>
      <c r="O9" s="8"/>
      <c r="P9" s="8"/>
      <c r="Q9" s="8"/>
    </row>
    <row r="10" spans="2:26" ht="15" thickBot="1" x14ac:dyDescent="0.35">
      <c r="B10" s="48" t="s">
        <v>115</v>
      </c>
      <c r="C10" s="48"/>
      <c r="D10" s="48" t="s">
        <v>79</v>
      </c>
      <c r="E10" s="54" t="s">
        <v>71</v>
      </c>
      <c r="F10" s="48" t="s">
        <v>78</v>
      </c>
      <c r="G10" s="129" t="s">
        <v>80</v>
      </c>
      <c r="H10" s="129"/>
      <c r="K10" s="48" t="s">
        <v>115</v>
      </c>
      <c r="L10" s="48" t="s">
        <v>3</v>
      </c>
      <c r="M10" s="48" t="s">
        <v>23</v>
      </c>
      <c r="N10" s="48" t="str">
        <f t="shared" ref="N10" si="1">G43</f>
        <v>df</v>
      </c>
      <c r="O10" s="48" t="s">
        <v>78</v>
      </c>
      <c r="P10" s="129" t="s">
        <v>62</v>
      </c>
      <c r="Q10" s="129"/>
    </row>
    <row r="11" spans="2:26" ht="15" thickBot="1" x14ac:dyDescent="0.35">
      <c r="B11" s="99" t="s">
        <v>104</v>
      </c>
      <c r="C11" s="110">
        <f>VLOOKUP(SMALL(B7:B8,1),Data!V22:Z25,MATCH(LARGE(B7:B8,1),Data!V21:Z21,0),FALSE)</f>
        <v>0.49315488008545716</v>
      </c>
      <c r="D11" s="100">
        <f>IFERROR(D8-D7,"")</f>
        <v>-4.3000000000000007</v>
      </c>
      <c r="E11" s="100">
        <f>IFERROR(F11*SQRT(C7),"")</f>
        <v>5.4589376255824718</v>
      </c>
      <c r="F11" s="100">
        <f>IFERROR(SQRT(F7^2+F8^2-2*C11*F7*F8),"")</f>
        <v>1.2206555615733701</v>
      </c>
      <c r="G11" s="100">
        <f>IFERROR(D11-TINV(1-$H$4/100,G44)*F11,"")</f>
        <v>-6.8548614525203462</v>
      </c>
      <c r="H11" s="100">
        <f>IFERROR(D11+TINV(1-$H$4/100,G44)*F11,"")</f>
        <v>-1.7451385474796548</v>
      </c>
      <c r="K11" s="107" t="str">
        <f>B11</f>
        <v>Difference</v>
      </c>
      <c r="L11" s="22">
        <f>IFERROR(D11/SQRT((E7^2+E8^2)/2),"")</f>
        <v>-0.80177068452151434</v>
      </c>
      <c r="M11" s="22">
        <f>IFERROR((1-3/(4*N11-1))*L11,"")</f>
        <v>-0.7696998571406537</v>
      </c>
      <c r="N11" s="43">
        <f>G44</f>
        <v>19</v>
      </c>
      <c r="O11" s="29">
        <f>IFERROR(SQRT((1/C7)+((L11^2)/(2*C7))*2*(1-C11)),"")</f>
        <v>0.25747023190678103</v>
      </c>
      <c r="P11" s="29">
        <f>IFERROR(Y19*SQRT(1/C7),"")</f>
        <v>-1.281342333669486</v>
      </c>
      <c r="Q11" s="29">
        <f>IFERROR(Z19*SQRT(1/C7),"")</f>
        <v>-0.27347204283777699</v>
      </c>
    </row>
    <row r="12" spans="2:26" x14ac:dyDescent="0.3">
      <c r="B12" s="9"/>
      <c r="C12" s="9"/>
      <c r="D12" s="9"/>
      <c r="E12" s="9"/>
      <c r="F12" s="9"/>
      <c r="G12" s="9"/>
      <c r="H12" s="9"/>
      <c r="K12" s="2"/>
      <c r="L12" s="2"/>
      <c r="M12" s="2"/>
      <c r="N12" s="2"/>
      <c r="O12" s="2"/>
      <c r="P12" s="2"/>
      <c r="Q12" s="2"/>
    </row>
    <row r="14" spans="2:26" ht="15.6" x14ac:dyDescent="0.3">
      <c r="B14" s="46" t="s">
        <v>112</v>
      </c>
      <c r="G14" s="12" t="s">
        <v>108</v>
      </c>
      <c r="H14" s="106">
        <v>5</v>
      </c>
      <c r="K14" s="46" t="s">
        <v>112</v>
      </c>
      <c r="P14" s="12" t="s">
        <v>108</v>
      </c>
      <c r="Q14" s="106">
        <v>0.5</v>
      </c>
      <c r="T14" s="7" t="s">
        <v>21</v>
      </c>
    </row>
    <row r="15" spans="2:26" ht="15" thickBot="1" x14ac:dyDescent="0.35">
      <c r="B15" s="28"/>
      <c r="C15" s="28"/>
      <c r="D15" s="28"/>
      <c r="E15" s="28"/>
      <c r="K15" s="28"/>
      <c r="L15" s="28"/>
      <c r="M15" s="28"/>
      <c r="N15" s="28"/>
    </row>
    <row r="16" spans="2:26" ht="15" thickBot="1" x14ac:dyDescent="0.35">
      <c r="B16" s="97" t="s">
        <v>76</v>
      </c>
      <c r="C16" s="84"/>
      <c r="D16" s="84"/>
      <c r="E16" s="84"/>
      <c r="F16" s="97" t="s">
        <v>105</v>
      </c>
      <c r="G16" s="84"/>
      <c r="H16" s="96">
        <f>IF(H14="",H32,H14)</f>
        <v>5</v>
      </c>
      <c r="J16" s="96"/>
      <c r="K16" s="97" t="s">
        <v>76</v>
      </c>
      <c r="L16" s="84"/>
      <c r="M16" s="84"/>
      <c r="N16" s="84"/>
      <c r="O16" s="97" t="s">
        <v>105</v>
      </c>
      <c r="P16" s="84"/>
      <c r="Q16" s="96">
        <f>IF(Q14="",Q32,Q14)</f>
        <v>0.5</v>
      </c>
      <c r="T16" s="63" t="s">
        <v>10</v>
      </c>
      <c r="U16" s="63" t="s">
        <v>11</v>
      </c>
      <c r="V16" s="63" t="s">
        <v>12</v>
      </c>
      <c r="W16" s="63" t="s">
        <v>13</v>
      </c>
      <c r="X16" s="63" t="s">
        <v>70</v>
      </c>
      <c r="Y16" s="63" t="s">
        <v>19</v>
      </c>
      <c r="Z16" s="63" t="s">
        <v>20</v>
      </c>
    </row>
    <row r="17" spans="2:26" x14ac:dyDescent="0.3">
      <c r="B17" s="32" t="s">
        <v>0</v>
      </c>
      <c r="C17" s="32" t="s">
        <v>75</v>
      </c>
      <c r="D17" s="32" t="s">
        <v>77</v>
      </c>
      <c r="E17" s="84"/>
      <c r="F17" s="96" t="s">
        <v>33</v>
      </c>
      <c r="G17" s="96" t="s">
        <v>75</v>
      </c>
      <c r="H17" s="96" t="s">
        <v>77</v>
      </c>
      <c r="J17" s="96"/>
      <c r="K17" s="32" t="s">
        <v>0</v>
      </c>
      <c r="L17" s="32" t="s">
        <v>75</v>
      </c>
      <c r="M17" s="32" t="s">
        <v>77</v>
      </c>
      <c r="N17" s="84"/>
      <c r="O17" s="96" t="s">
        <v>33</v>
      </c>
      <c r="P17" s="96" t="s">
        <v>75</v>
      </c>
      <c r="Q17" s="96" t="s">
        <v>77</v>
      </c>
      <c r="S17" s="108"/>
      <c r="T17" s="27">
        <f>EXP(((LN(2)-LN(G40))/2)+GAMMALN((G40+1)/2)-GAMMALN(G40/2))</f>
        <v>0.98693426752465663</v>
      </c>
      <c r="U17" s="27">
        <f>T17*F40</f>
        <v>3.3369114351693367</v>
      </c>
      <c r="V17" s="27">
        <f>1+(F40^2)*(1-T17^2)</f>
        <v>1.2967769484879601</v>
      </c>
      <c r="W17" s="27">
        <f>(2*U17^3)-((2*G40-1)/G40)*(F40^2*U17)</f>
        <v>2.7087085648503262E-2</v>
      </c>
      <c r="X17" s="12">
        <f>W17/SQRT(V17)^3</f>
        <v>1.8342746249173213E-2</v>
      </c>
      <c r="Y17" s="28">
        <f t="shared" ref="Y17:Z19" si="2">IF($X17&lt;0.001,Y27,Y22)</f>
        <v>1.1148890811973757</v>
      </c>
      <c r="Z17" s="28">
        <f t="shared" si="2"/>
        <v>5.5787178064938132</v>
      </c>
    </row>
    <row r="18" spans="2:26" x14ac:dyDescent="0.3">
      <c r="B18" s="32">
        <v>1.1000000000000001</v>
      </c>
      <c r="C18" s="96">
        <f>IF(H7="",NA(),H7)</f>
        <v>25.828539153002382</v>
      </c>
      <c r="D18" s="96">
        <f t="shared" ref="D18:D23" si="3">C18</f>
        <v>25.828539153002382</v>
      </c>
      <c r="E18" s="84"/>
      <c r="F18" s="96">
        <v>3.15</v>
      </c>
      <c r="G18" s="96" t="e">
        <f>IF(G19&gt;$F$31,NA(),G19+$H$16)</f>
        <v>#N/A</v>
      </c>
      <c r="H18" s="96" t="e">
        <f t="shared" ref="H18:H21" si="4">G18-$G$23</f>
        <v>#N/A</v>
      </c>
      <c r="I18" s="101"/>
      <c r="J18" s="96"/>
      <c r="K18" s="32">
        <v>1.1000000000000001</v>
      </c>
      <c r="L18" s="96">
        <f>IF(Q7="",NA(),Q7)</f>
        <v>1.2474392242608683</v>
      </c>
      <c r="M18" s="96">
        <f t="shared" ref="M18:M23" si="5">L18</f>
        <v>1.2474392242608683</v>
      </c>
      <c r="N18" s="84"/>
      <c r="O18" s="96">
        <v>3.15</v>
      </c>
      <c r="P18" s="96" t="e">
        <f>IF(P19&gt;$O$31,NA(),P19+$Q$16)</f>
        <v>#N/A</v>
      </c>
      <c r="Q18" s="96" t="e">
        <f t="shared" ref="Q18:Q28" si="6">P18-$P$23</f>
        <v>#N/A</v>
      </c>
      <c r="R18" s="101"/>
      <c r="T18" s="29">
        <f>EXP(((LN(2)-LN(G41))/2)+GAMMALN((G41+1)/2)-GAMMALN(G41/2))</f>
        <v>0.98693426752465663</v>
      </c>
      <c r="U18" s="29">
        <f>T18*F41</f>
        <v>-0.52333945592628084</v>
      </c>
      <c r="V18" s="29">
        <f>1+(F41^2)*(1-T18^2)</f>
        <v>1.0072997462175068</v>
      </c>
      <c r="W18" s="29">
        <f>(2*U18^3)-((2*G41-1)/G41)*(F41^2*U18)</f>
        <v>-1.0449094960462979E-4</v>
      </c>
      <c r="X18" s="12">
        <f>W18/SQRT(V18)^3</f>
        <v>-1.0335716517702389E-4</v>
      </c>
      <c r="Y18" s="28">
        <f t="shared" si="2"/>
        <v>-2.4904440528377401</v>
      </c>
      <c r="Z18" s="28">
        <f t="shared" si="2"/>
        <v>1.4437651409851782</v>
      </c>
    </row>
    <row r="19" spans="2:26" ht="15" thickBot="1" x14ac:dyDescent="0.35">
      <c r="B19" s="32">
        <v>1.1000000000000001</v>
      </c>
      <c r="C19" s="96">
        <f>IF(D7="",NA(),D7)</f>
        <v>23.6</v>
      </c>
      <c r="D19" s="96">
        <f t="shared" si="3"/>
        <v>23.6</v>
      </c>
      <c r="E19" s="84"/>
      <c r="F19" s="96">
        <v>3.15</v>
      </c>
      <c r="G19" s="96" t="e">
        <f>IF(G20&gt;$F$31,NA(),G20+$H$16)</f>
        <v>#N/A</v>
      </c>
      <c r="H19" s="96" t="e">
        <f t="shared" si="4"/>
        <v>#N/A</v>
      </c>
      <c r="I19" s="101"/>
      <c r="J19" s="96"/>
      <c r="K19" s="32">
        <v>1.1000000000000001</v>
      </c>
      <c r="L19" s="96">
        <f>IF(M7="",NA(),M7)</f>
        <v>0.7257928524199978</v>
      </c>
      <c r="M19" s="96">
        <f t="shared" si="5"/>
        <v>0.7257928524199978</v>
      </c>
      <c r="N19" s="84"/>
      <c r="O19" s="96">
        <v>3.15</v>
      </c>
      <c r="P19" s="96" t="e">
        <f>IF(P20&gt;$O$31,NA(),P20+$Q$16)</f>
        <v>#N/A</v>
      </c>
      <c r="Q19" s="96" t="e">
        <f t="shared" si="6"/>
        <v>#N/A</v>
      </c>
      <c r="R19" s="101"/>
      <c r="T19" s="29">
        <f>EXP(((LN(2)-LN(G44))/2)+GAMMALN((G44+1)/2)-GAMMALN(G44/2))</f>
        <v>0.98693426752465663</v>
      </c>
      <c r="U19" s="29">
        <f>T19*F44</f>
        <v>-3.4766706382641921</v>
      </c>
      <c r="V19" s="29">
        <f>1+(F44^2)*(1-T19^2)</f>
        <v>1.3221572461860276</v>
      </c>
      <c r="W19" s="29">
        <f>(2*U19^3)-((2*G44-1)/G44)*(F44^2*U19)</f>
        <v>-3.0635070901936956E-2</v>
      </c>
      <c r="X19" s="12">
        <f>W19/SQRT(V19)^3</f>
        <v>-2.0150889685283984E-2</v>
      </c>
      <c r="Y19" s="28">
        <f t="shared" si="2"/>
        <v>-5.7303371210663769</v>
      </c>
      <c r="Z19" s="28">
        <f t="shared" si="2"/>
        <v>-1.2230041554620077</v>
      </c>
    </row>
    <row r="20" spans="2:26" ht="15" thickBot="1" x14ac:dyDescent="0.35">
      <c r="B20" s="32">
        <v>1.1000000000000001</v>
      </c>
      <c r="C20" s="96">
        <f>IF(G7="",NA(),G7)</f>
        <v>21.371460846997621</v>
      </c>
      <c r="D20" s="96">
        <f t="shared" si="3"/>
        <v>21.371460846997621</v>
      </c>
      <c r="E20" s="84"/>
      <c r="F20" s="96">
        <v>3.15</v>
      </c>
      <c r="G20" s="96" t="e">
        <f t="shared" ref="G20:G22" si="7">IF(G21&gt;$F$31,NA(),G21+$H$16)</f>
        <v>#N/A</v>
      </c>
      <c r="H20" s="96" t="e">
        <f t="shared" si="4"/>
        <v>#N/A</v>
      </c>
      <c r="I20" s="96"/>
      <c r="J20" s="96"/>
      <c r="K20" s="32">
        <v>1.1000000000000001</v>
      </c>
      <c r="L20" s="96">
        <f>IF(P7="",NA(),P7)</f>
        <v>0.24929677729296146</v>
      </c>
      <c r="M20" s="96">
        <f t="shared" si="5"/>
        <v>0.24929677729296146</v>
      </c>
      <c r="N20" s="84"/>
      <c r="O20" s="96">
        <v>3.15</v>
      </c>
      <c r="P20" s="96" t="e">
        <f>IF(P21&gt;$O$31,NA(),P21+$Q$16)</f>
        <v>#N/A</v>
      </c>
      <c r="Q20" s="96" t="e">
        <f t="shared" si="6"/>
        <v>#N/A</v>
      </c>
      <c r="R20" s="96"/>
      <c r="T20" s="79"/>
      <c r="U20" s="79"/>
      <c r="V20" s="79"/>
      <c r="W20" s="79"/>
      <c r="X20" s="79"/>
      <c r="Y20" s="79"/>
      <c r="Z20" s="79"/>
    </row>
    <row r="21" spans="2:26" ht="15" thickBot="1" x14ac:dyDescent="0.35">
      <c r="B21" s="32">
        <v>2.1</v>
      </c>
      <c r="C21" s="96">
        <f>IF(H8="",NA(),H8)</f>
        <v>22.062975344320204</v>
      </c>
      <c r="D21" s="96">
        <f t="shared" si="3"/>
        <v>22.062975344320204</v>
      </c>
      <c r="E21" s="84"/>
      <c r="F21" s="96">
        <v>3.15</v>
      </c>
      <c r="G21" s="96" t="e">
        <f t="shared" si="7"/>
        <v>#N/A</v>
      </c>
      <c r="H21" s="96" t="e">
        <f t="shared" si="4"/>
        <v>#N/A</v>
      </c>
      <c r="I21" s="96"/>
      <c r="J21" s="96"/>
      <c r="K21" s="32">
        <v>2.1</v>
      </c>
      <c r="L21" s="96">
        <f>IF(Q8="",NA(),Q8)</f>
        <v>0.32283569987874261</v>
      </c>
      <c r="M21" s="96">
        <f t="shared" si="5"/>
        <v>0.32283569987874261</v>
      </c>
      <c r="N21" s="84"/>
      <c r="O21" s="96">
        <v>3.15</v>
      </c>
      <c r="P21" s="96">
        <f>IF(P22&gt;$O$31,NA(),P22+$Q$16)</f>
        <v>1.7257928524199979</v>
      </c>
      <c r="Q21" s="96">
        <f t="shared" si="6"/>
        <v>1</v>
      </c>
      <c r="R21" s="96"/>
      <c r="T21" s="63" t="s">
        <v>14</v>
      </c>
      <c r="U21" s="63" t="s">
        <v>15</v>
      </c>
      <c r="V21" s="63" t="s">
        <v>16</v>
      </c>
      <c r="W21" s="63" t="s">
        <v>17</v>
      </c>
      <c r="X21" s="63" t="s">
        <v>18</v>
      </c>
      <c r="Y21" s="63" t="s">
        <v>19</v>
      </c>
      <c r="Z21" s="63" t="s">
        <v>20</v>
      </c>
    </row>
    <row r="22" spans="2:26" x14ac:dyDescent="0.3">
      <c r="B22" s="32">
        <v>2.1</v>
      </c>
      <c r="C22" s="96">
        <f>IF(D8="",NA(),D8)</f>
        <v>19.3</v>
      </c>
      <c r="D22" s="96">
        <f t="shared" si="3"/>
        <v>19.3</v>
      </c>
      <c r="E22" s="84"/>
      <c r="F22" s="96">
        <v>3.15</v>
      </c>
      <c r="G22" s="96">
        <f t="shared" si="7"/>
        <v>28.6</v>
      </c>
      <c r="H22" s="96">
        <f>G22-$G$23</f>
        <v>5</v>
      </c>
      <c r="I22" s="96"/>
      <c r="J22" s="96"/>
      <c r="K22" s="32">
        <v>2.1</v>
      </c>
      <c r="L22" s="96">
        <f>IF(M8="",NA(),M8)</f>
        <v>-0.11382862382782713</v>
      </c>
      <c r="M22" s="96">
        <f t="shared" si="5"/>
        <v>-0.11382862382782713</v>
      </c>
      <c r="N22" s="84"/>
      <c r="O22" s="96">
        <v>3.15</v>
      </c>
      <c r="P22" s="96">
        <f>IF(P23&gt;$O$31,NA(),P23+$Q$16)</f>
        <v>1.2257928524199979</v>
      </c>
      <c r="Q22" s="96">
        <f t="shared" si="6"/>
        <v>0.50000000000000011</v>
      </c>
      <c r="R22" s="96"/>
      <c r="T22" s="27">
        <f>W17/(4*V17)</f>
        <v>5.2220016865827928E-3</v>
      </c>
      <c r="U22" s="27">
        <f>V17/(2*T22^2)</f>
        <v>23777.230653207636</v>
      </c>
      <c r="V22" s="27">
        <f>U17-(U22*T22)</f>
        <v>-120.82782713814902</v>
      </c>
      <c r="W22" s="27">
        <f>2*GAMMAINV((1-$Q$4/100)/2,U22/2,1)</f>
        <v>23351.719041504955</v>
      </c>
      <c r="X22" s="27">
        <f>2*GAMMAINV(1-(1-$Q$4/100)/2,U22/2,1)</f>
        <v>24206.530853758028</v>
      </c>
      <c r="Y22" s="27">
        <f>IF(F40&gt;0,V22+(T22*W22),V22+(T22*X22))</f>
        <v>1.1148890811973757</v>
      </c>
      <c r="Z22" s="27">
        <f>IF(F40&gt;0,V22+(T22*X22),V22+(T22*W22))</f>
        <v>5.5787178064938132</v>
      </c>
    </row>
    <row r="23" spans="2:26" x14ac:dyDescent="0.3">
      <c r="B23" s="32">
        <v>2.1</v>
      </c>
      <c r="C23" s="96">
        <f>IF(G8="",NA(),G8)</f>
        <v>16.537024655679797</v>
      </c>
      <c r="D23" s="96">
        <f t="shared" si="3"/>
        <v>16.537024655679797</v>
      </c>
      <c r="E23" s="84"/>
      <c r="F23" s="96">
        <v>3.15</v>
      </c>
      <c r="G23" s="96">
        <f>C19</f>
        <v>23.6</v>
      </c>
      <c r="H23" s="96">
        <f>G23-$G$23</f>
        <v>0</v>
      </c>
      <c r="K23" s="32">
        <v>2.1</v>
      </c>
      <c r="L23" s="96">
        <f>IF(P8="",NA(),P8)</f>
        <v>-0.55688021963052647</v>
      </c>
      <c r="M23" s="96">
        <f t="shared" si="5"/>
        <v>-0.55688021963052647</v>
      </c>
      <c r="N23" s="84"/>
      <c r="O23" s="96">
        <v>3.15</v>
      </c>
      <c r="P23" s="96">
        <f>L19</f>
        <v>0.7257928524199978</v>
      </c>
      <c r="Q23" s="96">
        <f t="shared" si="6"/>
        <v>0</v>
      </c>
      <c r="T23" s="29">
        <f>W18/(4*V18)</f>
        <v>-2.5933429944016635E-5</v>
      </c>
      <c r="U23" s="29">
        <f>V18/(2*T23^2)</f>
        <v>748874096.34014821</v>
      </c>
      <c r="V23" s="29">
        <f>U18-(U23*T23)</f>
        <v>19420.350574870074</v>
      </c>
      <c r="W23" s="29">
        <f>2*GAMMAINV((1-$Q$4/100)/2,U23/2,1)</f>
        <v>748798246.15469849</v>
      </c>
      <c r="X23" s="29">
        <f>2*GAMMAINV(1-(1-$Q$4/100)/2,U23/2,1)</f>
        <v>748949950.3142097</v>
      </c>
      <c r="Y23" s="29">
        <f>IF(F41&gt;0,V23+(T23*W23),V23+(T23*X23))</f>
        <v>-2.4904931782220956</v>
      </c>
      <c r="Z23" s="29">
        <f>IF(F41&gt;0,V23+(T23*X23),V23+(T23*W23))</f>
        <v>1.443716014677193</v>
      </c>
    </row>
    <row r="24" spans="2:26" ht="15" thickBot="1" x14ac:dyDescent="0.35">
      <c r="B24" s="32">
        <v>2.75</v>
      </c>
      <c r="C24" s="96">
        <f>IF(H11="",NA(),H11+C25-$D$11)</f>
        <v>21.854861452520346</v>
      </c>
      <c r="D24" s="96">
        <f>H11</f>
        <v>-1.7451385474796548</v>
      </c>
      <c r="E24" s="84"/>
      <c r="F24" s="96">
        <v>3.15</v>
      </c>
      <c r="G24" s="96">
        <f>IF(G23&lt;$F$32,NA(),G23-$H$16)</f>
        <v>18.600000000000001</v>
      </c>
      <c r="H24" s="96">
        <f>G24-$G$23</f>
        <v>-5</v>
      </c>
      <c r="K24" s="32">
        <v>2.75</v>
      </c>
      <c r="L24" s="96">
        <f>IF(Q11="",NA(),Q11+L25-M11)</f>
        <v>0.38239919047504956</v>
      </c>
      <c r="M24" s="96">
        <f>Q11</f>
        <v>-0.27347204283777699</v>
      </c>
      <c r="N24" s="109"/>
      <c r="O24" s="96">
        <v>3.15</v>
      </c>
      <c r="P24" s="96">
        <f>IF(P23&lt;$O$32,NA(),P23-$Q$16)</f>
        <v>0.2257928524199978</v>
      </c>
      <c r="Q24" s="96">
        <f t="shared" si="6"/>
        <v>-0.5</v>
      </c>
      <c r="T24" s="29">
        <f>W19/(4*V19)</f>
        <v>-5.7926299973601247E-3</v>
      </c>
      <c r="U24" s="29">
        <f>V19/(2*T24^2)</f>
        <v>19701.601750966769</v>
      </c>
      <c r="V24" s="29">
        <f>U19-(U24*T24)</f>
        <v>110.64741866042867</v>
      </c>
      <c r="W24" s="29">
        <f>2*GAMMAINV((1-$Q$4/100)/2,U24/2,1)</f>
        <v>19314.441949852859</v>
      </c>
      <c r="X24" s="29">
        <f>2*GAMMAINV(1-(1-$Q$4/100)/2,U24/2,1)</f>
        <v>20092.550136188212</v>
      </c>
      <c r="Y24" s="29">
        <f>IF(F44&gt;0,V24+(T24*W24),V24+(T24*X24))</f>
        <v>-5.7412899819174328</v>
      </c>
      <c r="Z24" s="29">
        <f>IF(F44&gt;0,V24+(T24*X24),V24+(T24*W24))</f>
        <v>-1.233997160559781</v>
      </c>
    </row>
    <row r="25" spans="2:26" ht="15" thickBot="1" x14ac:dyDescent="0.35">
      <c r="B25" s="32">
        <v>2.75</v>
      </c>
      <c r="C25" s="96">
        <f>IF(D11="",NA(),C22)</f>
        <v>19.3</v>
      </c>
      <c r="D25" s="96">
        <f>D11</f>
        <v>-4.3000000000000007</v>
      </c>
      <c r="E25" s="84"/>
      <c r="F25" s="96">
        <v>3.15</v>
      </c>
      <c r="G25" s="96">
        <f t="shared" ref="G25:G28" si="8">IF(G24&lt;$F$32,NA(),G24-$H$16)</f>
        <v>13.600000000000001</v>
      </c>
      <c r="H25" s="96">
        <f t="shared" ref="H25:H28" si="9">G25-$G$23</f>
        <v>-10</v>
      </c>
      <c r="K25" s="32">
        <v>2.75</v>
      </c>
      <c r="L25" s="96">
        <f>IF(M11="",NA(),L22)</f>
        <v>-0.11382862382782713</v>
      </c>
      <c r="M25" s="96">
        <f>M11</f>
        <v>-0.7696998571406537</v>
      </c>
      <c r="N25" s="109"/>
      <c r="O25" s="96">
        <v>3.15</v>
      </c>
      <c r="P25" s="96">
        <f>IF(P24&lt;$O$32,NA(),P24-$Q$16)</f>
        <v>-0.2742071475800022</v>
      </c>
      <c r="Q25" s="96">
        <f t="shared" si="6"/>
        <v>-1</v>
      </c>
      <c r="T25" s="9"/>
      <c r="U25" s="9"/>
      <c r="V25" s="9"/>
      <c r="W25" s="9"/>
      <c r="X25" s="9"/>
      <c r="Y25" s="9"/>
      <c r="Z25" s="9"/>
    </row>
    <row r="26" spans="2:26" ht="15" thickBot="1" x14ac:dyDescent="0.35">
      <c r="B26" s="32">
        <v>2.75</v>
      </c>
      <c r="C26" s="96">
        <f>IF(G11="",NA(),G11+C25-$D$11)</f>
        <v>16.745138547479655</v>
      </c>
      <c r="D26" s="96">
        <f>G11</f>
        <v>-6.8548614525203462</v>
      </c>
      <c r="E26" s="84"/>
      <c r="F26" s="96">
        <v>3.15</v>
      </c>
      <c r="G26" s="96" t="e">
        <f t="shared" si="8"/>
        <v>#N/A</v>
      </c>
      <c r="H26" s="96" t="e">
        <f t="shared" si="9"/>
        <v>#N/A</v>
      </c>
      <c r="K26" s="32">
        <v>2.75</v>
      </c>
      <c r="L26" s="96">
        <f>IF(P11="",NA(),P11+L25-M11)</f>
        <v>-0.62547110035665954</v>
      </c>
      <c r="M26" s="96">
        <f>P11</f>
        <v>-1.281342333669486</v>
      </c>
      <c r="N26" s="84"/>
      <c r="O26" s="96">
        <v>3.15</v>
      </c>
      <c r="P26" s="96">
        <f>IF(P25&lt;$O$32,NA(),P25-$Q$16)</f>
        <v>-0.7742071475800022</v>
      </c>
      <c r="Q26" s="96">
        <f t="shared" si="6"/>
        <v>-1.5</v>
      </c>
      <c r="V26" s="63" t="s">
        <v>71</v>
      </c>
      <c r="W26" s="63" t="s">
        <v>72</v>
      </c>
      <c r="X26" s="63" t="s">
        <v>73</v>
      </c>
      <c r="Y26" s="63" t="s">
        <v>19</v>
      </c>
      <c r="Z26" s="63" t="s">
        <v>20</v>
      </c>
    </row>
    <row r="27" spans="2:26" x14ac:dyDescent="0.3">
      <c r="B27" s="84"/>
      <c r="C27" s="96"/>
      <c r="D27" s="96"/>
      <c r="E27" s="84"/>
      <c r="F27" s="96">
        <v>3.15</v>
      </c>
      <c r="G27" s="96" t="e">
        <f t="shared" si="8"/>
        <v>#N/A</v>
      </c>
      <c r="H27" s="96" t="e">
        <f t="shared" si="9"/>
        <v>#N/A</v>
      </c>
      <c r="K27" s="84"/>
      <c r="L27" s="96"/>
      <c r="M27" s="96"/>
      <c r="N27" s="84"/>
      <c r="O27" s="96">
        <v>3.15</v>
      </c>
      <c r="P27" s="96" t="e">
        <f>IF(P26&lt;$O$32,NA(),P26-$Q$16)</f>
        <v>#N/A</v>
      </c>
      <c r="Q27" s="96" t="e">
        <f t="shared" si="6"/>
        <v>#N/A</v>
      </c>
      <c r="V27" s="28">
        <f>SQRT(V17)</f>
        <v>1.1387611463726535</v>
      </c>
      <c r="W27" s="28">
        <f>NORMINV((1-$Q$4/100)/2,0,1)</f>
        <v>-1.9599639845400536</v>
      </c>
      <c r="X27" s="28">
        <f>NORMINV(1-(1-$Q$4/100)/2,0,1)</f>
        <v>1.9599639845400536</v>
      </c>
      <c r="Y27" s="28">
        <f>U17+W27*V27</f>
        <v>1.1049806012853916</v>
      </c>
      <c r="Z27" s="28">
        <f>U17+X27*V27</f>
        <v>5.5688422690532819</v>
      </c>
    </row>
    <row r="28" spans="2:26" x14ac:dyDescent="0.3">
      <c r="B28" s="84"/>
      <c r="C28" s="84"/>
      <c r="D28" s="96"/>
      <c r="E28" s="84"/>
      <c r="F28" s="96">
        <v>3.15</v>
      </c>
      <c r="G28" s="96" t="e">
        <f t="shared" si="8"/>
        <v>#N/A</v>
      </c>
      <c r="H28" s="96" t="e">
        <f t="shared" si="9"/>
        <v>#N/A</v>
      </c>
      <c r="I28" s="96"/>
      <c r="J28" s="96"/>
      <c r="K28" s="84"/>
      <c r="L28" s="84"/>
      <c r="M28" s="96"/>
      <c r="N28" s="84"/>
      <c r="O28" s="96">
        <v>3.15</v>
      </c>
      <c r="P28" s="96" t="e">
        <f>IF(P27&lt;$O$32,NA(),P27-$Q$16)</f>
        <v>#N/A</v>
      </c>
      <c r="Q28" s="96" t="e">
        <f t="shared" si="6"/>
        <v>#N/A</v>
      </c>
      <c r="R28" s="96"/>
      <c r="V28" s="28">
        <f>SQRT(V18)</f>
        <v>1.0036432365225738</v>
      </c>
      <c r="W28" s="28">
        <f>NORMINV((1-$Q$4/100)/2,0,1)</f>
        <v>-1.9599639845400536</v>
      </c>
      <c r="X28" s="28">
        <f>NORMINV(1-(1-$Q$4/100)/2,0,1)</f>
        <v>1.9599639845400536</v>
      </c>
      <c r="Y28" s="28">
        <f>U18+W28*V28</f>
        <v>-2.4904440528377401</v>
      </c>
      <c r="Z28" s="28">
        <f>U18+X28*V28</f>
        <v>1.4437651409851782</v>
      </c>
    </row>
    <row r="29" spans="2:26" ht="15" thickBot="1" x14ac:dyDescent="0.35">
      <c r="B29" s="84"/>
      <c r="C29" s="84"/>
      <c r="D29" s="96"/>
      <c r="E29" s="84"/>
      <c r="F29" s="84"/>
      <c r="G29" s="84"/>
      <c r="H29" s="84"/>
      <c r="K29" s="84"/>
      <c r="L29" s="84"/>
      <c r="M29" s="96"/>
      <c r="N29" s="84"/>
      <c r="O29" s="84"/>
      <c r="P29" s="84"/>
      <c r="Q29" s="84"/>
      <c r="V29" s="28">
        <f>SQRT(V19)</f>
        <v>1.1498509669457289</v>
      </c>
      <c r="W29" s="28">
        <f>NORMINV((1-$Q$4/100)/2,0,1)</f>
        <v>-1.9599639845400536</v>
      </c>
      <c r="X29" s="28">
        <f>NORMINV(1-(1-$Q$4/100)/2,0,1)</f>
        <v>1.9599639845400536</v>
      </c>
      <c r="Y29" s="28">
        <f>U19+W29*V29</f>
        <v>-5.7303371210663769</v>
      </c>
      <c r="Z29" s="28">
        <f>U19+X29*V29</f>
        <v>-1.2230041554620077</v>
      </c>
    </row>
    <row r="30" spans="2:26" x14ac:dyDescent="0.3">
      <c r="B30" s="105" t="s">
        <v>106</v>
      </c>
      <c r="C30" s="84"/>
      <c r="D30" s="84"/>
      <c r="E30" s="84"/>
      <c r="F30" s="84" t="s">
        <v>107</v>
      </c>
      <c r="G30" s="84"/>
      <c r="H30" s="84"/>
      <c r="K30" s="105" t="s">
        <v>106</v>
      </c>
      <c r="L30" s="84"/>
      <c r="M30" s="84"/>
      <c r="N30" s="84"/>
      <c r="O30" s="84" t="s">
        <v>107</v>
      </c>
      <c r="P30" s="84"/>
      <c r="Q30" s="84"/>
      <c r="V30" s="9"/>
      <c r="W30" s="9"/>
      <c r="X30" s="9"/>
      <c r="Y30" s="9"/>
      <c r="Z30" s="9"/>
    </row>
    <row r="31" spans="2:26" x14ac:dyDescent="0.3">
      <c r="B31" s="32">
        <v>1.1000000000000001</v>
      </c>
      <c r="C31" s="96">
        <f>C19</f>
        <v>23.6</v>
      </c>
      <c r="D31" s="32">
        <v>2.1</v>
      </c>
      <c r="E31" s="96">
        <f>C22</f>
        <v>19.3</v>
      </c>
      <c r="F31" s="96">
        <f>MAX(C18:C26)</f>
        <v>25.828539153002382</v>
      </c>
      <c r="G31" s="96">
        <f>IF(F31-F32=0,1,F31-F32)</f>
        <v>9.2915144973225843</v>
      </c>
      <c r="H31" s="96">
        <f>ROUNDUP(G31/G32,0)</f>
        <v>10</v>
      </c>
      <c r="K31" s="32">
        <v>1.1000000000000001</v>
      </c>
      <c r="L31" s="96">
        <f>L19</f>
        <v>0.7257928524199978</v>
      </c>
      <c r="M31" s="32">
        <v>2.1</v>
      </c>
      <c r="N31" s="96">
        <f>L22</f>
        <v>-0.11382862382782713</v>
      </c>
      <c r="O31" s="96">
        <f>MAX(L$18:L$26)</f>
        <v>1.2474392242608683</v>
      </c>
      <c r="P31" s="96">
        <f>IF(O31-O32=0,1,O31-O32)</f>
        <v>1.8729103246175278</v>
      </c>
      <c r="Q31" s="96">
        <f>ROUNDUP(P31/P32,0)</f>
        <v>2</v>
      </c>
    </row>
    <row r="32" spans="2:26" x14ac:dyDescent="0.3">
      <c r="B32" s="32">
        <v>3.15</v>
      </c>
      <c r="C32" s="96">
        <f>C19</f>
        <v>23.6</v>
      </c>
      <c r="D32" s="32">
        <v>3.15</v>
      </c>
      <c r="E32" s="96">
        <f>C22</f>
        <v>19.3</v>
      </c>
      <c r="F32" s="96">
        <f>MIN(C18:C26)</f>
        <v>16.537024655679797</v>
      </c>
      <c r="G32" s="96">
        <f>POWER(10,INT(LOG10(G31)))</f>
        <v>1</v>
      </c>
      <c r="H32" s="96">
        <f>CHOOSE(H31,10,5,5,2,2,2,2,1,1,1)</f>
        <v>1</v>
      </c>
      <c r="K32" s="32">
        <v>3.15</v>
      </c>
      <c r="L32" s="96">
        <f>L19</f>
        <v>0.7257928524199978</v>
      </c>
      <c r="M32" s="32">
        <v>3.15</v>
      </c>
      <c r="N32" s="96">
        <f>L22</f>
        <v>-0.11382862382782713</v>
      </c>
      <c r="O32" s="96">
        <f>MIN(L$18:L$26)</f>
        <v>-0.62547110035665954</v>
      </c>
      <c r="P32" s="96">
        <f>POWER(10,INT(LOG10(P31)))</f>
        <v>1</v>
      </c>
      <c r="Q32" s="96">
        <f>CHOOSE(Q31,1,0.5,0.5,0.2,0.2,0.2,0.2,0.1,0.1,0.1)</f>
        <v>0.5</v>
      </c>
    </row>
    <row r="33" spans="2:17" x14ac:dyDescent="0.3">
      <c r="B33" s="32"/>
      <c r="C33" s="96"/>
      <c r="D33" s="32"/>
      <c r="E33" s="96"/>
      <c r="F33" s="84"/>
      <c r="G33" s="84"/>
      <c r="H33" s="84"/>
      <c r="K33" s="32"/>
      <c r="L33" s="96"/>
      <c r="M33" s="32"/>
      <c r="N33" s="96"/>
      <c r="O33" s="84"/>
      <c r="P33" s="84"/>
      <c r="Q33" s="84"/>
    </row>
    <row r="34" spans="2:17" x14ac:dyDescent="0.3">
      <c r="B34" s="32"/>
      <c r="C34" s="96"/>
      <c r="D34" s="32"/>
      <c r="E34" s="96"/>
      <c r="F34" s="84"/>
      <c r="G34" s="84"/>
      <c r="H34" s="84"/>
      <c r="K34" s="32"/>
      <c r="L34" s="96"/>
      <c r="M34" s="32"/>
      <c r="N34" s="96"/>
      <c r="O34" s="96">
        <f>MAX($C$18:$C$26)</f>
        <v>25.828539153002382</v>
      </c>
      <c r="P34" s="96">
        <f>IF(O34-O35=0,1,O34-O35)</f>
        <v>9.2915144973225843</v>
      </c>
      <c r="Q34" s="28">
        <f>P34/9</f>
        <v>1.0323904997025093</v>
      </c>
    </row>
    <row r="35" spans="2:17" x14ac:dyDescent="0.3">
      <c r="B35" s="32"/>
      <c r="C35" s="96"/>
      <c r="D35" s="32"/>
      <c r="E35" s="96"/>
      <c r="F35" s="84"/>
      <c r="G35" s="84"/>
      <c r="H35" s="84"/>
      <c r="K35" s="32"/>
      <c r="L35" s="96"/>
      <c r="M35" s="32"/>
      <c r="N35" s="96"/>
      <c r="O35" s="96">
        <f>MIN($C$18:$C$26)</f>
        <v>16.537024655679797</v>
      </c>
      <c r="P35" s="28">
        <f>O34+P34/20</f>
        <v>26.293114877868511</v>
      </c>
      <c r="Q35" s="28">
        <f>ROUNDUP(Q34,0)</f>
        <v>2</v>
      </c>
    </row>
    <row r="36" spans="2:17" x14ac:dyDescent="0.3">
      <c r="B36" s="32"/>
      <c r="C36" s="96"/>
      <c r="D36" s="32"/>
      <c r="E36" s="96"/>
      <c r="F36" s="84"/>
      <c r="G36" s="84"/>
      <c r="H36" s="84"/>
      <c r="K36" s="32"/>
      <c r="L36" s="96"/>
      <c r="M36" s="32"/>
      <c r="N36" s="96"/>
      <c r="O36" s="96"/>
      <c r="P36" s="28"/>
      <c r="Q36" s="28"/>
    </row>
    <row r="37" spans="2:17" ht="15.6" x14ac:dyDescent="0.3">
      <c r="B37" s="46" t="s">
        <v>111</v>
      </c>
      <c r="K37" s="46" t="s">
        <v>116</v>
      </c>
      <c r="L37" s="3"/>
      <c r="M37" s="3"/>
      <c r="N37" s="3"/>
      <c r="O37" s="3"/>
      <c r="P37" s="3"/>
      <c r="Q37" s="3"/>
    </row>
    <row r="38" spans="2:17" ht="15" thickBot="1" x14ac:dyDescent="0.35">
      <c r="K38" s="3"/>
      <c r="L38" s="3"/>
      <c r="M38" s="3"/>
      <c r="N38" s="3"/>
      <c r="O38" s="3"/>
      <c r="P38" s="3"/>
      <c r="Q38" s="3"/>
    </row>
    <row r="39" spans="2:17" ht="15" thickBot="1" x14ac:dyDescent="0.35">
      <c r="B39" s="54" t="s">
        <v>63</v>
      </c>
      <c r="C39" s="54" t="s">
        <v>34</v>
      </c>
      <c r="D39" s="54" t="s">
        <v>50</v>
      </c>
      <c r="E39" s="54" t="str">
        <f>F6</f>
        <v>SE</v>
      </c>
      <c r="F39" s="54" t="s">
        <v>9</v>
      </c>
      <c r="G39" s="54" t="s">
        <v>2</v>
      </c>
      <c r="H39" s="54" t="s">
        <v>49</v>
      </c>
      <c r="K39" s="54" t="s">
        <v>63</v>
      </c>
      <c r="L39" s="48" t="s">
        <v>37</v>
      </c>
      <c r="M39" s="3"/>
      <c r="N39" s="3"/>
      <c r="O39" s="3"/>
      <c r="P39" s="3"/>
      <c r="Q39" s="3"/>
    </row>
    <row r="40" spans="2:17" x14ac:dyDescent="0.3">
      <c r="B40" s="56">
        <f>IF(B7="","",B7)</f>
        <v>2</v>
      </c>
      <c r="C40" s="95">
        <v>20</v>
      </c>
      <c r="D40" s="27">
        <f>IFERROR(D7-C40,"")</f>
        <v>3.6000000000000014</v>
      </c>
      <c r="E40" s="27">
        <f>F7</f>
        <v>1.0647460779577043</v>
      </c>
      <c r="F40" s="27">
        <f>IFERROR(D40/F7,"")</f>
        <v>3.3810878241553919</v>
      </c>
      <c r="G40" s="61">
        <f>IF(C7&lt;&gt;"",C7-1,"")</f>
        <v>19</v>
      </c>
      <c r="H40" s="27">
        <f>IFERROR(IF(TDIST(ABS(F40),G40,2)&lt;0.001,"&lt; 0.001",TDIST(ABS(F40),G40,2)),"")</f>
        <v>3.1357285520411116E-3</v>
      </c>
      <c r="K40" s="56">
        <f>K7</f>
        <v>2</v>
      </c>
      <c r="L40" s="66" t="s">
        <v>118</v>
      </c>
      <c r="M40" s="3"/>
      <c r="N40" s="3"/>
      <c r="O40" s="3"/>
      <c r="P40" s="3"/>
      <c r="Q40" s="3"/>
    </row>
    <row r="41" spans="2:17" ht="15" thickBot="1" x14ac:dyDescent="0.35">
      <c r="B41" s="98">
        <f>IF(B8="","",B8)</f>
        <v>1</v>
      </c>
      <c r="C41" s="102">
        <v>20</v>
      </c>
      <c r="D41" s="52">
        <f>IFERROR(D8-C41,"")</f>
        <v>-0.69999999999999929</v>
      </c>
      <c r="E41" s="52">
        <f>F8</f>
        <v>1.3200877163837894</v>
      </c>
      <c r="F41" s="52">
        <f>IFERROR(D41/F8,"")</f>
        <v>-0.53026779305057037</v>
      </c>
      <c r="G41" s="103">
        <f>IF(C8&lt;&gt;"",C8-1,"")</f>
        <v>19</v>
      </c>
      <c r="H41" s="52">
        <f>IFERROR(IF(TDIST(ABS(F41),G41,2)&lt;0.001,"&lt; 0.001",TDIST(ABS(F41),G41,2)),"")</f>
        <v>0.60206921399446045</v>
      </c>
      <c r="K41" s="98">
        <f>K8</f>
        <v>1</v>
      </c>
      <c r="L41" s="67" t="s">
        <v>118</v>
      </c>
      <c r="M41" s="3"/>
      <c r="N41" s="3"/>
      <c r="O41" s="3"/>
      <c r="P41" s="3"/>
      <c r="Q41" s="3"/>
    </row>
    <row r="42" spans="2:17" ht="15" thickBot="1" x14ac:dyDescent="0.35">
      <c r="B42" s="9"/>
      <c r="C42" s="9"/>
      <c r="D42" s="9"/>
      <c r="E42" s="9"/>
      <c r="F42" s="9"/>
      <c r="G42" s="9"/>
      <c r="H42" s="9"/>
      <c r="K42" s="9"/>
      <c r="L42" s="8"/>
      <c r="M42" s="3"/>
      <c r="N42" s="3"/>
      <c r="O42" s="3"/>
      <c r="P42" s="3"/>
      <c r="Q42" s="3"/>
    </row>
    <row r="43" spans="2:17" ht="15" thickBot="1" x14ac:dyDescent="0.35">
      <c r="B43" s="54" t="s">
        <v>115</v>
      </c>
      <c r="C43" s="54" t="s">
        <v>34</v>
      </c>
      <c r="D43" s="54" t="s">
        <v>50</v>
      </c>
      <c r="E43" s="54" t="str">
        <f>F10</f>
        <v>SE</v>
      </c>
      <c r="F43" s="54" t="s">
        <v>9</v>
      </c>
      <c r="G43" s="54" t="s">
        <v>2</v>
      </c>
      <c r="H43" s="54" t="s">
        <v>49</v>
      </c>
      <c r="K43" s="54" t="s">
        <v>115</v>
      </c>
      <c r="L43" s="48" t="s">
        <v>37</v>
      </c>
      <c r="M43" s="3"/>
      <c r="N43" s="3"/>
      <c r="O43" s="3"/>
      <c r="P43" s="3"/>
      <c r="Q43" s="3"/>
    </row>
    <row r="44" spans="2:17" ht="15" thickBot="1" x14ac:dyDescent="0.35">
      <c r="B44" s="99" t="s">
        <v>104</v>
      </c>
      <c r="C44" s="113">
        <v>0</v>
      </c>
      <c r="D44" s="100">
        <f>IFERROR(D11-C44,"")</f>
        <v>-4.3000000000000007</v>
      </c>
      <c r="E44" s="100">
        <f>F11</f>
        <v>1.2206555615733701</v>
      </c>
      <c r="F44" s="100">
        <f>IFERROR(D44/F11,"")</f>
        <v>-3.5226972582318754</v>
      </c>
      <c r="G44" s="104">
        <f>IF(C7&lt;&gt;"",C7-1,"")</f>
        <v>19</v>
      </c>
      <c r="H44" s="100">
        <f>IFERROR(IF(TDIST(ABS(F44),G44,2)&lt;0.001,"&lt; 0.001",TDIST(ABS(F44),G44,2)),"")</f>
        <v>2.2750540542793977E-3</v>
      </c>
      <c r="K44" s="99" t="s">
        <v>104</v>
      </c>
      <c r="L44" s="67" t="s">
        <v>118</v>
      </c>
      <c r="M44" s="3"/>
      <c r="N44" s="3"/>
      <c r="O44" s="3"/>
      <c r="P44" s="3"/>
      <c r="Q44" s="3"/>
    </row>
    <row r="45" spans="2:17" x14ac:dyDescent="0.3">
      <c r="B45" s="9"/>
      <c r="C45" s="9"/>
      <c r="D45" s="9"/>
      <c r="E45" s="9"/>
      <c r="F45" s="9"/>
      <c r="G45" s="9"/>
      <c r="H45" s="9"/>
      <c r="K45" s="9"/>
      <c r="L45" s="2"/>
      <c r="M45" s="3"/>
      <c r="N45" s="3"/>
      <c r="O45" s="3"/>
      <c r="P45" s="3"/>
      <c r="Q45" s="3"/>
    </row>
  </sheetData>
  <sheetProtection sheet="1" selectLockedCells="1"/>
  <mergeCells count="6">
    <mergeCell ref="B2:H2"/>
    <mergeCell ref="G6:H6"/>
    <mergeCell ref="G10:H10"/>
    <mergeCell ref="K2:Q2"/>
    <mergeCell ref="P6:Q6"/>
    <mergeCell ref="P10:Q10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2:AA46"/>
  <sheetViews>
    <sheetView showRuler="0" topLeftCell="A12" zoomScaleNormal="100" workbookViewId="0">
      <selection activeCell="L45" sqref="L45"/>
    </sheetView>
  </sheetViews>
  <sheetFormatPr defaultColWidth="11.109375" defaultRowHeight="14.4" x14ac:dyDescent="0.3"/>
  <cols>
    <col min="1" max="1" width="4.5546875" style="3" customWidth="1"/>
    <col min="2" max="8" width="11.109375" style="3"/>
    <col min="9" max="9" width="4.5546875" style="3" customWidth="1"/>
    <col min="10" max="10" width="4.5546875" customWidth="1"/>
    <col min="18" max="18" width="4.5546875" customWidth="1"/>
    <col min="19" max="19" width="4.5546875" hidden="1" customWidth="1"/>
    <col min="20" max="26" width="0" hidden="1" customWidth="1"/>
    <col min="27" max="27" width="4.5546875" hidden="1" customWidth="1"/>
  </cols>
  <sheetData>
    <row r="2" spans="1:26" ht="15" customHeight="1" x14ac:dyDescent="0.3">
      <c r="A2"/>
      <c r="B2" s="119" t="s">
        <v>43</v>
      </c>
      <c r="C2" s="119"/>
      <c r="D2" s="119"/>
      <c r="E2" s="119"/>
      <c r="F2" s="119"/>
      <c r="G2" s="119"/>
      <c r="H2" s="119"/>
      <c r="I2"/>
      <c r="K2" s="119" t="s">
        <v>44</v>
      </c>
      <c r="L2" s="119"/>
      <c r="M2" s="119"/>
      <c r="N2" s="119"/>
      <c r="O2" s="119"/>
      <c r="P2" s="119"/>
      <c r="Q2" s="119"/>
      <c r="T2" s="119" t="s">
        <v>61</v>
      </c>
      <c r="U2" s="119"/>
      <c r="V2" s="119"/>
      <c r="W2" s="119"/>
      <c r="X2" s="119"/>
      <c r="Y2" s="119"/>
      <c r="Z2" s="119"/>
    </row>
    <row r="3" spans="1:26" x14ac:dyDescent="0.3">
      <c r="A3"/>
      <c r="B3"/>
      <c r="C3"/>
      <c r="D3"/>
      <c r="E3"/>
      <c r="F3"/>
      <c r="G3"/>
      <c r="H3"/>
    </row>
    <row r="4" spans="1:26" ht="15.6" x14ac:dyDescent="0.3">
      <c r="A4"/>
      <c r="B4" s="7" t="s">
        <v>110</v>
      </c>
      <c r="G4" s="5" t="s">
        <v>36</v>
      </c>
      <c r="H4" s="31">
        <v>95</v>
      </c>
      <c r="K4" s="7" t="s">
        <v>110</v>
      </c>
      <c r="L4" s="3"/>
      <c r="M4" s="3"/>
      <c r="N4" s="3"/>
      <c r="O4" s="3"/>
      <c r="P4" s="5" t="s">
        <v>36</v>
      </c>
      <c r="Q4" s="31">
        <v>95</v>
      </c>
    </row>
    <row r="5" spans="1:26" ht="15" thickBot="1" x14ac:dyDescent="0.35">
      <c r="J5" s="3"/>
      <c r="K5" s="3"/>
      <c r="L5" s="3"/>
      <c r="M5" s="3"/>
      <c r="N5" s="3"/>
      <c r="O5" s="3"/>
      <c r="P5" s="3"/>
      <c r="Q5" s="3"/>
    </row>
    <row r="6" spans="1:26" ht="15" thickBot="1" x14ac:dyDescent="0.35">
      <c r="B6" s="48" t="s">
        <v>63</v>
      </c>
      <c r="C6" s="48" t="str">
        <f t="shared" ref="C6:C12" si="0">G39</f>
        <v>df</v>
      </c>
      <c r="D6" s="48" t="s">
        <v>79</v>
      </c>
      <c r="E6" s="48" t="s">
        <v>71</v>
      </c>
      <c r="F6" s="48" t="s">
        <v>78</v>
      </c>
      <c r="G6" s="129" t="s">
        <v>80</v>
      </c>
      <c r="H6" s="129"/>
      <c r="J6" s="3"/>
      <c r="K6" s="48" t="s">
        <v>63</v>
      </c>
      <c r="L6" s="48" t="s">
        <v>3</v>
      </c>
      <c r="M6" s="48" t="s">
        <v>23</v>
      </c>
      <c r="N6" s="48" t="str">
        <f t="shared" ref="N6:N12" si="1">C6</f>
        <v>df</v>
      </c>
      <c r="O6" s="48" t="s">
        <v>78</v>
      </c>
      <c r="P6" s="129" t="s">
        <v>62</v>
      </c>
      <c r="Q6" s="129"/>
    </row>
    <row r="7" spans="1:26" x14ac:dyDescent="0.3">
      <c r="B7" s="19" t="str">
        <f>IF(D7="","","1 vs. 2")</f>
        <v>1 vs. 2</v>
      </c>
      <c r="C7" s="42">
        <f t="shared" si="0"/>
        <v>19</v>
      </c>
      <c r="D7" s="20">
        <f>IFERROR(Data!W7-Data!W8,"")</f>
        <v>-4.3000000000000007</v>
      </c>
      <c r="E7" s="20">
        <f>IFERROR(F7*SQRT(Data!$V$7),"")</f>
        <v>5.4589376255824718</v>
      </c>
      <c r="F7" s="27">
        <f>IFERROR(SQRT(Data!Z7^2+Data!Z8^2-2*Data!X22*Data!Z7*Data!Z8),"")</f>
        <v>1.2206555615733701</v>
      </c>
      <c r="G7" s="20">
        <f>IFERROR(D7-TINV(1-$H$4/100,G40)*F7,"")</f>
        <v>-6.8548614525203462</v>
      </c>
      <c r="H7" s="20">
        <f t="shared" ref="H7:H12" si="2">IFERROR(D7+TINV(1-$H$4/100,G40)*F7,"")</f>
        <v>-1.7451385474796548</v>
      </c>
      <c r="J7" s="3"/>
      <c r="K7" s="19" t="str">
        <f t="shared" ref="K7:K12" si="3">B7</f>
        <v>1 vs. 2</v>
      </c>
      <c r="L7" s="20">
        <f>IFERROR(D7/SQRT((Data!X7^2+Data!X8^2)/2),"")</f>
        <v>-0.80177068452151434</v>
      </c>
      <c r="M7" s="20">
        <f t="shared" ref="M7:M12" si="4">IFERROR((1-3/(4*G40-1))*L7,"")</f>
        <v>-0.7696998571406537</v>
      </c>
      <c r="N7" s="42">
        <f t="shared" si="1"/>
        <v>19</v>
      </c>
      <c r="O7" s="27">
        <f>IFERROR(SQRT((1/Data!V7)+((L7^2)/(2*Data!V7))*2*(1-Data!X22)),"")</f>
        <v>0.25747023190678103</v>
      </c>
      <c r="P7" s="27">
        <f>IFERROR(Y17*SQRT(1/Data!V7),"")</f>
        <v>-1.281342333669486</v>
      </c>
      <c r="Q7" s="27">
        <f>IFERROR(Z17*SQRT(1/Data!V7),"")</f>
        <v>-0.27347204283777699</v>
      </c>
    </row>
    <row r="8" spans="1:26" x14ac:dyDescent="0.3">
      <c r="B8" s="21" t="str">
        <f>IF(D8="","","1 vs. 3")</f>
        <v/>
      </c>
      <c r="C8" s="43" t="str">
        <f t="shared" si="0"/>
        <v/>
      </c>
      <c r="D8" s="22" t="str">
        <f>IFERROR(Data!W7-Data!W9,"")</f>
        <v/>
      </c>
      <c r="E8" s="22" t="str">
        <f>IFERROR(F8*SQRT(Data!$V$7),"")</f>
        <v/>
      </c>
      <c r="F8" s="22" t="str">
        <f>IFERROR(SQRT(Data!Z7^2+Data!Z9^2-2*Data!Y22*Data!Z7*Data!Z9),"")</f>
        <v/>
      </c>
      <c r="G8" s="22" t="str">
        <f t="shared" ref="G8:G12" si="5">IFERROR(D8-TINV(1-$H$4/100,G41)*F8,"")</f>
        <v/>
      </c>
      <c r="H8" s="22" t="str">
        <f t="shared" si="2"/>
        <v/>
      </c>
      <c r="J8" s="3"/>
      <c r="K8" s="21" t="str">
        <f t="shared" si="3"/>
        <v/>
      </c>
      <c r="L8" s="22" t="str">
        <f>IFERROR(D8/SQRT((Data!X7^2+Data!X9^2)/2),"")</f>
        <v/>
      </c>
      <c r="M8" s="22" t="str">
        <f t="shared" si="4"/>
        <v/>
      </c>
      <c r="N8" s="43" t="str">
        <f t="shared" si="1"/>
        <v/>
      </c>
      <c r="O8" s="29" t="str">
        <f>IFERROR(SQRT((1/Data!V7)+((L8^2)/(2*Data!V7))*2*(1-Data!Y22)),"")</f>
        <v/>
      </c>
      <c r="P8" s="29" t="str">
        <f>IFERROR(Y18*SQRT(1/Data!V7),"")</f>
        <v/>
      </c>
      <c r="Q8" s="29" t="str">
        <f>IFERROR(Z18*SQRT(1/Data!V7),"")</f>
        <v/>
      </c>
    </row>
    <row r="9" spans="1:26" x14ac:dyDescent="0.3">
      <c r="B9" s="21" t="str">
        <f>IF(D9="","","2 vs. 3")</f>
        <v/>
      </c>
      <c r="C9" s="43" t="str">
        <f t="shared" si="0"/>
        <v/>
      </c>
      <c r="D9" s="22" t="str">
        <f>IFERROR(Data!W8-Data!W9,"")</f>
        <v/>
      </c>
      <c r="E9" s="22" t="str">
        <f>IFERROR(F9*SQRT(Data!$V$7),"")</f>
        <v/>
      </c>
      <c r="F9" s="22" t="str">
        <f>IFERROR(SQRT(Data!Z8^2+Data!Z9^2-2*Data!Y23*Data!Z8*Data!Z9),"")</f>
        <v/>
      </c>
      <c r="G9" s="22" t="str">
        <f t="shared" si="5"/>
        <v/>
      </c>
      <c r="H9" s="22" t="str">
        <f t="shared" si="2"/>
        <v/>
      </c>
      <c r="J9" s="3"/>
      <c r="K9" s="21" t="str">
        <f t="shared" si="3"/>
        <v/>
      </c>
      <c r="L9" s="22" t="str">
        <f>IFERROR(D9/SQRT((Data!X8^2+Data!X9^2)/2),"")</f>
        <v/>
      </c>
      <c r="M9" s="22" t="str">
        <f t="shared" si="4"/>
        <v/>
      </c>
      <c r="N9" s="43" t="str">
        <f t="shared" si="1"/>
        <v/>
      </c>
      <c r="O9" s="29" t="str">
        <f>IFERROR(SQRT((1/Data!V8)+((L9^2)/(2*Data!V8))*2*(1-Data!Y23)),"")</f>
        <v/>
      </c>
      <c r="P9" s="29" t="str">
        <f>IFERROR(Y19*SQRT(1/Data!V8),"")</f>
        <v/>
      </c>
      <c r="Q9" s="29" t="str">
        <f>IFERROR(Z19*SQRT(1/Data!V8),"")</f>
        <v/>
      </c>
    </row>
    <row r="10" spans="1:26" x14ac:dyDescent="0.3">
      <c r="B10" s="21" t="str">
        <f>IF(D10="","","1 vs. 4")</f>
        <v>1 vs. 4</v>
      </c>
      <c r="C10" s="43">
        <f t="shared" si="0"/>
        <v>19</v>
      </c>
      <c r="D10" s="22">
        <f>IFERROR(Data!W7-Data!W10,"")</f>
        <v>-4.0999999999999979</v>
      </c>
      <c r="E10" s="22">
        <f>IFERROR(F10*SQRT(Data!$V$7),"")</f>
        <v>5.1900714932708931</v>
      </c>
      <c r="F10" s="22">
        <f>IFERROR(SQRT(Data!Z7^2+Data!Z10^2-2*Data!Z22*Data!Z7*Data!Z10),"")</f>
        <v>1.1605352667037558</v>
      </c>
      <c r="G10" s="22">
        <f t="shared" si="5"/>
        <v>-6.5290282292001205</v>
      </c>
      <c r="H10" s="22">
        <f t="shared" si="2"/>
        <v>-1.6709717707998748</v>
      </c>
      <c r="J10" s="3"/>
      <c r="K10" s="21" t="str">
        <f t="shared" si="3"/>
        <v>1 vs. 4</v>
      </c>
      <c r="L10" s="22">
        <f>IFERROR(D10/SQRT((Data!X7^2+Data!X10^2)/2),"")</f>
        <v>-0.77373714263027382</v>
      </c>
      <c r="M10" s="22">
        <f>IFERROR((1-3/(4*N10-1))*L10,"")</f>
        <v>-0.74278765692506288</v>
      </c>
      <c r="N10" s="43">
        <f t="shared" si="1"/>
        <v>19</v>
      </c>
      <c r="O10" s="29">
        <f>IFERROR(SQRT((1/Data!V8)+((L10^2)/(2*Data!V8))*2*(1-Data!Z22)),"")</f>
        <v>0.25275276050417078</v>
      </c>
      <c r="P10" s="29">
        <f>IFERROR(Y20*SQRT(1/Data!V7),"")</f>
        <v>-1.2839378254315315</v>
      </c>
      <c r="Q10" s="29">
        <f>IFERROR(Z20*SQRT(1/Data!V7),"")</f>
        <v>-0.27535880549057712</v>
      </c>
    </row>
    <row r="11" spans="1:26" x14ac:dyDescent="0.3">
      <c r="B11" s="21" t="str">
        <f>IF(D11="","","2 vs. 4")</f>
        <v>2 vs. 4</v>
      </c>
      <c r="C11" s="43">
        <f t="shared" si="0"/>
        <v>19</v>
      </c>
      <c r="D11" s="22">
        <f>IFERROR(Data!W8-Data!W10,"")</f>
        <v>0.20000000000000284</v>
      </c>
      <c r="E11" s="22">
        <f>IFERROR(F11*SQRT(Data!$V$7),"")</f>
        <v>3.3654592241585211</v>
      </c>
      <c r="F11" s="22">
        <f>IFERROR(SQRT(Data!Z8^2+Data!Z10^2-2*Data!Z23*Data!Z8*Data!Z10),"")</f>
        <v>0.75253956007221556</v>
      </c>
      <c r="G11" s="22">
        <f t="shared" si="5"/>
        <v>-1.3750834011249908</v>
      </c>
      <c r="H11" s="22">
        <f t="shared" si="2"/>
        <v>1.7750834011249965</v>
      </c>
      <c r="J11" s="3"/>
      <c r="K11" s="21" t="str">
        <f t="shared" si="3"/>
        <v>2 vs. 4</v>
      </c>
      <c r="L11" s="22">
        <f>IFERROR(D11/SQRT((Data!X8^2+Data!X10^2)/2),"")</f>
        <v>4.2650347924438899E-2</v>
      </c>
      <c r="M11" s="22">
        <f t="shared" si="4"/>
        <v>4.0944334007461343E-2</v>
      </c>
      <c r="N11" s="43">
        <f t="shared" si="1"/>
        <v>19</v>
      </c>
      <c r="O11" s="29">
        <f>IFERROR(SQRT((1/Data!V8)+((L11^2)/(2*Data!V8))*2*(1-Data!Z23)),"")</f>
        <v>0.22365909589257532</v>
      </c>
      <c r="P11" s="29">
        <f>IFERROR(Y21*SQRT(1/Data!V8),"")</f>
        <v>-0.38001210377345479</v>
      </c>
      <c r="Q11" s="29">
        <f>IFERROR(Z21*SQRT(1/Data!V8),"")</f>
        <v>0.49731369048591151</v>
      </c>
    </row>
    <row r="12" spans="1:26" ht="15" thickBot="1" x14ac:dyDescent="0.35">
      <c r="B12" s="23" t="str">
        <f>IF(D12="","","3 vs. 4")</f>
        <v/>
      </c>
      <c r="C12" s="44" t="str">
        <f t="shared" si="0"/>
        <v/>
      </c>
      <c r="D12" s="24" t="str">
        <f>IFERROR(Data!W9-Data!W10,"")</f>
        <v/>
      </c>
      <c r="E12" s="24" t="str">
        <f>IFERROR(F12*SQRT(Data!$V$7),"")</f>
        <v/>
      </c>
      <c r="F12" s="24" t="str">
        <f>IFERROR(SQRT(Data!Z9^2+Data!Z10^2-2*Data!Z24*Data!Z9*Data!Z10),"")</f>
        <v/>
      </c>
      <c r="G12" s="24" t="str">
        <f t="shared" si="5"/>
        <v/>
      </c>
      <c r="H12" s="24" t="str">
        <f t="shared" si="2"/>
        <v/>
      </c>
      <c r="J12" s="3"/>
      <c r="K12" s="23" t="str">
        <f t="shared" si="3"/>
        <v/>
      </c>
      <c r="L12" s="24" t="str">
        <f>IFERROR(D12/SQRT((Data!X9^2+Data!X10^2)/2),"")</f>
        <v/>
      </c>
      <c r="M12" s="24" t="str">
        <f t="shared" si="4"/>
        <v/>
      </c>
      <c r="N12" s="44" t="str">
        <f t="shared" si="1"/>
        <v/>
      </c>
      <c r="O12" s="30" t="str">
        <f>IFERROR(SQRT((1/Data!V9)+((L12^2)/(2*Data!V9))*2*(1-Data!Z24)),"")</f>
        <v/>
      </c>
      <c r="P12" s="30" t="str">
        <f>IFERROR(Y22*SQRT(1/Data!V9),"")</f>
        <v/>
      </c>
      <c r="Q12" s="30" t="str">
        <f>IFERROR(Z22*SQRT(1/Data!V9),"")</f>
        <v/>
      </c>
    </row>
    <row r="13" spans="1:26" x14ac:dyDescent="0.3">
      <c r="B13" s="2"/>
      <c r="C13" s="2"/>
      <c r="D13" s="2"/>
      <c r="E13" s="2"/>
      <c r="F13" s="2"/>
      <c r="G13" s="2"/>
      <c r="H13" s="2"/>
      <c r="J13" s="3"/>
      <c r="K13" s="2"/>
      <c r="L13" s="2"/>
      <c r="M13" s="2"/>
      <c r="N13" s="2"/>
      <c r="O13" s="2"/>
      <c r="P13" s="2"/>
      <c r="Q13" s="2"/>
    </row>
    <row r="14" spans="1:26" ht="15.6" x14ac:dyDescent="0.3">
      <c r="A14"/>
      <c r="B14" s="7" t="s">
        <v>112</v>
      </c>
      <c r="K14" s="7" t="s">
        <v>112</v>
      </c>
      <c r="L14" s="3"/>
      <c r="M14" s="3"/>
      <c r="N14" s="3"/>
      <c r="O14" s="3"/>
      <c r="P14" s="3"/>
      <c r="Q14" s="3"/>
      <c r="T14" s="7" t="s">
        <v>21</v>
      </c>
    </row>
    <row r="15" spans="1:26" ht="15" thickBot="1" x14ac:dyDescent="0.35">
      <c r="J15" s="3"/>
      <c r="K15" s="3"/>
      <c r="L15" s="3"/>
      <c r="M15" s="3"/>
      <c r="N15" s="3"/>
      <c r="O15" s="3"/>
      <c r="P15" s="3"/>
      <c r="Q15" s="3"/>
    </row>
    <row r="16" spans="1:26" ht="15" thickBot="1" x14ac:dyDescent="0.35">
      <c r="B16" s="85" t="s">
        <v>76</v>
      </c>
      <c r="C16" s="36"/>
      <c r="D16" s="35"/>
      <c r="E16" s="35"/>
      <c r="F16" s="36"/>
      <c r="G16" s="86" t="s">
        <v>74</v>
      </c>
      <c r="H16" s="36"/>
      <c r="J16" s="3"/>
      <c r="K16" s="86" t="s">
        <v>76</v>
      </c>
      <c r="L16" s="40"/>
      <c r="M16" s="40"/>
      <c r="N16" s="37"/>
      <c r="O16" s="37"/>
      <c r="P16" s="86" t="s">
        <v>74</v>
      </c>
      <c r="Q16" s="40"/>
      <c r="T16" s="63" t="s">
        <v>10</v>
      </c>
      <c r="U16" s="63" t="s">
        <v>11</v>
      </c>
      <c r="V16" s="63" t="s">
        <v>12</v>
      </c>
      <c r="W16" s="63" t="s">
        <v>13</v>
      </c>
      <c r="X16" s="63" t="s">
        <v>70</v>
      </c>
      <c r="Y16" s="63" t="s">
        <v>19</v>
      </c>
      <c r="Z16" s="63" t="s">
        <v>20</v>
      </c>
    </row>
    <row r="17" spans="2:26" x14ac:dyDescent="0.3">
      <c r="B17" s="38" t="s">
        <v>0</v>
      </c>
      <c r="C17" s="37" t="s">
        <v>75</v>
      </c>
      <c r="D17" s="38" t="s">
        <v>77</v>
      </c>
      <c r="E17" s="38"/>
      <c r="F17" s="37"/>
      <c r="G17" s="37" t="s">
        <v>33</v>
      </c>
      <c r="H17" s="37" t="s">
        <v>75</v>
      </c>
      <c r="J17" s="3"/>
      <c r="K17" s="36" t="s">
        <v>0</v>
      </c>
      <c r="L17" s="36" t="s">
        <v>75</v>
      </c>
      <c r="M17" s="36" t="s">
        <v>77</v>
      </c>
      <c r="N17" s="37"/>
      <c r="O17" s="37"/>
      <c r="P17" s="36" t="s">
        <v>33</v>
      </c>
      <c r="Q17" s="36" t="s">
        <v>75</v>
      </c>
      <c r="T17" s="27">
        <f t="shared" ref="T17:T22" si="6">EXP(((LN(2)-LN(G40))/2)+GAMMALN((G40+1)/2)-GAMMALN(G40/2))</f>
        <v>0.98693426752465663</v>
      </c>
      <c r="U17" s="27">
        <f t="shared" ref="U17:U22" si="7">T17*F40</f>
        <v>-3.4766706382641921</v>
      </c>
      <c r="V17" s="27">
        <f t="shared" ref="V17:V22" si="8">1+(F40^2)*(1-T17^2)</f>
        <v>1.3221572461860276</v>
      </c>
      <c r="W17" s="27">
        <f t="shared" ref="W17:W22" si="9">(2*U17^3)-((2*G40-1)/G40)*(F40^2*U17)</f>
        <v>-3.0635070901936956E-2</v>
      </c>
      <c r="X17" s="12">
        <f t="shared" ref="X17:X22" si="10">W17/SQRT(V17)^3</f>
        <v>-2.0150889685283984E-2</v>
      </c>
      <c r="Y17" s="28">
        <f t="shared" ref="Y17:Z22" si="11">IF($X17&lt;0.001,Y33,Y25)</f>
        <v>-5.7303371210663769</v>
      </c>
      <c r="Z17" s="28">
        <f t="shared" si="11"/>
        <v>-1.2230041554620077</v>
      </c>
    </row>
    <row r="18" spans="2:26" x14ac:dyDescent="0.3">
      <c r="B18" s="38">
        <v>1.1000000000000001</v>
      </c>
      <c r="C18" s="37">
        <f>IF(H7="",NA(),H7)</f>
        <v>-1.7451385474796548</v>
      </c>
      <c r="D18" s="38">
        <f t="shared" ref="D18:D35" si="12">C18</f>
        <v>-1.7451385474796548</v>
      </c>
      <c r="E18" s="38"/>
      <c r="F18" s="37"/>
      <c r="G18" s="37">
        <v>0.5</v>
      </c>
      <c r="H18" s="37">
        <f>C$40</f>
        <v>0</v>
      </c>
      <c r="J18" s="3"/>
      <c r="K18" s="38">
        <v>1.1000000000000001</v>
      </c>
      <c r="L18" s="38">
        <f>IF(Q7="",NA(),Q7)</f>
        <v>-0.27347204283777699</v>
      </c>
      <c r="M18" s="38">
        <f t="shared" ref="M18:M35" si="13">L18</f>
        <v>-0.27347204283777699</v>
      </c>
      <c r="N18" s="38"/>
      <c r="O18" s="38"/>
      <c r="P18" s="37">
        <v>0.5</v>
      </c>
      <c r="Q18" s="37">
        <f>L$40</f>
        <v>0</v>
      </c>
      <c r="T18" s="29" t="e">
        <f t="shared" si="6"/>
        <v>#VALUE!</v>
      </c>
      <c r="U18" s="29" t="e">
        <f t="shared" si="7"/>
        <v>#VALUE!</v>
      </c>
      <c r="V18" s="29" t="e">
        <f t="shared" si="8"/>
        <v>#VALUE!</v>
      </c>
      <c r="W18" s="29" t="e">
        <f t="shared" si="9"/>
        <v>#VALUE!</v>
      </c>
      <c r="X18" s="12" t="e">
        <f t="shared" si="10"/>
        <v>#VALUE!</v>
      </c>
      <c r="Y18" s="28" t="e">
        <f t="shared" si="11"/>
        <v>#VALUE!</v>
      </c>
      <c r="Z18" s="28" t="e">
        <f t="shared" si="11"/>
        <v>#VALUE!</v>
      </c>
    </row>
    <row r="19" spans="2:26" x14ac:dyDescent="0.3">
      <c r="B19" s="38">
        <v>1.1000000000000001</v>
      </c>
      <c r="C19" s="37">
        <f>IF(D7="",NA(),D7)</f>
        <v>-4.3000000000000007</v>
      </c>
      <c r="D19" s="38">
        <f t="shared" si="12"/>
        <v>-4.3000000000000007</v>
      </c>
      <c r="E19" s="38"/>
      <c r="F19" s="37"/>
      <c r="G19" s="37">
        <v>1</v>
      </c>
      <c r="H19" s="37">
        <f>C$40</f>
        <v>0</v>
      </c>
      <c r="J19" s="3"/>
      <c r="K19" s="38">
        <v>1.1000000000000001</v>
      </c>
      <c r="L19" s="37">
        <f>IF(M7="",NA(),M7)</f>
        <v>-0.7696998571406537</v>
      </c>
      <c r="M19" s="38">
        <f t="shared" si="13"/>
        <v>-0.7696998571406537</v>
      </c>
      <c r="N19" s="38"/>
      <c r="O19" s="38"/>
      <c r="P19" s="37">
        <v>1</v>
      </c>
      <c r="Q19" s="37">
        <f>L$40</f>
        <v>0</v>
      </c>
      <c r="T19" s="29" t="e">
        <f t="shared" si="6"/>
        <v>#VALUE!</v>
      </c>
      <c r="U19" s="29" t="e">
        <f t="shared" si="7"/>
        <v>#VALUE!</v>
      </c>
      <c r="V19" s="29" t="e">
        <f t="shared" si="8"/>
        <v>#VALUE!</v>
      </c>
      <c r="W19" s="29" t="e">
        <f t="shared" si="9"/>
        <v>#VALUE!</v>
      </c>
      <c r="X19" s="12" t="e">
        <f t="shared" si="10"/>
        <v>#VALUE!</v>
      </c>
      <c r="Y19" s="28" t="e">
        <f t="shared" si="11"/>
        <v>#VALUE!</v>
      </c>
      <c r="Z19" s="28" t="e">
        <f t="shared" si="11"/>
        <v>#VALUE!</v>
      </c>
    </row>
    <row r="20" spans="2:26" ht="15.6" x14ac:dyDescent="0.3">
      <c r="B20" s="38">
        <v>1.1000000000000001</v>
      </c>
      <c r="C20" s="37">
        <f>IF(G7="",NA(),G7)</f>
        <v>-6.8548614525203462</v>
      </c>
      <c r="D20" s="38">
        <f t="shared" si="12"/>
        <v>-6.8548614525203462</v>
      </c>
      <c r="E20" s="38"/>
      <c r="F20" s="37"/>
      <c r="G20" s="37">
        <v>1.5</v>
      </c>
      <c r="H20" s="37">
        <f>C$40</f>
        <v>0</v>
      </c>
      <c r="J20" s="3"/>
      <c r="K20" s="38">
        <v>1.1000000000000001</v>
      </c>
      <c r="L20" s="38">
        <f>IF(P7="",NA(),P7)</f>
        <v>-1.281342333669486</v>
      </c>
      <c r="M20" s="38">
        <f t="shared" si="13"/>
        <v>-1.281342333669486</v>
      </c>
      <c r="N20" s="38"/>
      <c r="O20" s="38"/>
      <c r="P20" s="37">
        <v>1.5</v>
      </c>
      <c r="Q20" s="37">
        <f>L$40</f>
        <v>0</v>
      </c>
      <c r="S20" s="4"/>
      <c r="T20" s="29">
        <f t="shared" si="6"/>
        <v>0.98693426752465663</v>
      </c>
      <c r="U20" s="29">
        <f t="shared" si="7"/>
        <v>-3.4866932638282355</v>
      </c>
      <c r="V20" s="29">
        <f t="shared" si="8"/>
        <v>1.3240173680701464</v>
      </c>
      <c r="W20" s="29">
        <f t="shared" si="9"/>
        <v>-3.0900781876979977E-2</v>
      </c>
      <c r="X20" s="12">
        <f t="shared" si="10"/>
        <v>-2.0282848431980024E-2</v>
      </c>
      <c r="Y20" s="28">
        <f t="shared" si="11"/>
        <v>-5.7419445130963256</v>
      </c>
      <c r="Z20" s="28">
        <f t="shared" si="11"/>
        <v>-1.2314420145601455</v>
      </c>
    </row>
    <row r="21" spans="2:26" x14ac:dyDescent="0.3">
      <c r="B21" s="38">
        <v>2.1</v>
      </c>
      <c r="C21" s="37" t="e">
        <f>IF(H8="",NA(),H8)</f>
        <v>#N/A</v>
      </c>
      <c r="D21" s="38" t="e">
        <f t="shared" si="12"/>
        <v>#N/A</v>
      </c>
      <c r="E21" s="38"/>
      <c r="F21" s="37"/>
      <c r="G21" s="37">
        <v>1.5</v>
      </c>
      <c r="H21" s="37">
        <f>C$41</f>
        <v>0</v>
      </c>
      <c r="J21" s="3"/>
      <c r="K21" s="38">
        <v>2.1</v>
      </c>
      <c r="L21" s="38" t="e">
        <f>IF(Q8="",NA(),Q8)</f>
        <v>#N/A</v>
      </c>
      <c r="M21" s="38" t="e">
        <f t="shared" si="13"/>
        <v>#N/A</v>
      </c>
      <c r="N21" s="38"/>
      <c r="O21" s="38"/>
      <c r="P21" s="37">
        <v>1.5</v>
      </c>
      <c r="Q21" s="37">
        <f>L$41</f>
        <v>0</v>
      </c>
      <c r="T21" s="78">
        <f t="shared" si="6"/>
        <v>0.98693426752465663</v>
      </c>
      <c r="U21" s="78">
        <f t="shared" si="7"/>
        <v>0.26229432175763939</v>
      </c>
      <c r="V21" s="78">
        <f t="shared" si="8"/>
        <v>1.001833659033925</v>
      </c>
      <c r="W21" s="78">
        <f t="shared" si="9"/>
        <v>1.3155122819068221E-5</v>
      </c>
      <c r="X21" s="12">
        <f t="shared" si="10"/>
        <v>1.3119022561455409E-5</v>
      </c>
      <c r="Y21" s="28">
        <f t="shared" si="11"/>
        <v>-1.6994657926202985</v>
      </c>
      <c r="Z21" s="28">
        <f t="shared" si="11"/>
        <v>2.2240544361355772</v>
      </c>
    </row>
    <row r="22" spans="2:26" ht="15" thickBot="1" x14ac:dyDescent="0.35">
      <c r="B22" s="38">
        <v>2.1</v>
      </c>
      <c r="C22" s="37" t="e">
        <f>IF(D8="",NA(),D8)</f>
        <v>#N/A</v>
      </c>
      <c r="D22" s="38" t="e">
        <f t="shared" si="12"/>
        <v>#N/A</v>
      </c>
      <c r="E22" s="38"/>
      <c r="F22" s="37"/>
      <c r="G22" s="37">
        <v>2</v>
      </c>
      <c r="H22" s="37">
        <f>C$41</f>
        <v>0</v>
      </c>
      <c r="J22" s="3"/>
      <c r="K22" s="38">
        <v>2.1</v>
      </c>
      <c r="L22" s="37" t="e">
        <f>IF(M8="",NA(),M8)</f>
        <v>#N/A</v>
      </c>
      <c r="M22" s="38" t="e">
        <f t="shared" si="13"/>
        <v>#N/A</v>
      </c>
      <c r="N22" s="38"/>
      <c r="O22" s="38"/>
      <c r="P22" s="37">
        <v>2</v>
      </c>
      <c r="Q22" s="37">
        <f>L$41</f>
        <v>0</v>
      </c>
      <c r="T22" s="78" t="e">
        <f t="shared" si="6"/>
        <v>#VALUE!</v>
      </c>
      <c r="U22" s="78" t="e">
        <f t="shared" si="7"/>
        <v>#VALUE!</v>
      </c>
      <c r="V22" s="78" t="e">
        <f t="shared" si="8"/>
        <v>#VALUE!</v>
      </c>
      <c r="W22" s="78" t="e">
        <f t="shared" si="9"/>
        <v>#VALUE!</v>
      </c>
      <c r="X22" s="12" t="e">
        <f t="shared" si="10"/>
        <v>#VALUE!</v>
      </c>
      <c r="Y22" s="28" t="e">
        <f t="shared" si="11"/>
        <v>#VALUE!</v>
      </c>
      <c r="Z22" s="28" t="e">
        <f t="shared" si="11"/>
        <v>#VALUE!</v>
      </c>
    </row>
    <row r="23" spans="2:26" ht="15" thickBot="1" x14ac:dyDescent="0.35">
      <c r="B23" s="38">
        <v>2.1</v>
      </c>
      <c r="C23" s="38" t="e">
        <f>IF(G8="",NA(),G8)</f>
        <v>#N/A</v>
      </c>
      <c r="D23" s="38" t="e">
        <f t="shared" si="12"/>
        <v>#N/A</v>
      </c>
      <c r="E23" s="37"/>
      <c r="F23" s="37"/>
      <c r="G23" s="37">
        <v>2.5</v>
      </c>
      <c r="H23" s="37">
        <f>C$41</f>
        <v>0</v>
      </c>
      <c r="J23" s="3"/>
      <c r="K23" s="38">
        <v>2.1</v>
      </c>
      <c r="L23" s="38" t="e">
        <f>IF(P8="",NA(),P8)</f>
        <v>#N/A</v>
      </c>
      <c r="M23" s="38" t="e">
        <f t="shared" si="13"/>
        <v>#N/A</v>
      </c>
      <c r="N23" s="38"/>
      <c r="O23" s="38"/>
      <c r="P23" s="37">
        <v>2.5</v>
      </c>
      <c r="Q23" s="37">
        <f>L$41</f>
        <v>0</v>
      </c>
      <c r="T23" s="8"/>
      <c r="U23" s="8"/>
      <c r="V23" s="8"/>
      <c r="W23" s="8"/>
      <c r="X23" s="8"/>
      <c r="Y23" s="8"/>
      <c r="Z23" s="8"/>
    </row>
    <row r="24" spans="2:26" ht="15" thickBot="1" x14ac:dyDescent="0.35">
      <c r="B24" s="38">
        <v>3.1</v>
      </c>
      <c r="C24" s="38" t="e">
        <f>IF(H9="",NA(),H9)</f>
        <v>#N/A</v>
      </c>
      <c r="D24" s="38" t="e">
        <f t="shared" si="12"/>
        <v>#N/A</v>
      </c>
      <c r="E24" s="37"/>
      <c r="F24" s="37"/>
      <c r="G24" s="37">
        <v>2.5</v>
      </c>
      <c r="H24" s="37">
        <f>C$42</f>
        <v>0</v>
      </c>
      <c r="J24" s="3"/>
      <c r="K24" s="38">
        <v>3.1</v>
      </c>
      <c r="L24" s="38" t="e">
        <f>IF(Q9="",NA(),Q9)</f>
        <v>#N/A</v>
      </c>
      <c r="M24" s="38" t="e">
        <f t="shared" si="13"/>
        <v>#N/A</v>
      </c>
      <c r="N24" s="38"/>
      <c r="O24" s="38"/>
      <c r="P24" s="37">
        <v>2.5</v>
      </c>
      <c r="Q24" s="37">
        <f>L$42</f>
        <v>0</v>
      </c>
      <c r="T24" s="63" t="s">
        <v>14</v>
      </c>
      <c r="U24" s="63" t="s">
        <v>15</v>
      </c>
      <c r="V24" s="63" t="s">
        <v>16</v>
      </c>
      <c r="W24" s="63" t="s">
        <v>17</v>
      </c>
      <c r="X24" s="63" t="s">
        <v>18</v>
      </c>
      <c r="Y24" s="63" t="s">
        <v>19</v>
      </c>
      <c r="Z24" s="63" t="s">
        <v>20</v>
      </c>
    </row>
    <row r="25" spans="2:26" x14ac:dyDescent="0.3">
      <c r="B25" s="38">
        <v>3.1</v>
      </c>
      <c r="C25" s="38" t="e">
        <f>IF(D9="",NA(),D9)</f>
        <v>#N/A</v>
      </c>
      <c r="D25" s="38" t="e">
        <f t="shared" si="12"/>
        <v>#N/A</v>
      </c>
      <c r="E25" s="37"/>
      <c r="F25" s="37"/>
      <c r="G25" s="37">
        <v>3</v>
      </c>
      <c r="H25" s="37">
        <f>C$42</f>
        <v>0</v>
      </c>
      <c r="J25" s="3"/>
      <c r="K25" s="38">
        <v>3.1</v>
      </c>
      <c r="L25" s="37" t="e">
        <f>IF(M9="",NA(),M9)</f>
        <v>#N/A</v>
      </c>
      <c r="M25" s="38" t="e">
        <f t="shared" si="13"/>
        <v>#N/A</v>
      </c>
      <c r="N25" s="38"/>
      <c r="O25" s="38"/>
      <c r="P25" s="37">
        <v>3</v>
      </c>
      <c r="Q25" s="37">
        <f>L$42</f>
        <v>0</v>
      </c>
      <c r="T25" s="27">
        <f t="shared" ref="T25:T30" si="14">W17/(4*V17)</f>
        <v>-5.7926299973601247E-3</v>
      </c>
      <c r="U25" s="27">
        <f t="shared" ref="U25:U30" si="15">V17/(2*T25^2)</f>
        <v>19701.601750966769</v>
      </c>
      <c r="V25" s="27">
        <f t="shared" ref="V25:V30" si="16">U17-(U25*T25)</f>
        <v>110.64741866042867</v>
      </c>
      <c r="W25" s="27">
        <f t="shared" ref="W25:W30" si="17">2*GAMMAINV((1-$Q$4/100)/2,U25/2,1)</f>
        <v>19314.441949852859</v>
      </c>
      <c r="X25" s="27">
        <f t="shared" ref="X25:X30" si="18">2*GAMMAINV(1-(1-$Q$4/100)/2,U25/2,1)</f>
        <v>20092.550136188212</v>
      </c>
      <c r="Y25" s="27">
        <f t="shared" ref="Y25:Y30" si="19">IF(F40&gt;0,V25+(T25*W25),V25+(T25*X25))</f>
        <v>-5.7412899819174328</v>
      </c>
      <c r="Z25" s="27">
        <f t="shared" ref="Z25:Z30" si="20">IF(F40&gt;0,V25+(T25*X25),V25+(T25*W25))</f>
        <v>-1.233997160559781</v>
      </c>
    </row>
    <row r="26" spans="2:26" x14ac:dyDescent="0.3">
      <c r="B26" s="38">
        <v>3.1</v>
      </c>
      <c r="C26" s="38" t="e">
        <f>IF(G9="",NA(),G9)</f>
        <v>#N/A</v>
      </c>
      <c r="D26" s="38" t="e">
        <f t="shared" si="12"/>
        <v>#N/A</v>
      </c>
      <c r="E26" s="38"/>
      <c r="F26" s="38"/>
      <c r="G26" s="37">
        <v>3.5</v>
      </c>
      <c r="H26" s="37">
        <f>C$42</f>
        <v>0</v>
      </c>
      <c r="J26" s="3"/>
      <c r="K26" s="38">
        <v>3.1</v>
      </c>
      <c r="L26" s="38" t="e">
        <f>IF(P9="",NA(),P9)</f>
        <v>#N/A</v>
      </c>
      <c r="M26" s="38" t="e">
        <f t="shared" si="13"/>
        <v>#N/A</v>
      </c>
      <c r="N26" s="38"/>
      <c r="O26" s="38"/>
      <c r="P26" s="37">
        <v>3.5</v>
      </c>
      <c r="Q26" s="37">
        <f>L$42</f>
        <v>0</v>
      </c>
      <c r="T26" s="29" t="e">
        <f t="shared" si="14"/>
        <v>#VALUE!</v>
      </c>
      <c r="U26" s="29" t="e">
        <f t="shared" si="15"/>
        <v>#VALUE!</v>
      </c>
      <c r="V26" s="29" t="e">
        <f t="shared" si="16"/>
        <v>#VALUE!</v>
      </c>
      <c r="W26" s="29" t="e">
        <f t="shared" si="17"/>
        <v>#VALUE!</v>
      </c>
      <c r="X26" s="29" t="e">
        <f t="shared" si="18"/>
        <v>#VALUE!</v>
      </c>
      <c r="Y26" s="29" t="e">
        <f t="shared" si="19"/>
        <v>#VALUE!</v>
      </c>
      <c r="Z26" s="29" t="e">
        <f t="shared" si="20"/>
        <v>#VALUE!</v>
      </c>
    </row>
    <row r="27" spans="2:26" x14ac:dyDescent="0.3">
      <c r="B27" s="38">
        <v>4.0999999999999996</v>
      </c>
      <c r="C27" s="38">
        <f>IF(H10="",NA(),H10)</f>
        <v>-1.6709717707998748</v>
      </c>
      <c r="D27" s="38">
        <f t="shared" si="12"/>
        <v>-1.6709717707998748</v>
      </c>
      <c r="E27" s="38"/>
      <c r="F27" s="38"/>
      <c r="G27" s="37">
        <v>3.5</v>
      </c>
      <c r="H27" s="37">
        <f>C$43</f>
        <v>0</v>
      </c>
      <c r="J27" s="3"/>
      <c r="K27" s="38">
        <v>4.0999999999999996</v>
      </c>
      <c r="L27" s="38">
        <f>IF(Q10="",NA(),Q10)</f>
        <v>-0.27535880549057712</v>
      </c>
      <c r="M27" s="38">
        <f t="shared" si="13"/>
        <v>-0.27535880549057712</v>
      </c>
      <c r="N27" s="38"/>
      <c r="O27" s="38"/>
      <c r="P27" s="37">
        <v>3.5</v>
      </c>
      <c r="Q27" s="37">
        <f>L$43</f>
        <v>0</v>
      </c>
      <c r="T27" s="29" t="e">
        <f t="shared" si="14"/>
        <v>#VALUE!</v>
      </c>
      <c r="U27" s="29" t="e">
        <f t="shared" si="15"/>
        <v>#VALUE!</v>
      </c>
      <c r="V27" s="29" t="e">
        <f t="shared" si="16"/>
        <v>#VALUE!</v>
      </c>
      <c r="W27" s="29" t="e">
        <f t="shared" si="17"/>
        <v>#VALUE!</v>
      </c>
      <c r="X27" s="29" t="e">
        <f t="shared" si="18"/>
        <v>#VALUE!</v>
      </c>
      <c r="Y27" s="29" t="e">
        <f t="shared" si="19"/>
        <v>#VALUE!</v>
      </c>
      <c r="Z27" s="29" t="e">
        <f t="shared" si="20"/>
        <v>#VALUE!</v>
      </c>
    </row>
    <row r="28" spans="2:26" x14ac:dyDescent="0.3">
      <c r="B28" s="38">
        <v>4.0999999999999996</v>
      </c>
      <c r="C28" s="38">
        <f>IF(D10="",NA(),D10)</f>
        <v>-4.0999999999999979</v>
      </c>
      <c r="D28" s="38">
        <f t="shared" si="12"/>
        <v>-4.0999999999999979</v>
      </c>
      <c r="E28" s="38"/>
      <c r="F28" s="38"/>
      <c r="G28" s="37">
        <v>4</v>
      </c>
      <c r="H28" s="37">
        <f>C$43</f>
        <v>0</v>
      </c>
      <c r="J28" s="3"/>
      <c r="K28" s="37">
        <v>4.0999999999999996</v>
      </c>
      <c r="L28" s="37">
        <f>IF(M10="",NA(),M10)</f>
        <v>-0.74278765692506288</v>
      </c>
      <c r="M28" s="38">
        <f t="shared" si="13"/>
        <v>-0.74278765692506288</v>
      </c>
      <c r="N28" s="38"/>
      <c r="O28" s="38"/>
      <c r="P28" s="37">
        <v>4</v>
      </c>
      <c r="Q28" s="37">
        <f>L$43</f>
        <v>0</v>
      </c>
      <c r="T28" s="29">
        <f t="shared" si="14"/>
        <v>-5.8346632419973765E-3</v>
      </c>
      <c r="U28" s="29">
        <f t="shared" si="15"/>
        <v>19446.081267000682</v>
      </c>
      <c r="V28" s="29">
        <f t="shared" si="16"/>
        <v>109.97464230563442</v>
      </c>
      <c r="W28" s="29">
        <f t="shared" si="17"/>
        <v>19061.45266876481</v>
      </c>
      <c r="X28" s="29">
        <f t="shared" si="18"/>
        <v>19834.498448980707</v>
      </c>
      <c r="Y28" s="29">
        <f t="shared" si="19"/>
        <v>-5.7529767180872824</v>
      </c>
      <c r="Z28" s="29">
        <f t="shared" si="20"/>
        <v>-1.2425149198804206</v>
      </c>
    </row>
    <row r="29" spans="2:26" x14ac:dyDescent="0.3">
      <c r="B29" s="38">
        <v>4.0999999999999996</v>
      </c>
      <c r="C29" s="38">
        <f>IF(G10="",NA(),G10)</f>
        <v>-6.5290282292001205</v>
      </c>
      <c r="D29" s="38">
        <f t="shared" si="12"/>
        <v>-6.5290282292001205</v>
      </c>
      <c r="E29" s="38"/>
      <c r="F29" s="38"/>
      <c r="G29" s="37">
        <v>4.5</v>
      </c>
      <c r="H29" s="37">
        <f>C$43</f>
        <v>0</v>
      </c>
      <c r="J29" s="3"/>
      <c r="K29" s="37">
        <v>4.0999999999999996</v>
      </c>
      <c r="L29" s="38">
        <f>IF(P10="",NA(),P10)</f>
        <v>-1.2839378254315315</v>
      </c>
      <c r="M29" s="38">
        <f t="shared" si="13"/>
        <v>-1.2839378254315315</v>
      </c>
      <c r="N29" s="38"/>
      <c r="O29" s="38"/>
      <c r="P29" s="37">
        <v>4.5</v>
      </c>
      <c r="Q29" s="37">
        <f>L$43</f>
        <v>0</v>
      </c>
      <c r="T29" s="78">
        <f t="shared" si="14"/>
        <v>3.2827612399631779E-6</v>
      </c>
      <c r="U29" s="78">
        <f t="shared" si="15"/>
        <v>46482237899.245865</v>
      </c>
      <c r="V29" s="78">
        <f t="shared" si="16"/>
        <v>-152589.82662807003</v>
      </c>
      <c r="W29" s="78">
        <f t="shared" si="17"/>
        <v>46493996287.452461</v>
      </c>
      <c r="X29" s="52">
        <f t="shared" si="18"/>
        <v>46495191661.856033</v>
      </c>
      <c r="Y29" s="52">
        <f t="shared" si="19"/>
        <v>38.862275370804127</v>
      </c>
      <c r="Z29" s="52">
        <f t="shared" si="20"/>
        <v>42.786404130078154</v>
      </c>
    </row>
    <row r="30" spans="2:26" ht="15" thickBot="1" x14ac:dyDescent="0.35">
      <c r="B30" s="38">
        <v>5.0999999999999996</v>
      </c>
      <c r="C30" s="38">
        <f>IF(H11="",NA(),H11)</f>
        <v>1.7750834011249965</v>
      </c>
      <c r="D30" s="38">
        <f t="shared" si="12"/>
        <v>1.7750834011249965</v>
      </c>
      <c r="E30" s="38"/>
      <c r="F30" s="38"/>
      <c r="G30" s="37">
        <v>4.5</v>
      </c>
      <c r="H30" s="37">
        <f>C$44</f>
        <v>0</v>
      </c>
      <c r="J30" s="3"/>
      <c r="K30" s="38">
        <v>5.0999999999999996</v>
      </c>
      <c r="L30" s="38">
        <f>IF(Q11="",NA(),Q11)</f>
        <v>0.49731369048591151</v>
      </c>
      <c r="M30" s="38">
        <f t="shared" si="13"/>
        <v>0.49731369048591151</v>
      </c>
      <c r="N30" s="38"/>
      <c r="O30" s="38"/>
      <c r="P30" s="38">
        <v>4.5</v>
      </c>
      <c r="Q30" s="37">
        <f>L$44</f>
        <v>0</v>
      </c>
      <c r="T30" s="80" t="e">
        <f t="shared" si="14"/>
        <v>#VALUE!</v>
      </c>
      <c r="U30" s="80" t="e">
        <f t="shared" si="15"/>
        <v>#VALUE!</v>
      </c>
      <c r="V30" s="80" t="e">
        <f t="shared" si="16"/>
        <v>#VALUE!</v>
      </c>
      <c r="W30" s="80" t="e">
        <f t="shared" si="17"/>
        <v>#VALUE!</v>
      </c>
      <c r="X30" s="81" t="e">
        <f t="shared" si="18"/>
        <v>#VALUE!</v>
      </c>
      <c r="Y30" s="81" t="e">
        <f t="shared" si="19"/>
        <v>#VALUE!</v>
      </c>
      <c r="Z30" s="81" t="e">
        <f t="shared" si="20"/>
        <v>#VALUE!</v>
      </c>
    </row>
    <row r="31" spans="2:26" ht="15" thickBot="1" x14ac:dyDescent="0.35">
      <c r="B31" s="38">
        <v>5.0999999999999996</v>
      </c>
      <c r="C31" s="38">
        <f>IF(D11="",NA(),D11)</f>
        <v>0.20000000000000284</v>
      </c>
      <c r="D31" s="38">
        <f t="shared" si="12"/>
        <v>0.20000000000000284</v>
      </c>
      <c r="E31" s="38"/>
      <c r="F31" s="38"/>
      <c r="G31" s="37">
        <v>5</v>
      </c>
      <c r="H31" s="37">
        <f>C$44</f>
        <v>0</v>
      </c>
      <c r="J31" s="3"/>
      <c r="K31" s="38">
        <v>5.0999999999999996</v>
      </c>
      <c r="L31" s="37">
        <f>IF(M11="",NA(),M11)</f>
        <v>4.0944334007461343E-2</v>
      </c>
      <c r="M31" s="38">
        <f t="shared" si="13"/>
        <v>4.0944334007461343E-2</v>
      </c>
      <c r="N31" s="38"/>
      <c r="O31" s="38"/>
      <c r="P31" s="38">
        <v>5</v>
      </c>
      <c r="Q31" s="37">
        <f>L$44</f>
        <v>0</v>
      </c>
    </row>
    <row r="32" spans="2:26" ht="15" thickBot="1" x14ac:dyDescent="0.35">
      <c r="B32" s="38">
        <v>5.0999999999999996</v>
      </c>
      <c r="C32" s="38">
        <f>IF(G11="",NA(),G11)</f>
        <v>-1.3750834011249908</v>
      </c>
      <c r="D32" s="38">
        <f t="shared" si="12"/>
        <v>-1.3750834011249908</v>
      </c>
      <c r="E32" s="38"/>
      <c r="F32" s="38"/>
      <c r="G32" s="38">
        <v>5.5</v>
      </c>
      <c r="H32" s="37">
        <f>C$44</f>
        <v>0</v>
      </c>
      <c r="K32" s="38">
        <v>5.0999999999999996</v>
      </c>
      <c r="L32" s="38">
        <f>IF(P11="",NA(),P11)</f>
        <v>-0.38001210377345479</v>
      </c>
      <c r="M32" s="38">
        <f t="shared" si="13"/>
        <v>-0.38001210377345479</v>
      </c>
      <c r="N32" s="38"/>
      <c r="O32" s="38"/>
      <c r="P32" s="38">
        <v>5.5</v>
      </c>
      <c r="Q32" s="37">
        <f>L$44</f>
        <v>0</v>
      </c>
      <c r="V32" s="63" t="s">
        <v>71</v>
      </c>
      <c r="W32" s="63" t="s">
        <v>72</v>
      </c>
      <c r="X32" s="63" t="s">
        <v>73</v>
      </c>
      <c r="Y32" s="63" t="s">
        <v>19</v>
      </c>
      <c r="Z32" s="63" t="s">
        <v>20</v>
      </c>
    </row>
    <row r="33" spans="2:26" ht="15.6" x14ac:dyDescent="0.3">
      <c r="B33" s="38">
        <v>6.1</v>
      </c>
      <c r="C33" s="38" t="e">
        <f>IF(H12="",NA(),H12)</f>
        <v>#N/A</v>
      </c>
      <c r="D33" s="38" t="e">
        <f t="shared" si="12"/>
        <v>#N/A</v>
      </c>
      <c r="E33" s="38"/>
      <c r="F33" s="38"/>
      <c r="G33" s="38">
        <v>5.5</v>
      </c>
      <c r="H33" s="37">
        <f>C$45</f>
        <v>0</v>
      </c>
      <c r="J33" s="4"/>
      <c r="K33" s="38">
        <v>6.1</v>
      </c>
      <c r="L33" s="38" t="e">
        <f>IF(Q12="",NA(),Q12)</f>
        <v>#N/A</v>
      </c>
      <c r="M33" s="38" t="e">
        <f t="shared" si="13"/>
        <v>#N/A</v>
      </c>
      <c r="N33" s="38"/>
      <c r="O33" s="38"/>
      <c r="P33" s="38">
        <v>5.5</v>
      </c>
      <c r="Q33" s="37">
        <f>L$45</f>
        <v>0</v>
      </c>
      <c r="V33" s="28">
        <f t="shared" ref="V33:V38" si="21">SQRT(V17)</f>
        <v>1.1498509669457289</v>
      </c>
      <c r="W33" s="28">
        <f t="shared" ref="W33:W38" si="22">NORMINV((1-$Q$4/100)/2,0,1)</f>
        <v>-1.9599639845400536</v>
      </c>
      <c r="X33" s="28">
        <f t="shared" ref="X33:X38" si="23">NORMINV(1-(1-$Q$4/100)/2,0,1)</f>
        <v>1.9599639845400536</v>
      </c>
      <c r="Y33" s="28">
        <f t="shared" ref="Y33:Y38" si="24">U17+W33*V33</f>
        <v>-5.7303371210663769</v>
      </c>
      <c r="Z33" s="28">
        <f t="shared" ref="Z33:Z38" si="25">U17+X33*V33</f>
        <v>-1.2230041554620077</v>
      </c>
    </row>
    <row r="34" spans="2:26" x14ac:dyDescent="0.3">
      <c r="B34" s="38">
        <v>6.1</v>
      </c>
      <c r="C34" s="38" t="e">
        <f>IF(D12="",NA(),D12)</f>
        <v>#N/A</v>
      </c>
      <c r="D34" s="38" t="e">
        <f t="shared" si="12"/>
        <v>#N/A</v>
      </c>
      <c r="E34" s="38"/>
      <c r="F34" s="38"/>
      <c r="G34" s="38">
        <v>6</v>
      </c>
      <c r="H34" s="38">
        <f>C$45</f>
        <v>0</v>
      </c>
      <c r="K34" s="38">
        <v>6.1</v>
      </c>
      <c r="L34" s="37" t="e">
        <f>IF(M12="",NA(),M12)</f>
        <v>#N/A</v>
      </c>
      <c r="M34" s="38" t="e">
        <f t="shared" si="13"/>
        <v>#N/A</v>
      </c>
      <c r="N34" s="38"/>
      <c r="O34" s="38"/>
      <c r="P34" s="38">
        <v>6</v>
      </c>
      <c r="Q34" s="37">
        <f>L$45</f>
        <v>0</v>
      </c>
      <c r="V34" s="28" t="e">
        <f t="shared" si="21"/>
        <v>#VALUE!</v>
      </c>
      <c r="W34" s="28">
        <f t="shared" si="22"/>
        <v>-1.9599639845400536</v>
      </c>
      <c r="X34" s="28">
        <f t="shared" si="23"/>
        <v>1.9599639845400536</v>
      </c>
      <c r="Y34" s="28" t="e">
        <f t="shared" si="24"/>
        <v>#VALUE!</v>
      </c>
      <c r="Z34" s="28" t="e">
        <f t="shared" si="25"/>
        <v>#VALUE!</v>
      </c>
    </row>
    <row r="35" spans="2:26" x14ac:dyDescent="0.3">
      <c r="B35" s="38">
        <v>6.1</v>
      </c>
      <c r="C35" s="38" t="e">
        <f>IF(G12="",NA(),G12)</f>
        <v>#N/A</v>
      </c>
      <c r="D35" s="38" t="e">
        <f t="shared" si="12"/>
        <v>#N/A</v>
      </c>
      <c r="E35" s="38"/>
      <c r="F35" s="38"/>
      <c r="G35" s="38">
        <v>6.5</v>
      </c>
      <c r="H35" s="38">
        <f>C$45</f>
        <v>0</v>
      </c>
      <c r="K35" s="38">
        <v>6.1</v>
      </c>
      <c r="L35" s="38" t="e">
        <f>IF(P12="",NA(),P12)</f>
        <v>#N/A</v>
      </c>
      <c r="M35" s="38" t="e">
        <f t="shared" si="13"/>
        <v>#N/A</v>
      </c>
      <c r="N35" s="38"/>
      <c r="O35" s="38"/>
      <c r="P35" s="38">
        <v>6.5</v>
      </c>
      <c r="Q35" s="37">
        <f>L$45</f>
        <v>0</v>
      </c>
      <c r="V35" s="28" t="e">
        <f t="shared" si="21"/>
        <v>#VALUE!</v>
      </c>
      <c r="W35" s="28">
        <f t="shared" si="22"/>
        <v>-1.9599639845400536</v>
      </c>
      <c r="X35" s="28">
        <f t="shared" si="23"/>
        <v>1.9599639845400536</v>
      </c>
      <c r="Y35" s="28" t="e">
        <f t="shared" si="24"/>
        <v>#VALUE!</v>
      </c>
      <c r="Z35" s="28" t="e">
        <f t="shared" si="25"/>
        <v>#VALUE!</v>
      </c>
    </row>
    <row r="36" spans="2:26" x14ac:dyDescent="0.3">
      <c r="B36" s="25"/>
      <c r="C36" s="25"/>
      <c r="D36" s="25"/>
      <c r="E36" s="25"/>
      <c r="F36" s="25"/>
      <c r="G36" s="25"/>
      <c r="H36" s="25"/>
      <c r="V36" s="28">
        <f t="shared" si="21"/>
        <v>1.150659536122717</v>
      </c>
      <c r="W36" s="28">
        <f t="shared" si="22"/>
        <v>-1.9599639845400536</v>
      </c>
      <c r="X36" s="28">
        <f t="shared" si="23"/>
        <v>1.9599639845400536</v>
      </c>
      <c r="Y36" s="28">
        <f t="shared" si="24"/>
        <v>-5.7419445130963256</v>
      </c>
      <c r="Z36" s="28">
        <f t="shared" si="25"/>
        <v>-1.2314420145601455</v>
      </c>
    </row>
    <row r="37" spans="2:26" ht="15.6" x14ac:dyDescent="0.3">
      <c r="B37" s="46" t="s">
        <v>111</v>
      </c>
      <c r="C37"/>
      <c r="D37"/>
      <c r="E37"/>
      <c r="F37"/>
      <c r="G37"/>
      <c r="H37"/>
      <c r="J37" s="3"/>
      <c r="K37" s="46" t="s">
        <v>116</v>
      </c>
      <c r="L37" s="3"/>
      <c r="M37" s="3"/>
      <c r="N37" s="3"/>
      <c r="O37" s="3"/>
      <c r="P37" s="3"/>
      <c r="Q37" s="3"/>
      <c r="V37" s="28">
        <f t="shared" si="21"/>
        <v>1.0009164096136725</v>
      </c>
      <c r="W37" s="28">
        <f t="shared" si="22"/>
        <v>-1.9599639845400536</v>
      </c>
      <c r="X37" s="28">
        <f t="shared" si="23"/>
        <v>1.9599639845400536</v>
      </c>
      <c r="Y37" s="28">
        <f t="shared" si="24"/>
        <v>-1.6994657926202985</v>
      </c>
      <c r="Z37" s="28">
        <f t="shared" si="25"/>
        <v>2.2240544361355772</v>
      </c>
    </row>
    <row r="38" spans="2:26" ht="15" thickBot="1" x14ac:dyDescent="0.35">
      <c r="B38"/>
      <c r="C38"/>
      <c r="D38"/>
      <c r="E38"/>
      <c r="F38"/>
      <c r="G38"/>
      <c r="H38"/>
      <c r="J38" s="3"/>
      <c r="K38" s="3"/>
      <c r="L38" s="3"/>
      <c r="M38" s="3"/>
      <c r="N38" s="3"/>
      <c r="O38" s="3"/>
      <c r="P38" s="3"/>
      <c r="Q38" s="3"/>
      <c r="V38" s="28" t="e">
        <f t="shared" si="21"/>
        <v>#VALUE!</v>
      </c>
      <c r="W38" s="28">
        <f t="shared" si="22"/>
        <v>-1.9599639845400536</v>
      </c>
      <c r="X38" s="28">
        <f t="shared" si="23"/>
        <v>1.9599639845400536</v>
      </c>
      <c r="Y38" s="28" t="e">
        <f t="shared" si="24"/>
        <v>#VALUE!</v>
      </c>
      <c r="Z38" s="28" t="e">
        <f t="shared" si="25"/>
        <v>#VALUE!</v>
      </c>
    </row>
    <row r="39" spans="2:26" ht="15" thickBot="1" x14ac:dyDescent="0.35">
      <c r="B39" s="48" t="s">
        <v>63</v>
      </c>
      <c r="C39" s="54" t="s">
        <v>34</v>
      </c>
      <c r="D39" s="54" t="s">
        <v>50</v>
      </c>
      <c r="E39" s="54" t="s">
        <v>78</v>
      </c>
      <c r="F39" s="63" t="s">
        <v>9</v>
      </c>
      <c r="G39" s="48" t="s">
        <v>2</v>
      </c>
      <c r="H39" s="63" t="s">
        <v>49</v>
      </c>
      <c r="J39" s="3"/>
      <c r="K39" s="48" t="s">
        <v>63</v>
      </c>
      <c r="L39" s="48" t="s">
        <v>37</v>
      </c>
      <c r="M39" s="3"/>
      <c r="N39" s="3"/>
      <c r="O39" s="3"/>
      <c r="P39" s="3"/>
      <c r="Q39" s="3"/>
      <c r="V39" s="9"/>
      <c r="W39" s="9"/>
      <c r="X39" s="9"/>
      <c r="Y39" s="9"/>
      <c r="Z39" s="9"/>
    </row>
    <row r="40" spans="2:26" x14ac:dyDescent="0.3">
      <c r="B40" s="19" t="str">
        <f t="shared" ref="B40:B45" si="26">B7</f>
        <v>1 vs. 2</v>
      </c>
      <c r="C40" s="14">
        <v>0</v>
      </c>
      <c r="D40" s="20">
        <f t="shared" ref="D40:D45" si="27">IFERROR(D7-C40,"")</f>
        <v>-4.3000000000000007</v>
      </c>
      <c r="E40" s="20">
        <f t="shared" ref="E40:E45" si="28">F7</f>
        <v>1.2206555615733701</v>
      </c>
      <c r="F40" s="27">
        <f t="shared" ref="F40:F45" si="29">IFERROR(D40/E40,"")</f>
        <v>-3.5226972582318754</v>
      </c>
      <c r="G40" s="42">
        <f>IF(B40="","",Data!V7-1)</f>
        <v>19</v>
      </c>
      <c r="H40" s="20">
        <f t="shared" ref="H40:H45" si="30">IFERROR(IF(TDIST(ABS(F40),G40,2)&lt;0.001,"&lt; 0.001",TDIST(ABS(F40),G40,2)),"")</f>
        <v>2.2750540542793977E-3</v>
      </c>
      <c r="J40" s="3"/>
      <c r="K40" s="19" t="str">
        <f t="shared" ref="K40:K45" si="31">K7</f>
        <v>1 vs. 2</v>
      </c>
      <c r="L40" s="14">
        <v>0</v>
      </c>
      <c r="M40" s="3"/>
      <c r="N40" s="3"/>
      <c r="O40" s="3"/>
      <c r="P40" s="3"/>
      <c r="Q40" s="3"/>
    </row>
    <row r="41" spans="2:26" x14ac:dyDescent="0.3">
      <c r="B41" s="21" t="str">
        <f t="shared" si="26"/>
        <v/>
      </c>
      <c r="C41" s="15"/>
      <c r="D41" s="22" t="str">
        <f t="shared" si="27"/>
        <v/>
      </c>
      <c r="E41" s="22" t="str">
        <f t="shared" si="28"/>
        <v/>
      </c>
      <c r="F41" s="29" t="str">
        <f t="shared" si="29"/>
        <v/>
      </c>
      <c r="G41" s="43" t="str">
        <f>IF(B41="","",Data!V7-1)</f>
        <v/>
      </c>
      <c r="H41" s="22" t="str">
        <f t="shared" si="30"/>
        <v/>
      </c>
      <c r="J41" s="3"/>
      <c r="K41" s="21" t="str">
        <f t="shared" si="31"/>
        <v/>
      </c>
      <c r="L41" s="15"/>
      <c r="M41" s="3"/>
      <c r="N41" s="3"/>
      <c r="O41" s="3"/>
      <c r="P41" s="3"/>
      <c r="Q41" s="3"/>
    </row>
    <row r="42" spans="2:26" x14ac:dyDescent="0.3">
      <c r="B42" s="21" t="str">
        <f t="shared" si="26"/>
        <v/>
      </c>
      <c r="C42" s="15"/>
      <c r="D42" s="22" t="str">
        <f t="shared" si="27"/>
        <v/>
      </c>
      <c r="E42" s="22" t="str">
        <f t="shared" si="28"/>
        <v/>
      </c>
      <c r="F42" s="29" t="str">
        <f t="shared" si="29"/>
        <v/>
      </c>
      <c r="G42" s="43" t="str">
        <f>IF(B42="","",Data!V8-1)</f>
        <v/>
      </c>
      <c r="H42" s="22" t="str">
        <f t="shared" si="30"/>
        <v/>
      </c>
      <c r="J42" s="3"/>
      <c r="K42" s="21" t="str">
        <f t="shared" si="31"/>
        <v/>
      </c>
      <c r="L42" s="15"/>
      <c r="M42" s="3"/>
      <c r="N42" s="3"/>
      <c r="O42" s="3"/>
      <c r="P42" s="3"/>
      <c r="Q42" s="3"/>
    </row>
    <row r="43" spans="2:26" x14ac:dyDescent="0.3">
      <c r="B43" s="21" t="str">
        <f t="shared" si="26"/>
        <v>1 vs. 4</v>
      </c>
      <c r="C43" s="15">
        <v>0</v>
      </c>
      <c r="D43" s="22">
        <f t="shared" si="27"/>
        <v>-4.0999999999999979</v>
      </c>
      <c r="E43" s="22">
        <f t="shared" si="28"/>
        <v>1.1605352667037558</v>
      </c>
      <c r="F43" s="29">
        <f t="shared" si="29"/>
        <v>-3.5328525703877509</v>
      </c>
      <c r="G43" s="43">
        <f>IF(B43="","",Data!V7-1)</f>
        <v>19</v>
      </c>
      <c r="H43" s="22">
        <f t="shared" si="30"/>
        <v>2.2231831659869591E-3</v>
      </c>
      <c r="J43" s="3"/>
      <c r="K43" s="21" t="str">
        <f t="shared" si="31"/>
        <v>1 vs. 4</v>
      </c>
      <c r="L43" s="15">
        <v>0</v>
      </c>
      <c r="M43" s="3"/>
      <c r="N43" s="3"/>
      <c r="O43" s="3"/>
      <c r="P43" s="3"/>
      <c r="Q43" s="3"/>
    </row>
    <row r="44" spans="2:26" x14ac:dyDescent="0.3">
      <c r="B44" s="21" t="str">
        <f t="shared" si="26"/>
        <v>2 vs. 4</v>
      </c>
      <c r="C44" s="15">
        <v>0</v>
      </c>
      <c r="D44" s="22">
        <f t="shared" si="27"/>
        <v>0.20000000000000284</v>
      </c>
      <c r="E44" s="22">
        <f t="shared" si="28"/>
        <v>0.75253956007221556</v>
      </c>
      <c r="F44" s="29">
        <f t="shared" si="29"/>
        <v>0.26576675913331432</v>
      </c>
      <c r="G44" s="43">
        <f>IF(B44="","",Data!V7-1)</f>
        <v>19</v>
      </c>
      <c r="H44" s="22">
        <f t="shared" si="30"/>
        <v>0.79328124698721625</v>
      </c>
      <c r="J44" s="3"/>
      <c r="K44" s="21" t="str">
        <f t="shared" si="31"/>
        <v>2 vs. 4</v>
      </c>
      <c r="L44" s="15">
        <v>0</v>
      </c>
      <c r="M44" s="3"/>
      <c r="N44" s="3"/>
      <c r="O44" s="3"/>
      <c r="P44" s="3"/>
      <c r="Q44" s="3"/>
    </row>
    <row r="45" spans="2:26" ht="15" thickBot="1" x14ac:dyDescent="0.35">
      <c r="B45" s="23" t="str">
        <f t="shared" si="26"/>
        <v/>
      </c>
      <c r="C45" s="16"/>
      <c r="D45" s="24" t="str">
        <f t="shared" si="27"/>
        <v/>
      </c>
      <c r="E45" s="24" t="str">
        <f t="shared" si="28"/>
        <v/>
      </c>
      <c r="F45" s="30" t="str">
        <f t="shared" si="29"/>
        <v/>
      </c>
      <c r="G45" s="44" t="str">
        <f>IF(B45="","",Data!V7-1)</f>
        <v/>
      </c>
      <c r="H45" s="24" t="str">
        <f t="shared" si="30"/>
        <v/>
      </c>
      <c r="J45" s="3"/>
      <c r="K45" s="23" t="str">
        <f t="shared" si="31"/>
        <v/>
      </c>
      <c r="L45" s="16"/>
      <c r="M45" s="3"/>
      <c r="N45" s="3"/>
      <c r="O45" s="3"/>
      <c r="P45" s="3"/>
      <c r="Q45" s="3"/>
    </row>
    <row r="46" spans="2:26" x14ac:dyDescent="0.3">
      <c r="B46" s="9"/>
      <c r="C46" s="2"/>
      <c r="D46" s="9"/>
      <c r="E46"/>
      <c r="F46"/>
      <c r="G46"/>
      <c r="H46"/>
      <c r="J46" s="3"/>
      <c r="K46" s="9"/>
      <c r="L46" s="2"/>
      <c r="M46" s="3"/>
      <c r="N46" s="3"/>
      <c r="O46" s="3"/>
      <c r="P46" s="3"/>
      <c r="Q46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Data</vt:lpstr>
      <vt:lpstr>Means</vt:lpstr>
      <vt:lpstr>OneComp</vt:lpstr>
      <vt:lpstr>Pairwise</vt:lpstr>
    </vt:vector>
  </TitlesOfParts>
  <Manager>Department of Psychology</Manager>
  <Company>University of Wisconsin - Stevens Point</Company>
  <LinksUpToDate>false</LinksUpToDate>
  <SharedDoc>false</SharedDoc>
  <HyperlinkBase>http://www4.uwsp.edu/psych/cw/statistics/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EASE(D) - Repeated Measures</dc:title>
  <dc:subject>Statistics</dc:subject>
  <dc:creator>Craig Wendorf</dc:creator>
  <cp:keywords>confidence intervals, effect sizes</cp:keywords>
  <cp:lastModifiedBy>Wendorf, Craig</cp:lastModifiedBy>
  <cp:lastPrinted>2017-03-13T19:16:46Z</cp:lastPrinted>
  <dcterms:created xsi:type="dcterms:W3CDTF">2010-01-13T12:26:09Z</dcterms:created>
  <dcterms:modified xsi:type="dcterms:W3CDTF">2023-03-12T21:37:44Z</dcterms:modified>
</cp:coreProperties>
</file>