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Research/Statistics/BASE/EASE/"/>
    </mc:Choice>
  </mc:AlternateContent>
  <xr:revisionPtr revIDLastSave="6" documentId="114_{7668EF33-9012-4FA7-8E13-BFA149DCF87D}" xr6:coauthVersionLast="47" xr6:coauthVersionMax="47" xr10:uidLastSave="{D69B4BFB-0A47-4EAF-8E9A-A4A7EAEE49C1}"/>
  <bookViews>
    <workbookView xWindow="-108" yWindow="-108" windowWidth="23256" windowHeight="12576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L4" i="1"/>
  <c r="X7" i="1"/>
  <c r="E8" i="21"/>
  <c r="M4" i="1"/>
  <c r="X8" i="1"/>
  <c r="E7" i="21"/>
  <c r="W7" i="1"/>
  <c r="D8" i="21"/>
  <c r="W8" i="1"/>
  <c r="D7" i="21"/>
  <c r="V7" i="1"/>
  <c r="C8" i="21"/>
  <c r="V8" i="1"/>
  <c r="C7" i="21"/>
  <c r="G41" i="21"/>
  <c r="N8" i="21"/>
  <c r="L8" i="21"/>
  <c r="O8" i="21"/>
  <c r="G44" i="21"/>
  <c r="T19" i="21"/>
  <c r="D11" i="21"/>
  <c r="D44" i="21"/>
  <c r="F7" i="21"/>
  <c r="F8" i="21"/>
  <c r="X22" i="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Z7" i="1"/>
  <c r="Z8" i="1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N4" i="1"/>
  <c r="V9" i="1"/>
  <c r="W9" i="1"/>
  <c r="O4" i="1"/>
  <c r="W10" i="1"/>
  <c r="D12" i="8"/>
  <c r="X9" i="1"/>
  <c r="X10" i="1"/>
  <c r="L12" i="8"/>
  <c r="Z24" i="1"/>
  <c r="O12" i="8"/>
  <c r="D11" i="8"/>
  <c r="L11" i="8"/>
  <c r="Z23" i="1"/>
  <c r="O11" i="8"/>
  <c r="D10" i="8"/>
  <c r="L10" i="8"/>
  <c r="Z22" i="1"/>
  <c r="O10" i="8"/>
  <c r="D9" i="8"/>
  <c r="L9" i="8"/>
  <c r="Y23" i="1"/>
  <c r="O9" i="8"/>
  <c r="D8" i="8"/>
  <c r="L8" i="8"/>
  <c r="Y22" i="1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8" i="21"/>
  <c r="K41" i="21"/>
  <c r="K7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T10" i="1"/>
  <c r="B10" i="2"/>
  <c r="K10" i="2"/>
  <c r="K43" i="2"/>
  <c r="T9" i="1"/>
  <c r="B9" i="2"/>
  <c r="K9" i="2"/>
  <c r="K42" i="2"/>
  <c r="T8" i="1"/>
  <c r="B8" i="2"/>
  <c r="K8" i="2"/>
  <c r="K41" i="2"/>
  <c r="T7" i="1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Y7" i="1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V10" i="1"/>
  <c r="Y10" i="1"/>
  <c r="N10" i="2"/>
  <c r="Y9" i="1"/>
  <c r="N9" i="2"/>
  <c r="Y8" i="1"/>
  <c r="N8" i="2"/>
  <c r="D10" i="2"/>
  <c r="Z10" i="1"/>
  <c r="H10" i="2"/>
  <c r="G10" i="2"/>
  <c r="D9" i="2"/>
  <c r="Z9" i="1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V11" i="1"/>
  <c r="Y11" i="1"/>
  <c r="W11" i="1"/>
  <c r="X11" i="1"/>
  <c r="V35" i="1"/>
  <c r="U35" i="1"/>
  <c r="V32" i="1"/>
  <c r="U33" i="1"/>
  <c r="V3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U32" i="1"/>
  <c r="U34" i="1"/>
  <c r="V34" i="1"/>
  <c r="W34" i="1"/>
  <c r="E39" i="21"/>
  <c r="E40" i="21"/>
  <c r="E41" i="21"/>
  <c r="E44" i="21"/>
  <c r="F31" i="21"/>
  <c r="F32" i="21"/>
  <c r="G31" i="21"/>
  <c r="G32" i="21"/>
  <c r="H31" i="21"/>
  <c r="H32" i="21"/>
  <c r="H16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Y27" i="8"/>
  <c r="Y19" i="8"/>
  <c r="P9" i="8"/>
  <c r="L26" i="8"/>
  <c r="M26" i="8"/>
  <c r="Q25" i="8"/>
  <c r="M25" i="8"/>
  <c r="Q24" i="8"/>
  <c r="X35" i="8"/>
  <c r="Z35" i="8"/>
  <c r="X27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Y26" i="2"/>
  <c r="Y20" i="2"/>
  <c r="P10" i="2"/>
  <c r="L29" i="2"/>
  <c r="M29" i="2"/>
  <c r="Q28" i="2"/>
  <c r="E10" i="2"/>
  <c r="L10" i="2"/>
  <c r="M10" i="2"/>
  <c r="L28" i="2"/>
  <c r="M28" i="2"/>
  <c r="Q27" i="2"/>
  <c r="X26" i="2"/>
  <c r="Z26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Y24" i="2"/>
  <c r="Y18" i="2"/>
  <c r="P8" i="2"/>
  <c r="L23" i="2"/>
  <c r="M23" i="2"/>
  <c r="Q22" i="2"/>
  <c r="E8" i="2"/>
  <c r="L8" i="2"/>
  <c r="M8" i="2"/>
  <c r="L22" i="2"/>
  <c r="M22" i="2"/>
  <c r="Q21" i="2"/>
  <c r="X24" i="2"/>
  <c r="Z24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W35" i="1"/>
  <c r="Z33" i="1"/>
  <c r="W33" i="1"/>
  <c r="X33" i="1"/>
  <c r="Y33" i="1"/>
  <c r="W32" i="1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Z11" i="1"/>
  <c r="X32" i="2"/>
  <c r="V32" i="2"/>
  <c r="Z32" i="2"/>
  <c r="W32" i="2"/>
  <c r="Y32" i="2"/>
  <c r="X30" i="2"/>
  <c r="V30" i="2"/>
  <c r="Z30" i="2"/>
  <c r="W30" i="2"/>
  <c r="Y30" i="2"/>
  <c r="E10" i="8"/>
  <c r="E9" i="8"/>
  <c r="E8" i="8"/>
  <c r="T25" i="1"/>
  <c r="T24" i="1"/>
  <c r="T23" i="1"/>
  <c r="T22" i="1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</calcChain>
</file>

<file path=xl/sharedStrings.xml><?xml version="1.0" encoding="utf-8"?>
<sst xmlns="http://schemas.openxmlformats.org/spreadsheetml/2006/main" count="313" uniqueCount="129">
  <si>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</si>
  <si>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</si>
  <si>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</si>
  <si>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</si>
  <si>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</si>
  <si>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</si>
  <si>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</si>
  <si>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</si>
  <si>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</si>
  <si>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</si>
  <si>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</si>
  <si>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</si>
  <si>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</si>
  <si>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</si>
  <si>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</si>
  <si>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</si>
  <si>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</si>
  <si>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</si>
  <si>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</si>
  <si>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</si>
  <si>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</si>
  <si>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</si>
  <si>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</si>
  <si>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</si>
  <si>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Raw Data</t>
  </si>
  <si>
    <t>Description</t>
  </si>
  <si>
    <t>Value</t>
  </si>
  <si>
    <t>Project Name</t>
  </si>
  <si>
    <t>Project Description</t>
  </si>
  <si>
    <t>ID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</si>
  <si>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</si>
  <si>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</si>
  <si>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</si>
  <si>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</si>
  <si>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</si>
  <si>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Input Method: Raw Data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</si>
  <si>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</si>
  <si>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</si>
  <si>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</si>
  <si>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</si>
  <si>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</si>
  <si>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</si>
  <si>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</si>
  <si>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</si>
  <si>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</si>
  <si>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</si>
  <si>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</si>
  <si>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</si>
  <si>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</si>
  <si>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</si>
  <si>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</si>
  <si>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</si>
  <si>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</si>
  <si>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</si>
  <si>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</si>
  <si>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</si>
  <si>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</si>
  <si>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</si>
  <si>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</si>
  <si>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</si>
  <si>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</si>
  <si>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</si>
  <si>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</si>
  <si>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</si>
  <si>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</si>
  <si>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</si>
  <si>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</si>
  <si>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</si>
  <si>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</si>
  <si>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</si>
  <si>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</si>
  <si>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</si>
  <si>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</si>
  <si>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</si>
  <si>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</si>
  <si>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</si>
  <si>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</si>
  <si>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</si>
  <si>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</si>
  <si>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</si>
  <si>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</si>
  <si>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</si>
  <si>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</si>
  <si>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</si>
  <si>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</si>
  <si>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</si>
  <si>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</si>
  <si>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</si>
  <si>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</si>
  <si>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</si>
  <si>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</si>
  <si>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</si>
  <si>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</si>
  <si>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</si>
  <si>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</si>
  <si>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</si>
  <si>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</si>
  <si>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</si>
  <si>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</si>
  <si>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</si>
  <si>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</si>
  <si>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</si>
  <si>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This module uses raw data as input.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</si>
  <si>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</si>
  <si>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</si>
  <si>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</si>
  <si>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</si>
  <si>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</si>
  <si>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</si>
  <si>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</si>
  <si>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</si>
  <si>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</si>
  <si>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</si>
  <si>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</si>
  <si>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</si>
  <si>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</si>
  <si>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</si>
  <si>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</si>
  <si>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</si>
  <si>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Using this Module</t>
  </si>
  <si>
    <t>OneComp:</t>
  </si>
  <si>
    <t>EASE: Estimation Approach to Statistics with Excel</t>
  </si>
  <si>
    <t>cwendorf@uwsp.edu</t>
  </si>
  <si>
    <t>How to Cite</t>
  </si>
  <si>
    <t>EASE: Estimation Approach to Statistics with Excel [Excel Spreadsheet].</t>
  </si>
  <si>
    <t>Version: 2.20200104</t>
  </si>
  <si>
    <t>https://cwendorf.github.io/BASE/EASE</t>
  </si>
  <si>
    <t>http://cwendorf.github.io</t>
  </si>
  <si>
    <t>Wendorf, C. A. (2020).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</si>
</sst>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10" applyNumberFormat="0" applyFont="0" applyAlignment="0" applyProtection="0"/>
    <xf numFmtId="0" fontId="16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3" fillId="0" borderId="0" xfId="0" applyFont="1"/>
    <xf numFmtId="0" fontId="5" fillId="0" borderId="0" xfId="0" applyFont="1" applyProtection="1">
      <protection hidden="1"/>
    </xf>
    <xf numFmtId="0" fontId="0" fillId="0" borderId="1" xfId="0" applyBorder="1"/>
    <xf numFmtId="0" fontId="0" fillId="0" borderId="2" xfId="0" applyBorder="1"/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8" fillId="0" borderId="0" xfId="0" applyFont="1" applyAlignment="1" applyProtection="1">
      <alignment horizontal="center"/>
      <protection hidden="1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8" xfId="0" applyFill="1" applyBorder="1" applyAlignment="1" applyProtection="1">
      <alignment horizontal="center"/>
      <protection locked="0" hidden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/>
    <xf numFmtId="0" fontId="0" fillId="3" borderId="4" xfId="0" applyFill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8" fillId="0" borderId="0" xfId="5" applyFont="1" applyAlignment="1" applyProtection="1">
      <alignment horizontal="center"/>
      <protection hidden="1"/>
    </xf>
    <xf numFmtId="0" fontId="5" fillId="0" borderId="0" xfId="0" applyFont="1"/>
    <xf numFmtId="0" fontId="10" fillId="0" borderId="0" xfId="5" applyFont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hidden="1"/>
    </xf>
    <xf numFmtId="0" fontId="13" fillId="0" borderId="1" xfId="0" applyFont="1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164" fontId="8" fillId="0" borderId="3" xfId="0" applyNumberFormat="1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14" fillId="0" borderId="3" xfId="0" applyFont="1" applyBorder="1" applyAlignment="1" applyProtection="1">
      <alignment horizontal="center"/>
      <protection hidden="1"/>
    </xf>
    <xf numFmtId="164" fontId="8" fillId="0" borderId="4" xfId="0" applyNumberFormat="1" applyFont="1" applyBorder="1" applyAlignment="1" applyProtection="1">
      <alignment horizontal="center"/>
      <protection hidden="1"/>
    </xf>
    <xf numFmtId="1" fontId="8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Border="1" applyAlignment="1" applyProtection="1">
      <alignment horizontal="center"/>
      <protection hidden="1"/>
    </xf>
    <xf numFmtId="1" fontId="8" fillId="0" borderId="4" xfId="5" applyNumberFormat="1" applyFont="1" applyBorder="1" applyAlignment="1" applyProtection="1">
      <alignment horizontal="center"/>
      <protection hidden="1"/>
    </xf>
    <xf numFmtId="165" fontId="8" fillId="0" borderId="4" xfId="0" applyNumberFormat="1" applyFont="1" applyBorder="1" applyAlignment="1" applyProtection="1">
      <alignment horizontal="center"/>
      <protection hidden="1"/>
    </xf>
    <xf numFmtId="164" fontId="8" fillId="0" borderId="5" xfId="0" applyNumberFormat="1" applyFont="1" applyBorder="1" applyAlignment="1" applyProtection="1">
      <alignment horizontal="center"/>
      <protection hidden="1"/>
    </xf>
    <xf numFmtId="1" fontId="8" fillId="0" borderId="5" xfId="0" applyNumberFormat="1" applyFont="1" applyBorder="1" applyAlignment="1" applyProtection="1">
      <alignment horizontal="center"/>
      <protection hidden="1"/>
    </xf>
    <xf numFmtId="0" fontId="0" fillId="0" borderId="7" xfId="0" applyBorder="1"/>
    <xf numFmtId="164" fontId="0" fillId="0" borderId="2" xfId="0" applyNumberFormat="1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8" fillId="0" borderId="0" xfId="0" applyFont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>
      <alignment horizontal="left"/>
    </xf>
    <xf numFmtId="0" fontId="1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Protection="1">
      <protection hidden="1"/>
    </xf>
    <xf numFmtId="164" fontId="0" fillId="0" borderId="0" xfId="0" applyNumberFormat="1" applyAlignment="1">
      <alignment horizontal="left"/>
    </xf>
    <xf numFmtId="0" fontId="17" fillId="0" borderId="0" xfId="0" applyFont="1" applyProtection="1"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/>
    <xf numFmtId="164" fontId="0" fillId="4" borderId="12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4" fontId="8" fillId="0" borderId="0" xfId="0" applyNumberFormat="1" applyFont="1" applyAlignment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hidden="1"/>
    </xf>
    <xf numFmtId="0" fontId="18" fillId="0" borderId="0" xfId="0" applyFont="1" applyProtection="1">
      <protection hidden="1"/>
    </xf>
    <xf numFmtId="164" fontId="8" fillId="0" borderId="0" xfId="0" applyNumberFormat="1" applyFont="1"/>
    <xf numFmtId="164" fontId="9" fillId="0" borderId="11" xfId="0" applyNumberFormat="1" applyFont="1" applyBorder="1" applyAlignment="1">
      <alignment horizontal="center"/>
    </xf>
    <xf numFmtId="0" fontId="16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1" xfId="6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0" fontId="17" fillId="0" borderId="0" xfId="0" applyFont="1" applyAlignment="1" applyProtection="1">
      <alignment horizontal="center"/>
      <protection hidden="1"/>
    </xf>
    <xf numFmtId="0" fontId="19" fillId="0" borderId="0" xfId="7" applyFont="1" applyFill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Border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multiLvlStrRef>
              <c:f>Means!$B$7:$B$10</c:f>
            </c:multiLvlStrRef>
          </c:cat>
          <c:val>
            <c:numRef>
              <c:f>Means!$D$7:$D$10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Means!$K$7:$K$10</c:f>
            </c:multiLvlStrRef>
          </c:cat>
          <c:val>
            <c:numRef>
              <c:f>Means!$M$7:$M$10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Pairwise!$B$7:$B$12</c:f>
            </c:multiLvl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Pairwise!$K$7:$K$12</c:f>
            </c:multiLvl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15238</xdr:rowOff>
    </xdr:from>
    <xdr:to>
      <xdr:col>8</xdr:col>
      <xdr:colOff>30480</xdr:colOff>
      <xdr:row>35</xdr:row>
      <xdr:rowOff>55243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7617</xdr:rowOff>
    </xdr:from>
    <xdr:to>
      <xdr:col>17</xdr:col>
      <xdr:colOff>26670</xdr:colOff>
      <xdr:row>35</xdr:row>
      <xdr:rowOff>40002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EA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Q34"/>
  <sheetViews>
    <sheetView tabSelected="1" showRuler="0" zoomScaleNormal="100" workbookViewId="0">
      <selection activeCell="K31" sqref="K31"/>
    </sheetView>
  </sheetViews>
  <sheetFormatPr defaultColWidth="11.109375" defaultRowHeight="15" customHeight="1" x14ac:dyDescent="0.3"/>
  <cols>
    <col min="1" max="1" width="4.5546875" style="3" customWidth="1"/>
    <col min="2" max="8" width="11.109375" style="3"/>
    <col min="9" max="10" width="4.5546875" style="3" customWidth="1"/>
    <col min="11" max="17" width="11.109375" style="3"/>
    <col min="18" max="19" width="4.5546875" style="3" customWidth="1"/>
    <col min="20" max="16384" width="11.109375" style="3"/>
  </cols>
  <sheetData>
    <row r="2" spans="2:17" ht="18" customHeight="1" x14ac:dyDescent="0.35">
      <c r="B2" s="114" t="s">
        <v>121</v>
      </c>
      <c r="C2" s="114"/>
      <c r="D2" s="114"/>
      <c r="E2" s="114"/>
      <c r="F2" s="114"/>
      <c r="G2" s="114"/>
      <c r="H2" s="114"/>
      <c r="I2" s="89"/>
      <c r="J2" s="89"/>
      <c r="K2" s="115" t="s">
        <v>82</v>
      </c>
      <c r="L2" s="115"/>
      <c r="M2" s="115"/>
      <c r="N2" s="115"/>
      <c r="O2" s="115"/>
      <c r="P2" s="115"/>
      <c r="Q2" s="115"/>
    </row>
    <row r="3" spans="2:17" ht="18" customHeight="1" x14ac:dyDescent="0.35">
      <c r="B3" s="116" t="s">
        <v>64</v>
      </c>
      <c r="C3" s="116"/>
      <c r="D3" s="116"/>
      <c r="E3" s="116"/>
      <c r="F3" s="116"/>
      <c r="G3" s="116"/>
      <c r="H3" s="116"/>
      <c r="I3" s="91"/>
      <c r="J3" s="91"/>
      <c r="K3" s="116" t="s">
        <v>125</v>
      </c>
      <c r="L3" s="116"/>
      <c r="M3" s="116"/>
      <c r="N3" s="116"/>
      <c r="O3" s="116"/>
      <c r="P3" s="116"/>
      <c r="Q3" s="116"/>
    </row>
    <row r="4" spans="2:17" s="91" customFormat="1" ht="18" customHeight="1" x14ac:dyDescent="0.35">
      <c r="B4" s="116" t="s">
        <v>35</v>
      </c>
      <c r="C4" s="116"/>
      <c r="D4" s="116"/>
      <c r="E4" s="116"/>
      <c r="F4" s="116"/>
      <c r="G4" s="116"/>
      <c r="H4" s="116"/>
      <c r="K4" s="117" t="s">
        <v>126</v>
      </c>
      <c r="L4" s="116"/>
      <c r="M4" s="116"/>
      <c r="N4" s="116"/>
      <c r="O4" s="116"/>
      <c r="P4" s="116"/>
      <c r="Q4" s="116"/>
    </row>
    <row r="6" spans="2:17" ht="15" customHeight="1" x14ac:dyDescent="0.3">
      <c r="B6" s="7" t="s">
        <v>83</v>
      </c>
      <c r="K6" s="7" t="s">
        <v>84</v>
      </c>
    </row>
    <row r="8" spans="2:17" ht="15" customHeight="1" x14ac:dyDescent="0.3">
      <c r="B8" s="3" t="s">
        <v>98</v>
      </c>
      <c r="K8" s="3" t="s">
        <v>22</v>
      </c>
    </row>
    <row r="9" spans="2:17" ht="15" customHeight="1" x14ac:dyDescent="0.3">
      <c r="B9" s="3" t="s">
        <v>99</v>
      </c>
      <c r="K9" s="3" t="s">
        <v>32</v>
      </c>
    </row>
    <row r="10" spans="2:17" ht="15" customHeight="1" x14ac:dyDescent="0.3">
      <c r="B10" s="3" t="s">
        <v>113</v>
      </c>
      <c r="K10" s="3" t="s">
        <v>31</v>
      </c>
    </row>
    <row r="11" spans="2:17" ht="15" customHeight="1" x14ac:dyDescent="0.3">
      <c r="B11" s="3" t="s">
        <v>114</v>
      </c>
    </row>
    <row r="13" spans="2:17" ht="15" customHeight="1" x14ac:dyDescent="0.3">
      <c r="B13" s="7" t="s">
        <v>85</v>
      </c>
      <c r="K13" s="7" t="s">
        <v>86</v>
      </c>
    </row>
    <row r="14" spans="2:17" ht="15" customHeight="1" x14ac:dyDescent="0.3">
      <c r="K14"/>
    </row>
    <row r="15" spans="2:17" ht="15" customHeight="1" x14ac:dyDescent="0.3">
      <c r="B15" s="3" t="s">
        <v>65</v>
      </c>
      <c r="K15" t="s">
        <v>101</v>
      </c>
    </row>
    <row r="16" spans="2:17" ht="15" customHeight="1" x14ac:dyDescent="0.3">
      <c r="B16" s="3" t="s">
        <v>102</v>
      </c>
      <c r="K16" t="s">
        <v>45</v>
      </c>
    </row>
    <row r="17" spans="2:17" ht="15" customHeight="1" x14ac:dyDescent="0.3">
      <c r="B17" s="3" t="s">
        <v>96</v>
      </c>
      <c r="K17" t="s">
        <v>87</v>
      </c>
    </row>
    <row r="18" spans="2:17" ht="15" customHeight="1" x14ac:dyDescent="0.3">
      <c r="B18" s="3" t="s">
        <v>97</v>
      </c>
      <c r="K18" s="90" t="s">
        <v>100</v>
      </c>
    </row>
    <row r="20" spans="2:17" ht="15" customHeight="1" x14ac:dyDescent="0.3">
      <c r="B20" s="7" t="s">
        <v>88</v>
      </c>
      <c r="K20" s="7" t="s">
        <v>4</v>
      </c>
    </row>
    <row r="22" spans="2:17" ht="15" customHeight="1" x14ac:dyDescent="0.3">
      <c r="B22" s="3" t="s">
        <v>89</v>
      </c>
      <c r="C22" s="3" t="s">
        <v>7</v>
      </c>
      <c r="K22" s="3" t="s">
        <v>69</v>
      </c>
      <c r="L22"/>
      <c r="M22"/>
      <c r="N22"/>
      <c r="O22"/>
      <c r="P22"/>
      <c r="Q22"/>
    </row>
    <row r="23" spans="2:17" ht="15" customHeight="1" x14ac:dyDescent="0.3">
      <c r="B23" s="3" t="s">
        <v>90</v>
      </c>
      <c r="C23" s="3" t="s">
        <v>41</v>
      </c>
      <c r="K23" s="3" t="s">
        <v>5</v>
      </c>
      <c r="L23"/>
      <c r="M23"/>
      <c r="N23"/>
      <c r="O23"/>
      <c r="P23"/>
      <c r="Q23"/>
    </row>
    <row r="24" spans="2:17" ht="15" customHeight="1" x14ac:dyDescent="0.3">
      <c r="B24" s="3" t="s">
        <v>91</v>
      </c>
      <c r="C24" s="3" t="s">
        <v>42</v>
      </c>
      <c r="K24" s="3" t="s">
        <v>6</v>
      </c>
      <c r="L24"/>
      <c r="M24"/>
      <c r="N24"/>
      <c r="O24"/>
      <c r="P24"/>
      <c r="Q24"/>
    </row>
    <row r="25" spans="2:17" ht="15" customHeight="1" x14ac:dyDescent="0.3">
      <c r="B25" s="3" t="s">
        <v>120</v>
      </c>
      <c r="C25" s="3" t="s">
        <v>109</v>
      </c>
      <c r="K25" s="111" t="s">
        <v>122</v>
      </c>
      <c r="L25"/>
      <c r="M25"/>
      <c r="N25"/>
      <c r="O25"/>
      <c r="P25"/>
      <c r="Q25"/>
    </row>
    <row r="26" spans="2:17" ht="15" customHeight="1" x14ac:dyDescent="0.3">
      <c r="B26" s="3" t="s">
        <v>92</v>
      </c>
      <c r="C26" s="3" t="s">
        <v>8</v>
      </c>
      <c r="K26" s="111" t="s">
        <v>127</v>
      </c>
      <c r="L26"/>
      <c r="M26"/>
      <c r="N26"/>
      <c r="O26"/>
      <c r="P26"/>
      <c r="Q26"/>
    </row>
    <row r="27" spans="2:17" ht="15" customHeight="1" x14ac:dyDescent="0.3">
      <c r="L27"/>
      <c r="M27"/>
      <c r="N27"/>
      <c r="O27"/>
      <c r="P27"/>
      <c r="Q27"/>
    </row>
    <row r="28" spans="2:17" ht="15" customHeight="1" x14ac:dyDescent="0.3">
      <c r="B28" s="7" t="s">
        <v>119</v>
      </c>
      <c r="K28" s="7" t="s">
        <v>123</v>
      </c>
      <c r="L28"/>
      <c r="M28"/>
      <c r="N28"/>
      <c r="O28"/>
      <c r="P28"/>
      <c r="Q28"/>
    </row>
    <row r="29" spans="2:17" ht="15" customHeight="1" x14ac:dyDescent="0.3">
      <c r="B29" s="25"/>
      <c r="L29"/>
      <c r="M29"/>
      <c r="N29"/>
      <c r="O29"/>
      <c r="P29"/>
      <c r="Q29"/>
    </row>
    <row r="30" spans="2:17" ht="15" customHeight="1" x14ac:dyDescent="0.3">
      <c r="B30" s="25" t="s">
        <v>93</v>
      </c>
      <c r="K30" s="3" t="s">
        <v>128</v>
      </c>
      <c r="L30"/>
      <c r="M30"/>
      <c r="N30"/>
      <c r="O30"/>
      <c r="P30"/>
      <c r="Q30"/>
    </row>
    <row r="31" spans="2:17" ht="15" customHeight="1" x14ac:dyDescent="0.3">
      <c r="B31" s="25" t="s">
        <v>94</v>
      </c>
      <c r="K31" s="3" t="s">
        <v>124</v>
      </c>
      <c r="L31"/>
      <c r="M31"/>
      <c r="N31"/>
      <c r="O31"/>
      <c r="P31"/>
      <c r="Q31"/>
    </row>
    <row r="32" spans="2:17" ht="15" customHeight="1" x14ac:dyDescent="0.3">
      <c r="B32" s="25" t="s">
        <v>95</v>
      </c>
      <c r="K32" s="3" t="s">
        <v>126</v>
      </c>
      <c r="L32"/>
      <c r="M32"/>
      <c r="N32"/>
      <c r="O32"/>
      <c r="P32"/>
      <c r="Q32"/>
    </row>
    <row r="33" spans="11:17" ht="15" customHeight="1" x14ac:dyDescent="0.3">
      <c r="L33"/>
      <c r="M33"/>
      <c r="N33"/>
      <c r="O33"/>
      <c r="P33"/>
      <c r="Q33"/>
    </row>
    <row r="34" spans="11:17" ht="15" customHeight="1" x14ac:dyDescent="0.3">
      <c r="K34" s="111"/>
    </row>
  </sheetData>
  <sheetProtection sheet="1" selectLockedCells="1" selectUn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657F03B9-2320-403F-A164-1B07784FB4D6}"/>
    <hyperlink ref="K25" r:id="rId3" xr:uid="{75EBE3AA-E4AE-4C8B-AB99-8E519AA6D7EA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A206"/>
  <sheetViews>
    <sheetView showRuler="0" zoomScaleNormal="100" workbookViewId="0">
      <selection activeCell="K5" sqref="K5:O35"/>
    </sheetView>
  </sheetViews>
  <sheetFormatPr defaultColWidth="11.109375" defaultRowHeight="14.4" x14ac:dyDescent="0.3"/>
  <cols>
    <col min="1" max="1" width="4.5546875" customWidth="1"/>
    <col min="6" max="6" width="11.109375" style="12"/>
    <col min="9" max="10" width="4.5546875" customWidth="1"/>
    <col min="11" max="15" width="11.109375" style="18"/>
    <col min="16" max="16" width="11.109375" style="40"/>
    <col min="18" max="18" width="4.5546875" customWidth="1"/>
    <col min="19" max="19" width="4.5546875" hidden="1" customWidth="1"/>
    <col min="20" max="26" width="11.109375" hidden="1" customWidth="1"/>
    <col min="27" max="27" width="4.5546875" hidden="1" customWidth="1"/>
  </cols>
  <sheetData>
    <row r="1" spans="2:26" x14ac:dyDescent="0.3">
      <c r="F1"/>
      <c r="K1" s="12"/>
      <c r="L1"/>
      <c r="M1"/>
      <c r="N1"/>
      <c r="O1"/>
    </row>
    <row r="2" spans="2:26" ht="15" customHeight="1" x14ac:dyDescent="0.3">
      <c r="B2" s="122" t="s">
        <v>30</v>
      </c>
      <c r="C2" s="122"/>
      <c r="D2" s="122"/>
      <c r="E2" s="122"/>
      <c r="F2" s="122"/>
      <c r="G2" s="122"/>
      <c r="H2" s="122"/>
      <c r="K2" s="122" t="s">
        <v>24</v>
      </c>
      <c r="L2" s="122"/>
      <c r="M2" s="122"/>
      <c r="N2" s="122"/>
      <c r="O2" s="122"/>
      <c r="P2" s="87"/>
      <c r="Q2" s="88"/>
      <c r="T2" s="122" t="s">
        <v>61</v>
      </c>
      <c r="U2" s="122"/>
      <c r="V2" s="122"/>
      <c r="W2" s="122"/>
      <c r="X2" s="122"/>
      <c r="Y2" s="122"/>
      <c r="Z2" s="122"/>
    </row>
    <row r="3" spans="2:26" ht="18.600000000000001" thickBot="1" x14ac:dyDescent="0.4">
      <c r="E3" s="1"/>
      <c r="K3" s="12"/>
      <c r="L3" s="5"/>
      <c r="M3" s="5"/>
      <c r="N3" s="5"/>
      <c r="O3" s="5"/>
    </row>
    <row r="4" spans="2:26" ht="16.2" thickBot="1" x14ac:dyDescent="0.35">
      <c r="B4" s="7" t="s">
        <v>30</v>
      </c>
      <c r="F4"/>
      <c r="K4" s="48" t="s">
        <v>29</v>
      </c>
      <c r="L4" s="48" t="str">
        <f>IF(B22="","",B22)</f>
        <v/>
      </c>
      <c r="M4" s="48" t="str">
        <f>IF(B23="","",B23)</f>
        <v/>
      </c>
      <c r="N4" s="48" t="str">
        <f>IF(B24="","",B24)</f>
        <v/>
      </c>
      <c r="O4" s="48" t="str">
        <f>IF(B25="","",B25)</f>
        <v/>
      </c>
      <c r="T4" s="46" t="s">
        <v>56</v>
      </c>
    </row>
    <row r="5" spans="2:26" ht="15" thickBot="1" x14ac:dyDescent="0.35">
      <c r="K5" s="17"/>
      <c r="L5" s="17"/>
      <c r="M5" s="17"/>
      <c r="N5" s="17"/>
      <c r="P5" s="40" t="str">
        <f t="shared" ref="P5:P24" si="0">IFERROR(AVERAGE(L5:O5),"")</f>
        <v/>
      </c>
    </row>
    <row r="6" spans="2:26" ht="15" thickBot="1" x14ac:dyDescent="0.35">
      <c r="B6" s="121" t="s">
        <v>27</v>
      </c>
      <c r="C6" s="121"/>
      <c r="D6" s="121"/>
      <c r="E6" s="121"/>
      <c r="F6" s="121"/>
      <c r="G6" s="121"/>
      <c r="H6" s="121"/>
      <c r="P6" s="40" t="str">
        <f t="shared" si="0"/>
        <v/>
      </c>
      <c r="T6" s="54" t="s">
        <v>57</v>
      </c>
      <c r="U6" s="54" t="s">
        <v>63</v>
      </c>
      <c r="V6" s="54" t="s">
        <v>1</v>
      </c>
      <c r="W6" s="54" t="s">
        <v>11</v>
      </c>
      <c r="X6" s="54" t="s">
        <v>71</v>
      </c>
      <c r="Y6" s="54" t="s">
        <v>2</v>
      </c>
      <c r="Z6" s="54" t="s">
        <v>78</v>
      </c>
    </row>
    <row r="7" spans="2:26" x14ac:dyDescent="0.3">
      <c r="B7" s="127"/>
      <c r="C7" s="127"/>
      <c r="D7" s="127"/>
      <c r="E7" s="127"/>
      <c r="F7" s="127"/>
      <c r="G7" s="127"/>
      <c r="H7" s="127"/>
      <c r="P7" s="40" t="str">
        <f t="shared" si="0"/>
        <v/>
      </c>
      <c r="T7" s="56" t="str">
        <f>IF($B$22="","",$B$22)</f>
        <v/>
      </c>
      <c r="U7" s="56">
        <v>1</v>
      </c>
      <c r="V7" s="19" t="str">
        <f>IF(COUNT(L:L)=0,"",COUNT(L:L))</f>
        <v/>
      </c>
      <c r="W7" s="20" t="str">
        <f>IFERROR(AVERAGE(L:L),"")</f>
        <v/>
      </c>
      <c r="X7" s="20" t="str">
        <f>IFERROR(STDEV(L:L),"")</f>
        <v/>
      </c>
      <c r="Y7" s="19" t="str">
        <f>IFERROR(V7-1,"")</f>
        <v/>
      </c>
      <c r="Z7" s="27" t="str">
        <f>IFERROR(X7/SQRT(V7),"")</f>
        <v/>
      </c>
    </row>
    <row r="8" spans="2:26" ht="15" thickBot="1" x14ac:dyDescent="0.35">
      <c r="B8" s="128"/>
      <c r="C8" s="128"/>
      <c r="D8" s="128"/>
      <c r="E8" s="128"/>
      <c r="F8" s="128"/>
      <c r="G8" s="128"/>
      <c r="H8" s="128"/>
      <c r="P8" s="40" t="str">
        <f t="shared" si="0"/>
        <v/>
      </c>
      <c r="T8" s="58" t="str">
        <f>IF($B$23="","",$B$23)</f>
        <v/>
      </c>
      <c r="U8" s="58">
        <v>2</v>
      </c>
      <c r="V8" s="21" t="str">
        <f>IF(COUNT(M:M)=0,"",COUNT(M:M))</f>
        <v/>
      </c>
      <c r="W8" s="22" t="str">
        <f>IFERROR(AVERAGE(M:M),"")</f>
        <v/>
      </c>
      <c r="X8" s="22" t="str">
        <f>IFERROR(STDEV(M:M),"")</f>
        <v/>
      </c>
      <c r="Y8" s="21" t="str">
        <f>IFERROR(V8-1,"")</f>
        <v/>
      </c>
      <c r="Z8" s="29" t="str">
        <f>IFERROR(X8/SQRT(V8),"")</f>
        <v/>
      </c>
    </row>
    <row r="9" spans="2:26" ht="15" thickBot="1" x14ac:dyDescent="0.35">
      <c r="B9" s="8"/>
      <c r="C9" s="8"/>
      <c r="D9" s="8"/>
      <c r="E9" s="8"/>
      <c r="F9" s="33"/>
      <c r="G9" s="8"/>
      <c r="H9" s="8"/>
      <c r="P9" s="40" t="str">
        <f t="shared" si="0"/>
        <v/>
      </c>
      <c r="T9" s="58" t="str">
        <f>IF($B$24="","",$B$24)</f>
        <v/>
      </c>
      <c r="U9" s="58">
        <v>3</v>
      </c>
      <c r="V9" s="21" t="str">
        <f>IF(COUNT(N:N)=0,"",COUNT(N:N))</f>
        <v/>
      </c>
      <c r="W9" s="22" t="str">
        <f>IFERROR(AVERAGE(N:N),"")</f>
        <v/>
      </c>
      <c r="X9" s="22" t="str">
        <f>IFERROR(STDEV(N:N),"")</f>
        <v/>
      </c>
      <c r="Y9" s="21" t="str">
        <f>IFERROR(V9-1,"")</f>
        <v/>
      </c>
      <c r="Z9" s="29" t="str">
        <f>IFERROR(X9/SQRT(V9),"")</f>
        <v/>
      </c>
    </row>
    <row r="10" spans="2:26" ht="15" thickBot="1" x14ac:dyDescent="0.35">
      <c r="B10" s="126" t="s">
        <v>28</v>
      </c>
      <c r="C10" s="126"/>
      <c r="D10" s="126"/>
      <c r="E10" s="126"/>
      <c r="F10" s="126"/>
      <c r="G10" s="126"/>
      <c r="H10" s="126"/>
      <c r="P10" s="40" t="str">
        <f t="shared" si="0"/>
        <v/>
      </c>
      <c r="T10" s="58" t="str">
        <f>IF($B$25="","",$B$25)</f>
        <v/>
      </c>
      <c r="U10" s="58">
        <v>4</v>
      </c>
      <c r="V10" s="21" t="str">
        <f>IF(COUNT(O:O)=0,"",COUNT(O:O))</f>
        <v/>
      </c>
      <c r="W10" s="22" t="str">
        <f>IFERROR(AVERAGE(O:O),"")</f>
        <v/>
      </c>
      <c r="X10" s="22" t="str">
        <f>IFERROR(STDEV(O:O),"")</f>
        <v/>
      </c>
      <c r="Y10" s="21" t="str">
        <f>IFERROR(V10-1,"")</f>
        <v/>
      </c>
      <c r="Z10" s="29" t="str">
        <f>IFERROR(X10/SQRT(V10),"")</f>
        <v/>
      </c>
    </row>
    <row r="11" spans="2:26" ht="15" thickBot="1" x14ac:dyDescent="0.35">
      <c r="B11" s="123"/>
      <c r="C11" s="123"/>
      <c r="D11" s="123"/>
      <c r="E11" s="123"/>
      <c r="F11" s="123"/>
      <c r="G11" s="123"/>
      <c r="H11" s="123"/>
      <c r="P11" s="40" t="str">
        <f t="shared" si="0"/>
        <v/>
      </c>
      <c r="T11" s="60" t="s">
        <v>48</v>
      </c>
      <c r="U11" s="60" t="s">
        <v>48</v>
      </c>
      <c r="V11" s="23">
        <f>IFERROR(SUM(V7:V10),"")</f>
        <v>0</v>
      </c>
      <c r="W11" s="24" t="str">
        <f>IFERROR(AVERAGE(W7:W10),"")</f>
        <v/>
      </c>
      <c r="X11" s="24" t="str">
        <f>IFERROR(STDEV(L:O),"")</f>
        <v/>
      </c>
      <c r="Y11" s="23">
        <f>IFERROR(V11-1,"")</f>
        <v>-1</v>
      </c>
      <c r="Z11" s="30" t="str">
        <f>IFERROR(X11/SQRT(V11),"")</f>
        <v/>
      </c>
    </row>
    <row r="12" spans="2:26" x14ac:dyDescent="0.3">
      <c r="B12" s="124"/>
      <c r="C12" s="124"/>
      <c r="D12" s="124"/>
      <c r="E12" s="124"/>
      <c r="F12" s="124"/>
      <c r="G12" s="124"/>
      <c r="H12" s="124"/>
      <c r="P12" s="40" t="str">
        <f t="shared" si="0"/>
        <v/>
      </c>
      <c r="T12" s="9"/>
      <c r="U12" s="9"/>
      <c r="V12" s="9"/>
      <c r="W12" s="9"/>
      <c r="X12" s="9"/>
      <c r="Y12" s="9"/>
      <c r="Z12" s="9"/>
    </row>
    <row r="13" spans="2:26" x14ac:dyDescent="0.3">
      <c r="B13" s="124"/>
      <c r="C13" s="124"/>
      <c r="D13" s="124"/>
      <c r="E13" s="124"/>
      <c r="F13" s="124"/>
      <c r="G13" s="124"/>
      <c r="H13" s="124"/>
      <c r="P13" s="40" t="str">
        <f t="shared" si="0"/>
        <v/>
      </c>
      <c r="T13" t="s">
        <v>58</v>
      </c>
    </row>
    <row r="14" spans="2:26" ht="15" thickBot="1" x14ac:dyDescent="0.35">
      <c r="B14" s="125"/>
      <c r="C14" s="125"/>
      <c r="D14" s="125"/>
      <c r="E14" s="125"/>
      <c r="F14" s="125"/>
      <c r="G14" s="125"/>
      <c r="H14" s="125"/>
      <c r="P14" s="40" t="str">
        <f t="shared" si="0"/>
        <v/>
      </c>
    </row>
    <row r="15" spans="2:26" x14ac:dyDescent="0.3">
      <c r="P15" s="40" t="str">
        <f t="shared" si="0"/>
        <v/>
      </c>
    </row>
    <row r="16" spans="2:26" x14ac:dyDescent="0.3">
      <c r="P16" s="40" t="str">
        <f t="shared" si="0"/>
        <v/>
      </c>
    </row>
    <row r="17" spans="2:26" x14ac:dyDescent="0.3">
      <c r="P17" s="40" t="str">
        <f t="shared" si="0"/>
        <v/>
      </c>
    </row>
    <row r="18" spans="2:26" x14ac:dyDescent="0.3">
      <c r="P18" s="40" t="str">
        <f t="shared" si="0"/>
        <v/>
      </c>
    </row>
    <row r="19" spans="2:26" ht="15.6" x14ac:dyDescent="0.3">
      <c r="B19" s="7" t="s">
        <v>38</v>
      </c>
      <c r="C19" s="11"/>
      <c r="D19" s="12"/>
      <c r="E19" s="12"/>
      <c r="G19" s="12"/>
      <c r="H19" s="13"/>
      <c r="P19" s="40" t="str">
        <f t="shared" si="0"/>
        <v/>
      </c>
      <c r="T19" s="46" t="s">
        <v>59</v>
      </c>
      <c r="Y19" s="12"/>
      <c r="Z19" s="28"/>
    </row>
    <row r="20" spans="2:26" ht="15" thickBot="1" x14ac:dyDescent="0.35">
      <c r="B20" s="11"/>
      <c r="C20" s="11"/>
      <c r="D20" s="12"/>
      <c r="E20" s="12"/>
      <c r="G20" s="12"/>
      <c r="H20" s="12"/>
      <c r="P20" s="40" t="str">
        <f t="shared" si="0"/>
        <v/>
      </c>
    </row>
    <row r="21" spans="2:26" ht="15" thickBot="1" x14ac:dyDescent="0.35">
      <c r="B21" s="121" t="s">
        <v>63</v>
      </c>
      <c r="C21" s="121"/>
      <c r="D21" s="121" t="s">
        <v>25</v>
      </c>
      <c r="E21" s="121"/>
      <c r="F21" s="121"/>
      <c r="G21" s="121"/>
      <c r="H21" s="10" t="s">
        <v>26</v>
      </c>
      <c r="P21" s="40" t="str">
        <f t="shared" si="0"/>
        <v/>
      </c>
      <c r="T21" s="54" t="s">
        <v>57</v>
      </c>
      <c r="U21" s="53"/>
      <c r="V21" s="54" t="s">
        <v>63</v>
      </c>
      <c r="W21" s="54">
        <v>1</v>
      </c>
      <c r="X21" s="54">
        <v>2</v>
      </c>
      <c r="Y21" s="54">
        <v>3</v>
      </c>
      <c r="Z21" s="54">
        <v>4</v>
      </c>
    </row>
    <row r="22" spans="2:26" x14ac:dyDescent="0.3">
      <c r="B22" s="119"/>
      <c r="C22" s="119"/>
      <c r="D22" s="119"/>
      <c r="E22" s="119"/>
      <c r="F22" s="119"/>
      <c r="G22" s="119"/>
      <c r="H22" s="82"/>
      <c r="P22" s="40" t="str">
        <f t="shared" si="0"/>
        <v/>
      </c>
      <c r="T22" s="56" t="str">
        <f>IF($B$22="","",$B$22)</f>
        <v/>
      </c>
      <c r="U22" s="55"/>
      <c r="V22" s="56">
        <v>1</v>
      </c>
      <c r="W22" s="27">
        <v>1</v>
      </c>
      <c r="X22" s="66" t="str">
        <f>IFERROR(CORREL(L:L,M:M),"")</f>
        <v/>
      </c>
      <c r="Y22" s="66" t="str">
        <f>IFERROR(CORREL(L:L,N:N),"")</f>
        <v/>
      </c>
      <c r="Z22" s="66" t="str">
        <f>IFERROR(CORREL(L:L,O:O),"")</f>
        <v/>
      </c>
    </row>
    <row r="23" spans="2:26" x14ac:dyDescent="0.3">
      <c r="B23" s="120"/>
      <c r="C23" s="120"/>
      <c r="D23" s="120"/>
      <c r="E23" s="120"/>
      <c r="F23" s="120"/>
      <c r="G23" s="120"/>
      <c r="H23" s="41"/>
      <c r="P23" s="40" t="str">
        <f t="shared" si="0"/>
        <v/>
      </c>
      <c r="T23" s="58" t="str">
        <f>IF($B$23="","",$B$23)</f>
        <v/>
      </c>
      <c r="U23" s="57"/>
      <c r="V23" s="58">
        <v>2</v>
      </c>
      <c r="W23" s="29"/>
      <c r="X23" s="29">
        <v>1</v>
      </c>
      <c r="Y23" s="67" t="str">
        <f>IFERROR(CORREL(M:M,N:N),"")</f>
        <v/>
      </c>
      <c r="Z23" s="67" t="str">
        <f>IFERROR(CORREL(M:M,O:O),"")</f>
        <v/>
      </c>
    </row>
    <row r="24" spans="2:26" x14ac:dyDescent="0.3">
      <c r="B24" s="120"/>
      <c r="C24" s="120"/>
      <c r="D24" s="120"/>
      <c r="E24" s="120"/>
      <c r="F24" s="120"/>
      <c r="G24" s="120"/>
      <c r="H24" s="41"/>
      <c r="P24" s="40" t="str">
        <f t="shared" si="0"/>
        <v/>
      </c>
      <c r="T24" s="58" t="str">
        <f>IF($B$24="","",$B$24)</f>
        <v/>
      </c>
      <c r="U24" s="57"/>
      <c r="V24" s="58">
        <v>3</v>
      </c>
      <c r="W24" s="29"/>
      <c r="X24" s="29"/>
      <c r="Y24" s="29">
        <v>1</v>
      </c>
      <c r="Z24" s="67" t="str">
        <f>IFERROR(CORREL(N:N,O:O),"")</f>
        <v/>
      </c>
    </row>
    <row r="25" spans="2:26" ht="15" thickBot="1" x14ac:dyDescent="0.35">
      <c r="B25" s="118"/>
      <c r="C25" s="118"/>
      <c r="D25" s="118"/>
      <c r="E25" s="118"/>
      <c r="F25" s="118"/>
      <c r="G25" s="118"/>
      <c r="H25" s="83"/>
      <c r="P25" s="40" t="str">
        <f t="shared" ref="P25:P69" si="1">IFERROR(AVERAGE(L25:O25),"")</f>
        <v/>
      </c>
      <c r="T25" s="60" t="str">
        <f>IF($B$25="","",$B$25)</f>
        <v/>
      </c>
      <c r="U25" s="59"/>
      <c r="V25" s="60">
        <v>4</v>
      </c>
      <c r="W25" s="30"/>
      <c r="X25" s="30"/>
      <c r="Y25" s="30"/>
      <c r="Z25" s="30">
        <v>1</v>
      </c>
    </row>
    <row r="26" spans="2:26" x14ac:dyDescent="0.3">
      <c r="B26" s="9"/>
      <c r="C26" s="9"/>
      <c r="D26" s="9"/>
      <c r="E26" s="9"/>
      <c r="F26" s="9"/>
      <c r="G26" s="9"/>
      <c r="H26" s="9"/>
      <c r="P26" s="40" t="str">
        <f t="shared" si="1"/>
        <v/>
      </c>
      <c r="T26" s="9"/>
      <c r="U26" s="9"/>
      <c r="V26" s="9"/>
      <c r="W26" s="9"/>
      <c r="X26" s="9"/>
      <c r="Y26" s="9"/>
      <c r="Z26" s="9"/>
    </row>
    <row r="27" spans="2:26" x14ac:dyDescent="0.3">
      <c r="P27" s="40" t="str">
        <f t="shared" si="1"/>
        <v/>
      </c>
      <c r="T27" t="s">
        <v>60</v>
      </c>
    </row>
    <row r="28" spans="2:26" x14ac:dyDescent="0.3">
      <c r="B28" s="34"/>
      <c r="C28" s="34"/>
      <c r="E28" s="6"/>
      <c r="F28"/>
      <c r="P28" s="40" t="str">
        <f t="shared" si="1"/>
        <v/>
      </c>
    </row>
    <row r="29" spans="2:26" ht="15.6" x14ac:dyDescent="0.3">
      <c r="B29" s="34"/>
      <c r="C29" s="34"/>
      <c r="E29" s="34"/>
      <c r="F29" s="34"/>
      <c r="P29" s="40" t="str">
        <f t="shared" si="1"/>
        <v/>
      </c>
      <c r="T29" s="47" t="s">
        <v>51</v>
      </c>
      <c r="U29" s="45"/>
      <c r="V29" s="45"/>
      <c r="W29" s="45"/>
      <c r="X29" s="45"/>
      <c r="Y29" s="45"/>
      <c r="Z29" s="3"/>
    </row>
    <row r="30" spans="2:26" ht="15" thickBot="1" x14ac:dyDescent="0.35">
      <c r="B30" s="34"/>
      <c r="C30" s="34"/>
      <c r="E30" s="34"/>
      <c r="F30" s="34"/>
      <c r="P30" s="40" t="str">
        <f t="shared" si="1"/>
        <v/>
      </c>
      <c r="S30" s="3"/>
      <c r="T30" s="45"/>
      <c r="U30" s="45"/>
      <c r="V30" s="45"/>
      <c r="W30" s="45"/>
      <c r="X30" s="45"/>
      <c r="Y30" s="45"/>
      <c r="Z30" s="3"/>
    </row>
    <row r="31" spans="2:26" ht="15" thickBot="1" x14ac:dyDescent="0.35">
      <c r="B31" s="34"/>
      <c r="C31" s="34"/>
      <c r="E31" s="34"/>
      <c r="F31" s="34"/>
      <c r="P31" s="40" t="str">
        <f t="shared" si="1"/>
        <v/>
      </c>
      <c r="S31" s="3"/>
      <c r="T31" s="64" t="s">
        <v>52</v>
      </c>
      <c r="U31" s="64" t="s">
        <v>53</v>
      </c>
      <c r="V31" s="64" t="s">
        <v>2</v>
      </c>
      <c r="W31" s="64" t="s">
        <v>54</v>
      </c>
      <c r="X31" s="64" t="s">
        <v>47</v>
      </c>
      <c r="Y31" s="65" t="s">
        <v>49</v>
      </c>
      <c r="Z31" s="64" t="s">
        <v>55</v>
      </c>
    </row>
    <row r="32" spans="2:26" x14ac:dyDescent="0.3">
      <c r="B32" s="34"/>
      <c r="C32" s="34"/>
      <c r="E32" s="34"/>
      <c r="F32" s="34"/>
      <c r="M32" s="17"/>
      <c r="N32" s="17"/>
      <c r="O32" s="17"/>
      <c r="P32" s="40" t="str">
        <f t="shared" si="1"/>
        <v/>
      </c>
      <c r="S32" s="3"/>
      <c r="T32" s="19" t="s">
        <v>67</v>
      </c>
      <c r="U32" s="68" t="str">
        <f>IFERROR(DEVSQ(Data!P:P)*(V33+1),"")</f>
        <v/>
      </c>
      <c r="V32" s="69" t="str">
        <f>IFERROR(Data!V7-1,"")</f>
        <v/>
      </c>
      <c r="W32" s="68" t="str">
        <f>IFERROR(U32/V32,"")</f>
        <v/>
      </c>
      <c r="X32" s="70"/>
      <c r="Y32" s="70"/>
      <c r="Z32" s="69"/>
    </row>
    <row r="33" spans="2:26" x14ac:dyDescent="0.3">
      <c r="B33" s="34"/>
      <c r="C33" s="34"/>
      <c r="E33" s="34"/>
      <c r="F33" s="34"/>
      <c r="P33" s="40" t="str">
        <f t="shared" si="1"/>
        <v/>
      </c>
      <c r="S33" s="3"/>
      <c r="T33" s="92" t="s">
        <v>66</v>
      </c>
      <c r="U33" s="71" t="str">
        <f>IFERROR(DEVSQ(Data!W7:W10)*(V32+1),"")</f>
        <v/>
      </c>
      <c r="V33" s="72">
        <f>IFERROR(COUNT(Data!W7:W10)-1,"")</f>
        <v>-1</v>
      </c>
      <c r="W33" s="71" t="str">
        <f>IFERROR(U33/V33,"")</f>
        <v/>
      </c>
      <c r="X33" s="71" t="str">
        <f>IFERROR(W33/W34,"")</f>
        <v/>
      </c>
      <c r="Y33" s="71" t="str">
        <f>IFERROR(IF(FDIST(X33,V33,V34)&lt;0.001,"&lt; 0.001",FDIST(X33,V33,V34)),"")</f>
        <v/>
      </c>
      <c r="Z33" s="22" t="str">
        <f>IFERROR(U33/(U33+U34),"")</f>
        <v/>
      </c>
    </row>
    <row r="34" spans="2:26" x14ac:dyDescent="0.3">
      <c r="B34" s="34"/>
      <c r="C34" s="34"/>
      <c r="E34" s="34"/>
      <c r="F34" s="34"/>
      <c r="P34" s="40" t="str">
        <f t="shared" si="1"/>
        <v/>
      </c>
      <c r="S34" s="3"/>
      <c r="T34" s="92" t="s">
        <v>68</v>
      </c>
      <c r="U34" s="73" t="str">
        <f>IFERROR(U35-U33-U32,"")</f>
        <v/>
      </c>
      <c r="V34" s="74" t="str">
        <f>IFERROR(V35-V33-V32,"")</f>
        <v/>
      </c>
      <c r="W34" s="73" t="str">
        <f>IFERROR(U34/V34,"")</f>
        <v/>
      </c>
      <c r="X34" s="71"/>
      <c r="Y34" s="75"/>
      <c r="Z34" s="21"/>
    </row>
    <row r="35" spans="2:26" ht="15" thickBot="1" x14ac:dyDescent="0.35">
      <c r="B35" s="34"/>
      <c r="C35" s="34"/>
      <c r="E35" s="34"/>
      <c r="F35" s="34"/>
      <c r="P35" s="40" t="str">
        <f t="shared" si="1"/>
        <v/>
      </c>
      <c r="S35" s="3"/>
      <c r="T35" s="93" t="s">
        <v>46</v>
      </c>
      <c r="U35" s="76" t="str">
        <f>IFERROR(Data!X11^2*V35,"")</f>
        <v/>
      </c>
      <c r="V35" s="77">
        <f>IFERROR(Data!V11-1,"")</f>
        <v>-1</v>
      </c>
      <c r="W35" s="76" t="str">
        <f>IFERROR(U35/V35,"")</f>
        <v/>
      </c>
      <c r="X35" s="76"/>
      <c r="Y35" s="76"/>
      <c r="Z35" s="23"/>
    </row>
    <row r="36" spans="2:26" x14ac:dyDescent="0.3">
      <c r="B36" s="34"/>
      <c r="C36" s="34"/>
      <c r="E36" s="34"/>
      <c r="F36" s="34"/>
      <c r="P36" s="40" t="str">
        <f t="shared" si="1"/>
        <v/>
      </c>
      <c r="S36" s="3"/>
      <c r="T36" s="2"/>
      <c r="U36" s="2"/>
      <c r="V36" s="2"/>
      <c r="W36" s="2"/>
      <c r="X36" s="2"/>
      <c r="Y36" s="2"/>
      <c r="Z36" s="2"/>
    </row>
    <row r="37" spans="2:26" x14ac:dyDescent="0.3">
      <c r="B37" s="34"/>
      <c r="C37" s="34"/>
      <c r="E37" s="34"/>
      <c r="F37" s="34"/>
      <c r="P37" s="40" t="str">
        <f t="shared" si="1"/>
        <v/>
      </c>
    </row>
    <row r="38" spans="2:26" x14ac:dyDescent="0.3">
      <c r="B38" s="34"/>
      <c r="C38" s="34"/>
      <c r="P38" s="40" t="str">
        <f t="shared" si="1"/>
        <v/>
      </c>
    </row>
    <row r="39" spans="2:26" x14ac:dyDescent="0.3">
      <c r="B39" s="34"/>
      <c r="C39" s="34"/>
      <c r="P39" s="40" t="str">
        <f t="shared" si="1"/>
        <v/>
      </c>
    </row>
    <row r="40" spans="2:26" x14ac:dyDescent="0.3">
      <c r="B40" s="34"/>
      <c r="C40" s="34"/>
      <c r="P40" s="40" t="str">
        <f t="shared" si="1"/>
        <v/>
      </c>
    </row>
    <row r="41" spans="2:26" x14ac:dyDescent="0.3">
      <c r="B41" s="34"/>
      <c r="C41" s="34"/>
      <c r="P41" s="40" t="str">
        <f t="shared" si="1"/>
        <v/>
      </c>
    </row>
    <row r="42" spans="2:26" x14ac:dyDescent="0.3">
      <c r="B42" s="34"/>
      <c r="C42" s="34"/>
      <c r="P42" s="40" t="str">
        <f t="shared" si="1"/>
        <v/>
      </c>
    </row>
    <row r="43" spans="2:26" x14ac:dyDescent="0.3">
      <c r="B43" s="34"/>
      <c r="C43" s="34"/>
      <c r="P43" s="40" t="str">
        <f t="shared" si="1"/>
        <v/>
      </c>
    </row>
    <row r="44" spans="2:26" x14ac:dyDescent="0.3">
      <c r="P44" s="40" t="str">
        <f t="shared" si="1"/>
        <v/>
      </c>
    </row>
    <row r="45" spans="2:26" x14ac:dyDescent="0.3">
      <c r="P45" s="40" t="str">
        <f t="shared" si="1"/>
        <v/>
      </c>
    </row>
    <row r="46" spans="2:26" x14ac:dyDescent="0.3">
      <c r="P46" s="40" t="str">
        <f t="shared" si="1"/>
        <v/>
      </c>
    </row>
    <row r="47" spans="2:26" x14ac:dyDescent="0.3">
      <c r="P47" s="40" t="str">
        <f t="shared" si="1"/>
        <v/>
      </c>
    </row>
    <row r="48" spans="2:26" x14ac:dyDescent="0.3">
      <c r="P48" s="40" t="str">
        <f t="shared" si="1"/>
        <v/>
      </c>
    </row>
    <row r="49" spans="16:16" x14ac:dyDescent="0.3">
      <c r="P49" s="40" t="str">
        <f t="shared" si="1"/>
        <v/>
      </c>
    </row>
    <row r="50" spans="16:16" x14ac:dyDescent="0.3">
      <c r="P50" s="40" t="str">
        <f t="shared" si="1"/>
        <v/>
      </c>
    </row>
    <row r="51" spans="16:16" x14ac:dyDescent="0.3">
      <c r="P51" s="40" t="str">
        <f t="shared" si="1"/>
        <v/>
      </c>
    </row>
    <row r="52" spans="16:16" x14ac:dyDescent="0.3">
      <c r="P52" s="40" t="str">
        <f t="shared" si="1"/>
        <v/>
      </c>
    </row>
    <row r="53" spans="16:16" x14ac:dyDescent="0.3">
      <c r="P53" s="40" t="str">
        <f t="shared" si="1"/>
        <v/>
      </c>
    </row>
    <row r="54" spans="16:16" x14ac:dyDescent="0.3">
      <c r="P54" s="40" t="str">
        <f t="shared" si="1"/>
        <v/>
      </c>
    </row>
    <row r="55" spans="16:16" x14ac:dyDescent="0.3">
      <c r="P55" s="40" t="str">
        <f t="shared" si="1"/>
        <v/>
      </c>
    </row>
    <row r="56" spans="16:16" x14ac:dyDescent="0.3">
      <c r="P56" s="40" t="str">
        <f t="shared" si="1"/>
        <v/>
      </c>
    </row>
    <row r="57" spans="16:16" x14ac:dyDescent="0.3">
      <c r="P57" s="40" t="str">
        <f t="shared" si="1"/>
        <v/>
      </c>
    </row>
    <row r="58" spans="16:16" x14ac:dyDescent="0.3">
      <c r="P58" s="40" t="str">
        <f t="shared" si="1"/>
        <v/>
      </c>
    </row>
    <row r="59" spans="16:16" x14ac:dyDescent="0.3">
      <c r="P59" s="40" t="str">
        <f t="shared" si="1"/>
        <v/>
      </c>
    </row>
    <row r="60" spans="16:16" x14ac:dyDescent="0.3">
      <c r="P60" s="40" t="str">
        <f t="shared" si="1"/>
        <v/>
      </c>
    </row>
    <row r="61" spans="16:16" x14ac:dyDescent="0.3">
      <c r="P61" s="40" t="str">
        <f t="shared" si="1"/>
        <v/>
      </c>
    </row>
    <row r="62" spans="16:16" x14ac:dyDescent="0.3">
      <c r="P62" s="40" t="str">
        <f t="shared" si="1"/>
        <v/>
      </c>
    </row>
    <row r="63" spans="16:16" x14ac:dyDescent="0.3">
      <c r="P63" s="40" t="str">
        <f t="shared" si="1"/>
        <v/>
      </c>
    </row>
    <row r="64" spans="16:16" x14ac:dyDescent="0.3">
      <c r="P64" s="40" t="str">
        <f t="shared" si="1"/>
        <v/>
      </c>
    </row>
    <row r="65" spans="16:16" x14ac:dyDescent="0.3">
      <c r="P65" s="40" t="str">
        <f t="shared" si="1"/>
        <v/>
      </c>
    </row>
    <row r="66" spans="16:16" x14ac:dyDescent="0.3">
      <c r="P66" s="40" t="str">
        <f t="shared" si="1"/>
        <v/>
      </c>
    </row>
    <row r="67" spans="16:16" x14ac:dyDescent="0.3">
      <c r="P67" s="40" t="str">
        <f t="shared" si="1"/>
        <v/>
      </c>
    </row>
    <row r="68" spans="16:16" x14ac:dyDescent="0.3">
      <c r="P68" s="40" t="str">
        <f t="shared" si="1"/>
        <v/>
      </c>
    </row>
    <row r="69" spans="16:16" x14ac:dyDescent="0.3">
      <c r="P69" s="40" t="str">
        <f t="shared" si="1"/>
        <v/>
      </c>
    </row>
    <row r="70" spans="16:16" x14ac:dyDescent="0.3">
      <c r="P70" s="40" t="str">
        <f t="shared" ref="P70:P133" si="2">IFERROR(AVERAGE(L70:O70),"")</f>
        <v/>
      </c>
    </row>
    <row r="71" spans="16:16" x14ac:dyDescent="0.3">
      <c r="P71" s="40" t="str">
        <f t="shared" si="2"/>
        <v/>
      </c>
    </row>
    <row r="72" spans="16:16" x14ac:dyDescent="0.3">
      <c r="P72" s="40" t="str">
        <f t="shared" si="2"/>
        <v/>
      </c>
    </row>
    <row r="73" spans="16:16" x14ac:dyDescent="0.3">
      <c r="P73" s="40" t="str">
        <f t="shared" si="2"/>
        <v/>
      </c>
    </row>
    <row r="74" spans="16:16" x14ac:dyDescent="0.3">
      <c r="P74" s="40" t="str">
        <f t="shared" si="2"/>
        <v/>
      </c>
    </row>
    <row r="75" spans="16:16" x14ac:dyDescent="0.3">
      <c r="P75" s="40" t="str">
        <f t="shared" si="2"/>
        <v/>
      </c>
    </row>
    <row r="76" spans="16:16" x14ac:dyDescent="0.3">
      <c r="P76" s="40" t="str">
        <f t="shared" si="2"/>
        <v/>
      </c>
    </row>
    <row r="77" spans="16:16" x14ac:dyDescent="0.3">
      <c r="P77" s="40" t="str">
        <f t="shared" si="2"/>
        <v/>
      </c>
    </row>
    <row r="78" spans="16:16" x14ac:dyDescent="0.3">
      <c r="P78" s="40" t="str">
        <f t="shared" si="2"/>
        <v/>
      </c>
    </row>
    <row r="79" spans="16:16" x14ac:dyDescent="0.3">
      <c r="P79" s="40" t="str">
        <f t="shared" si="2"/>
        <v/>
      </c>
    </row>
    <row r="80" spans="16:16" x14ac:dyDescent="0.3">
      <c r="P80" s="40" t="str">
        <f t="shared" si="2"/>
        <v/>
      </c>
    </row>
    <row r="81" spans="16:16" x14ac:dyDescent="0.3">
      <c r="P81" s="40" t="str">
        <f t="shared" si="2"/>
        <v/>
      </c>
    </row>
    <row r="82" spans="16:16" x14ac:dyDescent="0.3">
      <c r="P82" s="40" t="str">
        <f t="shared" si="2"/>
        <v/>
      </c>
    </row>
    <row r="83" spans="16:16" x14ac:dyDescent="0.3">
      <c r="P83" s="40" t="str">
        <f t="shared" si="2"/>
        <v/>
      </c>
    </row>
    <row r="84" spans="16:16" x14ac:dyDescent="0.3">
      <c r="P84" s="40" t="str">
        <f t="shared" si="2"/>
        <v/>
      </c>
    </row>
    <row r="85" spans="16:16" x14ac:dyDescent="0.3">
      <c r="P85" s="40" t="str">
        <f t="shared" si="2"/>
        <v/>
      </c>
    </row>
    <row r="86" spans="16:16" x14ac:dyDescent="0.3">
      <c r="P86" s="40" t="str">
        <f t="shared" si="2"/>
        <v/>
      </c>
    </row>
    <row r="87" spans="16:16" x14ac:dyDescent="0.3">
      <c r="P87" s="40" t="str">
        <f t="shared" si="2"/>
        <v/>
      </c>
    </row>
    <row r="88" spans="16:16" x14ac:dyDescent="0.3">
      <c r="P88" s="40" t="str">
        <f t="shared" si="2"/>
        <v/>
      </c>
    </row>
    <row r="89" spans="16:16" x14ac:dyDescent="0.3">
      <c r="P89" s="40" t="str">
        <f t="shared" si="2"/>
        <v/>
      </c>
    </row>
    <row r="90" spans="16:16" x14ac:dyDescent="0.3">
      <c r="P90" s="40" t="str">
        <f t="shared" si="2"/>
        <v/>
      </c>
    </row>
    <row r="91" spans="16:16" x14ac:dyDescent="0.3">
      <c r="P91" s="40" t="str">
        <f t="shared" si="2"/>
        <v/>
      </c>
    </row>
    <row r="92" spans="16:16" x14ac:dyDescent="0.3">
      <c r="P92" s="40" t="str">
        <f t="shared" si="2"/>
        <v/>
      </c>
    </row>
    <row r="93" spans="16:16" x14ac:dyDescent="0.3">
      <c r="P93" s="40" t="str">
        <f t="shared" si="2"/>
        <v/>
      </c>
    </row>
    <row r="94" spans="16:16" x14ac:dyDescent="0.3">
      <c r="P94" s="40" t="str">
        <f t="shared" si="2"/>
        <v/>
      </c>
    </row>
    <row r="95" spans="16:16" x14ac:dyDescent="0.3">
      <c r="P95" s="40" t="str">
        <f t="shared" si="2"/>
        <v/>
      </c>
    </row>
    <row r="96" spans="16:16" x14ac:dyDescent="0.3">
      <c r="P96" s="40" t="str">
        <f t="shared" si="2"/>
        <v/>
      </c>
    </row>
    <row r="97" spans="16:16" x14ac:dyDescent="0.3">
      <c r="P97" s="40" t="str">
        <f t="shared" si="2"/>
        <v/>
      </c>
    </row>
    <row r="98" spans="16:16" x14ac:dyDescent="0.3">
      <c r="P98" s="40" t="str">
        <f t="shared" si="2"/>
        <v/>
      </c>
    </row>
    <row r="99" spans="16:16" x14ac:dyDescent="0.3">
      <c r="P99" s="40" t="str">
        <f t="shared" si="2"/>
        <v/>
      </c>
    </row>
    <row r="100" spans="16:16" x14ac:dyDescent="0.3">
      <c r="P100" s="40" t="str">
        <f t="shared" si="2"/>
        <v/>
      </c>
    </row>
    <row r="101" spans="16:16" x14ac:dyDescent="0.3">
      <c r="P101" s="40" t="str">
        <f t="shared" si="2"/>
        <v/>
      </c>
    </row>
    <row r="102" spans="16:16" x14ac:dyDescent="0.3">
      <c r="P102" s="40" t="str">
        <f t="shared" si="2"/>
        <v/>
      </c>
    </row>
    <row r="103" spans="16:16" x14ac:dyDescent="0.3">
      <c r="P103" s="40" t="str">
        <f t="shared" si="2"/>
        <v/>
      </c>
    </row>
    <row r="104" spans="16:16" x14ac:dyDescent="0.3">
      <c r="P104" s="40" t="str">
        <f t="shared" si="2"/>
        <v/>
      </c>
    </row>
    <row r="105" spans="16:16" x14ac:dyDescent="0.3">
      <c r="P105" s="40" t="str">
        <f t="shared" si="2"/>
        <v/>
      </c>
    </row>
    <row r="106" spans="16:16" x14ac:dyDescent="0.3">
      <c r="P106" s="40" t="str">
        <f t="shared" si="2"/>
        <v/>
      </c>
    </row>
    <row r="107" spans="16:16" x14ac:dyDescent="0.3">
      <c r="P107" s="40" t="str">
        <f t="shared" si="2"/>
        <v/>
      </c>
    </row>
    <row r="108" spans="16:16" x14ac:dyDescent="0.3">
      <c r="P108" s="40" t="str">
        <f t="shared" si="2"/>
        <v/>
      </c>
    </row>
    <row r="109" spans="16:16" x14ac:dyDescent="0.3">
      <c r="P109" s="40" t="str">
        <f t="shared" si="2"/>
        <v/>
      </c>
    </row>
    <row r="110" spans="16:16" x14ac:dyDescent="0.3">
      <c r="P110" s="40" t="str">
        <f t="shared" si="2"/>
        <v/>
      </c>
    </row>
    <row r="111" spans="16:16" x14ac:dyDescent="0.3">
      <c r="P111" s="40" t="str">
        <f t="shared" si="2"/>
        <v/>
      </c>
    </row>
    <row r="112" spans="16:16" x14ac:dyDescent="0.3">
      <c r="P112" s="40" t="str">
        <f t="shared" si="2"/>
        <v/>
      </c>
    </row>
    <row r="113" spans="16:16" x14ac:dyDescent="0.3">
      <c r="P113" s="40" t="str">
        <f t="shared" si="2"/>
        <v/>
      </c>
    </row>
    <row r="114" spans="16:16" x14ac:dyDescent="0.3">
      <c r="P114" s="40" t="str">
        <f t="shared" si="2"/>
        <v/>
      </c>
    </row>
    <row r="115" spans="16:16" x14ac:dyDescent="0.3">
      <c r="P115" s="40" t="str">
        <f t="shared" si="2"/>
        <v/>
      </c>
    </row>
    <row r="116" spans="16:16" x14ac:dyDescent="0.3">
      <c r="P116" s="40" t="str">
        <f t="shared" si="2"/>
        <v/>
      </c>
    </row>
    <row r="117" spans="16:16" x14ac:dyDescent="0.3">
      <c r="P117" s="40" t="str">
        <f t="shared" si="2"/>
        <v/>
      </c>
    </row>
    <row r="118" spans="16:16" x14ac:dyDescent="0.3">
      <c r="P118" s="40" t="str">
        <f t="shared" si="2"/>
        <v/>
      </c>
    </row>
    <row r="119" spans="16:16" x14ac:dyDescent="0.3">
      <c r="P119" s="40" t="str">
        <f t="shared" si="2"/>
        <v/>
      </c>
    </row>
    <row r="120" spans="16:16" x14ac:dyDescent="0.3">
      <c r="P120" s="40" t="str">
        <f t="shared" si="2"/>
        <v/>
      </c>
    </row>
    <row r="121" spans="16:16" x14ac:dyDescent="0.3">
      <c r="P121" s="40" t="str">
        <f t="shared" si="2"/>
        <v/>
      </c>
    </row>
    <row r="122" spans="16:16" x14ac:dyDescent="0.3">
      <c r="P122" s="40" t="str">
        <f t="shared" si="2"/>
        <v/>
      </c>
    </row>
    <row r="123" spans="16:16" x14ac:dyDescent="0.3">
      <c r="P123" s="40" t="str">
        <f t="shared" si="2"/>
        <v/>
      </c>
    </row>
    <row r="124" spans="16:16" x14ac:dyDescent="0.3">
      <c r="P124" s="40" t="str">
        <f t="shared" si="2"/>
        <v/>
      </c>
    </row>
    <row r="125" spans="16:16" x14ac:dyDescent="0.3">
      <c r="P125" s="40" t="str">
        <f t="shared" si="2"/>
        <v/>
      </c>
    </row>
    <row r="126" spans="16:16" x14ac:dyDescent="0.3">
      <c r="P126" s="40" t="str">
        <f t="shared" si="2"/>
        <v/>
      </c>
    </row>
    <row r="127" spans="16:16" x14ac:dyDescent="0.3">
      <c r="P127" s="40" t="str">
        <f t="shared" si="2"/>
        <v/>
      </c>
    </row>
    <row r="128" spans="16:16" x14ac:dyDescent="0.3">
      <c r="P128" s="40" t="str">
        <f t="shared" si="2"/>
        <v/>
      </c>
    </row>
    <row r="129" spans="16:16" x14ac:dyDescent="0.3">
      <c r="P129" s="40" t="str">
        <f t="shared" si="2"/>
        <v/>
      </c>
    </row>
    <row r="130" spans="16:16" x14ac:dyDescent="0.3">
      <c r="P130" s="40" t="str">
        <f t="shared" si="2"/>
        <v/>
      </c>
    </row>
    <row r="131" spans="16:16" x14ac:dyDescent="0.3">
      <c r="P131" s="40" t="str">
        <f t="shared" si="2"/>
        <v/>
      </c>
    </row>
    <row r="132" spans="16:16" x14ac:dyDescent="0.3">
      <c r="P132" s="40" t="str">
        <f t="shared" si="2"/>
        <v/>
      </c>
    </row>
    <row r="133" spans="16:16" x14ac:dyDescent="0.3">
      <c r="P133" s="40" t="str">
        <f t="shared" si="2"/>
        <v/>
      </c>
    </row>
    <row r="134" spans="16:16" x14ac:dyDescent="0.3">
      <c r="P134" s="40" t="str">
        <f t="shared" ref="P134:P197" si="3">IFERROR(AVERAGE(L134:O134),"")</f>
        <v/>
      </c>
    </row>
    <row r="135" spans="16:16" x14ac:dyDescent="0.3">
      <c r="P135" s="40" t="str">
        <f t="shared" si="3"/>
        <v/>
      </c>
    </row>
    <row r="136" spans="16:16" x14ac:dyDescent="0.3">
      <c r="P136" s="40" t="str">
        <f t="shared" si="3"/>
        <v/>
      </c>
    </row>
    <row r="137" spans="16:16" x14ac:dyDescent="0.3">
      <c r="P137" s="40" t="str">
        <f t="shared" si="3"/>
        <v/>
      </c>
    </row>
    <row r="138" spans="16:16" x14ac:dyDescent="0.3">
      <c r="P138" s="40" t="str">
        <f t="shared" si="3"/>
        <v/>
      </c>
    </row>
    <row r="139" spans="16:16" x14ac:dyDescent="0.3">
      <c r="P139" s="40" t="str">
        <f t="shared" si="3"/>
        <v/>
      </c>
    </row>
    <row r="140" spans="16:16" x14ac:dyDescent="0.3">
      <c r="P140" s="40" t="str">
        <f t="shared" si="3"/>
        <v/>
      </c>
    </row>
    <row r="141" spans="16:16" x14ac:dyDescent="0.3">
      <c r="P141" s="40" t="str">
        <f t="shared" si="3"/>
        <v/>
      </c>
    </row>
    <row r="142" spans="16:16" x14ac:dyDescent="0.3">
      <c r="P142" s="40" t="str">
        <f t="shared" si="3"/>
        <v/>
      </c>
    </row>
    <row r="143" spans="16:16" x14ac:dyDescent="0.3">
      <c r="P143" s="40" t="str">
        <f t="shared" si="3"/>
        <v/>
      </c>
    </row>
    <row r="144" spans="16:16" x14ac:dyDescent="0.3">
      <c r="P144" s="40" t="str">
        <f t="shared" si="3"/>
        <v/>
      </c>
    </row>
    <row r="145" spans="16:16" x14ac:dyDescent="0.3">
      <c r="P145" s="40" t="str">
        <f t="shared" si="3"/>
        <v/>
      </c>
    </row>
    <row r="146" spans="16:16" x14ac:dyDescent="0.3">
      <c r="P146" s="40" t="str">
        <f t="shared" si="3"/>
        <v/>
      </c>
    </row>
    <row r="147" spans="16:16" x14ac:dyDescent="0.3">
      <c r="P147" s="40" t="str">
        <f t="shared" si="3"/>
        <v/>
      </c>
    </row>
    <row r="148" spans="16:16" x14ac:dyDescent="0.3">
      <c r="P148" s="40" t="str">
        <f t="shared" si="3"/>
        <v/>
      </c>
    </row>
    <row r="149" spans="16:16" x14ac:dyDescent="0.3">
      <c r="P149" s="40" t="str">
        <f t="shared" si="3"/>
        <v/>
      </c>
    </row>
    <row r="150" spans="16:16" x14ac:dyDescent="0.3">
      <c r="P150" s="40" t="str">
        <f t="shared" si="3"/>
        <v/>
      </c>
    </row>
    <row r="151" spans="16:16" x14ac:dyDescent="0.3">
      <c r="P151" s="40" t="str">
        <f t="shared" si="3"/>
        <v/>
      </c>
    </row>
    <row r="152" spans="16:16" x14ac:dyDescent="0.3">
      <c r="P152" s="40" t="str">
        <f t="shared" si="3"/>
        <v/>
      </c>
    </row>
    <row r="153" spans="16:16" x14ac:dyDescent="0.3">
      <c r="P153" s="40" t="str">
        <f t="shared" si="3"/>
        <v/>
      </c>
    </row>
    <row r="154" spans="16:16" x14ac:dyDescent="0.3">
      <c r="P154" s="40" t="str">
        <f t="shared" si="3"/>
        <v/>
      </c>
    </row>
    <row r="155" spans="16:16" x14ac:dyDescent="0.3">
      <c r="P155" s="40" t="str">
        <f t="shared" si="3"/>
        <v/>
      </c>
    </row>
    <row r="156" spans="16:16" x14ac:dyDescent="0.3">
      <c r="P156" s="40" t="str">
        <f t="shared" si="3"/>
        <v/>
      </c>
    </row>
    <row r="157" spans="16:16" x14ac:dyDescent="0.3">
      <c r="P157" s="40" t="str">
        <f t="shared" si="3"/>
        <v/>
      </c>
    </row>
    <row r="158" spans="16:16" x14ac:dyDescent="0.3">
      <c r="P158" s="40" t="str">
        <f t="shared" si="3"/>
        <v/>
      </c>
    </row>
    <row r="159" spans="16:16" x14ac:dyDescent="0.3">
      <c r="P159" s="40" t="str">
        <f t="shared" si="3"/>
        <v/>
      </c>
    </row>
    <row r="160" spans="16:16" x14ac:dyDescent="0.3">
      <c r="P160" s="40" t="str">
        <f t="shared" si="3"/>
        <v/>
      </c>
    </row>
    <row r="161" spans="16:16" x14ac:dyDescent="0.3">
      <c r="P161" s="40" t="str">
        <f t="shared" si="3"/>
        <v/>
      </c>
    </row>
    <row r="162" spans="16:16" x14ac:dyDescent="0.3">
      <c r="P162" s="40" t="str">
        <f t="shared" si="3"/>
        <v/>
      </c>
    </row>
    <row r="163" spans="16:16" x14ac:dyDescent="0.3">
      <c r="P163" s="40" t="str">
        <f t="shared" si="3"/>
        <v/>
      </c>
    </row>
    <row r="164" spans="16:16" x14ac:dyDescent="0.3">
      <c r="P164" s="40" t="str">
        <f t="shared" si="3"/>
        <v/>
      </c>
    </row>
    <row r="165" spans="16:16" x14ac:dyDescent="0.3">
      <c r="P165" s="40" t="str">
        <f t="shared" si="3"/>
        <v/>
      </c>
    </row>
    <row r="166" spans="16:16" x14ac:dyDescent="0.3">
      <c r="P166" s="40" t="str">
        <f t="shared" si="3"/>
        <v/>
      </c>
    </row>
    <row r="167" spans="16:16" x14ac:dyDescent="0.3">
      <c r="P167" s="40" t="str">
        <f t="shared" si="3"/>
        <v/>
      </c>
    </row>
    <row r="168" spans="16:16" x14ac:dyDescent="0.3">
      <c r="P168" s="40" t="str">
        <f t="shared" si="3"/>
        <v/>
      </c>
    </row>
    <row r="169" spans="16:16" x14ac:dyDescent="0.3">
      <c r="P169" s="40" t="str">
        <f t="shared" si="3"/>
        <v/>
      </c>
    </row>
    <row r="170" spans="16:16" x14ac:dyDescent="0.3">
      <c r="P170" s="40" t="str">
        <f t="shared" si="3"/>
        <v/>
      </c>
    </row>
    <row r="171" spans="16:16" x14ac:dyDescent="0.3">
      <c r="P171" s="40" t="str">
        <f t="shared" si="3"/>
        <v/>
      </c>
    </row>
    <row r="172" spans="16:16" x14ac:dyDescent="0.3">
      <c r="P172" s="40" t="str">
        <f t="shared" si="3"/>
        <v/>
      </c>
    </row>
    <row r="173" spans="16:16" x14ac:dyDescent="0.3">
      <c r="P173" s="40" t="str">
        <f t="shared" si="3"/>
        <v/>
      </c>
    </row>
    <row r="174" spans="16:16" x14ac:dyDescent="0.3">
      <c r="P174" s="40" t="str">
        <f t="shared" si="3"/>
        <v/>
      </c>
    </row>
    <row r="175" spans="16:16" x14ac:dyDescent="0.3">
      <c r="P175" s="40" t="str">
        <f t="shared" si="3"/>
        <v/>
      </c>
    </row>
    <row r="176" spans="16:16" x14ac:dyDescent="0.3">
      <c r="P176" s="40" t="str">
        <f t="shared" si="3"/>
        <v/>
      </c>
    </row>
    <row r="177" spans="16:16" x14ac:dyDescent="0.3">
      <c r="P177" s="40" t="str">
        <f t="shared" si="3"/>
        <v/>
      </c>
    </row>
    <row r="178" spans="16:16" x14ac:dyDescent="0.3">
      <c r="P178" s="40" t="str">
        <f t="shared" si="3"/>
        <v/>
      </c>
    </row>
    <row r="179" spans="16:16" x14ac:dyDescent="0.3">
      <c r="P179" s="40" t="str">
        <f t="shared" si="3"/>
        <v/>
      </c>
    </row>
    <row r="180" spans="16:16" x14ac:dyDescent="0.3">
      <c r="P180" s="40" t="str">
        <f t="shared" si="3"/>
        <v/>
      </c>
    </row>
    <row r="181" spans="16:16" x14ac:dyDescent="0.3">
      <c r="P181" s="40" t="str">
        <f t="shared" si="3"/>
        <v/>
      </c>
    </row>
    <row r="182" spans="16:16" x14ac:dyDescent="0.3">
      <c r="P182" s="40" t="str">
        <f t="shared" si="3"/>
        <v/>
      </c>
    </row>
    <row r="183" spans="16:16" x14ac:dyDescent="0.3">
      <c r="P183" s="40" t="str">
        <f t="shared" si="3"/>
        <v/>
      </c>
    </row>
    <row r="184" spans="16:16" x14ac:dyDescent="0.3">
      <c r="P184" s="40" t="str">
        <f t="shared" si="3"/>
        <v/>
      </c>
    </row>
    <row r="185" spans="16:16" x14ac:dyDescent="0.3">
      <c r="P185" s="40" t="str">
        <f t="shared" si="3"/>
        <v/>
      </c>
    </row>
    <row r="186" spans="16:16" x14ac:dyDescent="0.3">
      <c r="P186" s="40" t="str">
        <f t="shared" si="3"/>
        <v/>
      </c>
    </row>
    <row r="187" spans="16:16" x14ac:dyDescent="0.3">
      <c r="P187" s="40" t="str">
        <f t="shared" si="3"/>
        <v/>
      </c>
    </row>
    <row r="188" spans="16:16" x14ac:dyDescent="0.3">
      <c r="P188" s="40" t="str">
        <f t="shared" si="3"/>
        <v/>
      </c>
    </row>
    <row r="189" spans="16:16" x14ac:dyDescent="0.3">
      <c r="P189" s="40" t="str">
        <f t="shared" si="3"/>
        <v/>
      </c>
    </row>
    <row r="190" spans="16:16" x14ac:dyDescent="0.3">
      <c r="P190" s="40" t="str">
        <f t="shared" si="3"/>
        <v/>
      </c>
    </row>
    <row r="191" spans="16:16" x14ac:dyDescent="0.3">
      <c r="P191" s="40" t="str">
        <f t="shared" si="3"/>
        <v/>
      </c>
    </row>
    <row r="192" spans="16:16" x14ac:dyDescent="0.3">
      <c r="P192" s="40" t="str">
        <f t="shared" si="3"/>
        <v/>
      </c>
    </row>
    <row r="193" spans="16:16" x14ac:dyDescent="0.3">
      <c r="P193" s="40" t="str">
        <f t="shared" si="3"/>
        <v/>
      </c>
    </row>
    <row r="194" spans="16:16" x14ac:dyDescent="0.3">
      <c r="P194" s="40" t="str">
        <f t="shared" si="3"/>
        <v/>
      </c>
    </row>
    <row r="195" spans="16:16" x14ac:dyDescent="0.3">
      <c r="P195" s="40" t="str">
        <f t="shared" si="3"/>
        <v/>
      </c>
    </row>
    <row r="196" spans="16:16" x14ac:dyDescent="0.3">
      <c r="P196" s="40" t="str">
        <f t="shared" si="3"/>
        <v/>
      </c>
    </row>
    <row r="197" spans="16:16" x14ac:dyDescent="0.3">
      <c r="P197" s="40" t="str">
        <f t="shared" si="3"/>
        <v/>
      </c>
    </row>
    <row r="198" spans="16:16" x14ac:dyDescent="0.3">
      <c r="P198" s="40" t="str">
        <f t="shared" ref="P198:P206" si="4">IFERROR(AVERAGE(L198:O198),"")</f>
        <v/>
      </c>
    </row>
    <row r="199" spans="16:16" x14ac:dyDescent="0.3">
      <c r="P199" s="40" t="str">
        <f t="shared" si="4"/>
        <v/>
      </c>
    </row>
    <row r="200" spans="16:16" x14ac:dyDescent="0.3">
      <c r="P200" s="40" t="str">
        <f t="shared" si="4"/>
        <v/>
      </c>
    </row>
    <row r="201" spans="16:16" x14ac:dyDescent="0.3">
      <c r="P201" s="40" t="str">
        <f t="shared" si="4"/>
        <v/>
      </c>
    </row>
    <row r="202" spans="16:16" x14ac:dyDescent="0.3">
      <c r="P202" s="40" t="str">
        <f t="shared" si="4"/>
        <v/>
      </c>
    </row>
    <row r="203" spans="16:16" x14ac:dyDescent="0.3">
      <c r="P203" s="40" t="str">
        <f t="shared" si="4"/>
        <v/>
      </c>
    </row>
    <row r="204" spans="16:16" x14ac:dyDescent="0.3">
      <c r="P204" s="40" t="str">
        <f t="shared" si="4"/>
        <v/>
      </c>
    </row>
    <row r="205" spans="16:16" x14ac:dyDescent="0.3">
      <c r="P205" s="40" t="str">
        <f t="shared" si="4"/>
        <v/>
      </c>
    </row>
    <row r="206" spans="16:16" x14ac:dyDescent="0.3">
      <c r="P206" s="40" t="str">
        <f t="shared" si="4"/>
        <v/>
      </c>
    </row>
  </sheetData>
  <sheetProtection sheet="1" selectLockedCells="1" sort="0" autoFilter="0"/>
  <autoFilter ref="K4:O4" xr:uid="{00000000-0009-0000-0000-000001000000}"/>
  <mergeCells count="17">
    <mergeCell ref="B21:C21"/>
    <mergeCell ref="D21:G21"/>
    <mergeCell ref="T2:Z2"/>
    <mergeCell ref="B11:H14"/>
    <mergeCell ref="K2:O2"/>
    <mergeCell ref="B10:H10"/>
    <mergeCell ref="B7:H8"/>
    <mergeCell ref="B2:H2"/>
    <mergeCell ref="B6:H6"/>
    <mergeCell ref="B25:C25"/>
    <mergeCell ref="D25:G25"/>
    <mergeCell ref="B22:C22"/>
    <mergeCell ref="D22:G22"/>
    <mergeCell ref="B23:C23"/>
    <mergeCell ref="D23:G23"/>
    <mergeCell ref="B24:C24"/>
    <mergeCell ref="D24:G24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A44"/>
  <sheetViews>
    <sheetView showRuler="0" zoomScaleNormal="100" workbookViewId="0">
      <selection activeCell="L40" sqref="L40:L43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B2" s="122" t="s">
        <v>39</v>
      </c>
      <c r="C2" s="122"/>
      <c r="D2" s="122"/>
      <c r="E2" s="122"/>
      <c r="F2" s="122"/>
      <c r="G2" s="122"/>
      <c r="H2" s="122"/>
      <c r="K2" s="122" t="s">
        <v>40</v>
      </c>
      <c r="L2" s="122"/>
      <c r="M2" s="122"/>
      <c r="N2" s="122"/>
      <c r="O2" s="122"/>
      <c r="P2" s="122"/>
      <c r="Q2" s="122"/>
      <c r="T2" s="122" t="s">
        <v>61</v>
      </c>
      <c r="U2" s="122"/>
      <c r="V2" s="122"/>
      <c r="W2" s="122"/>
      <c r="X2" s="122"/>
      <c r="Y2" s="122"/>
      <c r="Z2" s="122"/>
    </row>
    <row r="3" spans="1:2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6" ht="15.6" x14ac:dyDescent="0.3">
      <c r="B4" s="7" t="s">
        <v>110</v>
      </c>
      <c r="C4" s="3"/>
      <c r="D4" s="3"/>
      <c r="E4" s="3"/>
      <c r="F4" s="3"/>
      <c r="G4" s="5" t="s">
        <v>36</v>
      </c>
      <c r="H4" s="31">
        <v>95</v>
      </c>
      <c r="I4" s="3"/>
      <c r="K4" s="7" t="s">
        <v>110</v>
      </c>
      <c r="L4" s="3"/>
      <c r="M4" s="3"/>
      <c r="N4" s="3"/>
      <c r="O4" s="3"/>
      <c r="P4" s="5" t="s">
        <v>36</v>
      </c>
      <c r="Q4" s="31">
        <v>95</v>
      </c>
    </row>
    <row r="5" spans="1:26" ht="15" thickBo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A6" s="3"/>
      <c r="B6" s="48" t="s">
        <v>63</v>
      </c>
      <c r="C6" s="48" t="s">
        <v>1</v>
      </c>
      <c r="D6" s="48" t="s">
        <v>11</v>
      </c>
      <c r="E6" s="48" t="s">
        <v>71</v>
      </c>
      <c r="F6" s="54" t="s">
        <v>78</v>
      </c>
      <c r="G6" s="129" t="s">
        <v>81</v>
      </c>
      <c r="H6" s="129"/>
      <c r="J6" s="3"/>
      <c r="K6" s="48" t="s">
        <v>63</v>
      </c>
      <c r="L6" s="48" t="s">
        <v>3</v>
      </c>
      <c r="M6" s="48" t="s">
        <v>23</v>
      </c>
      <c r="N6" s="48" t="s">
        <v>2</v>
      </c>
      <c r="O6" s="48" t="s">
        <v>78</v>
      </c>
      <c r="P6" s="129" t="s">
        <v>62</v>
      </c>
      <c r="Q6" s="129"/>
    </row>
    <row r="7" spans="1:26" x14ac:dyDescent="0.3">
      <c r="A7" s="3"/>
      <c r="B7" s="19" t="str">
        <f>Data!T7</f>
        <v/>
      </c>
      <c r="C7" s="61" t="str">
        <f>Data!V7</f>
        <v/>
      </c>
      <c r="D7" s="27" t="str">
        <f>Data!W7</f>
        <v/>
      </c>
      <c r="E7" s="27" t="str">
        <f>Data!X7</f>
        <v/>
      </c>
      <c r="F7" s="27" t="str">
        <f>Data!Z7</f>
        <v/>
      </c>
      <c r="G7" s="20" t="str">
        <f>IFERROR(D7-TINV(1-$H$4/100,Data!Y7)*Data!Z7,"")</f>
        <v/>
      </c>
      <c r="H7" s="20" t="str">
        <f>IFERROR(D7+TINV(1-$H$4/100,Data!Y7)*Data!Z7,"")</f>
        <v/>
      </c>
      <c r="J7" s="3"/>
      <c r="K7" s="19" t="str">
        <f t="shared" ref="K7:K10" si="0">B7</f>
        <v/>
      </c>
      <c r="L7" s="20" t="str">
        <f>IFERROR((D7-C40)/E7,"")</f>
        <v/>
      </c>
      <c r="M7" s="20" t="str">
        <f>IFERROR((1-3/(4*G40-1))*L7,"")</f>
        <v/>
      </c>
      <c r="N7" s="42" t="str">
        <f>Data!Y7</f>
        <v/>
      </c>
      <c r="O7" s="20" t="str">
        <f>IFERROR(SQRT((N7+2)/(Data!V7*Data!V7)+((L7^2)/(2*(N7+2)))),"")</f>
        <v/>
      </c>
      <c r="P7" s="27" t="str">
        <f>IFERROR(Y17*SQRT(1/C7),"")</f>
        <v/>
      </c>
      <c r="Q7" s="27" t="str">
        <f>IFERROR(Z17*SQRT(1/C7),"")</f>
        <v/>
      </c>
    </row>
    <row r="8" spans="1:26" x14ac:dyDescent="0.3">
      <c r="A8" s="3"/>
      <c r="B8" s="21" t="str">
        <f>Data!T8</f>
        <v/>
      </c>
      <c r="C8" s="62" t="str">
        <f>Data!V8</f>
        <v/>
      </c>
      <c r="D8" s="29" t="str">
        <f>Data!W8</f>
        <v/>
      </c>
      <c r="E8" s="29" t="str">
        <f>Data!X8</f>
        <v/>
      </c>
      <c r="F8" s="29" t="str">
        <f>Data!Z8</f>
        <v/>
      </c>
      <c r="G8" s="22" t="str">
        <f>IFERROR(D8-TINV(1-$H$4/100,Data!Y8)*Data!Z8,"")</f>
        <v/>
      </c>
      <c r="H8" s="22" t="str">
        <f>IFERROR(D8+TINV(1-$H$4/100,Data!Y8)*Data!Z8,"")</f>
        <v/>
      </c>
      <c r="J8" s="3"/>
      <c r="K8" s="21" t="str">
        <f t="shared" si="0"/>
        <v/>
      </c>
      <c r="L8" s="22" t="str">
        <f>IFERROR((D8-C41)/E8,"")</f>
        <v/>
      </c>
      <c r="M8" s="22" t="str">
        <f>IFERROR((1-3/(4*G41-1))*L8,"")</f>
        <v/>
      </c>
      <c r="N8" s="43" t="str">
        <f>Data!Y8</f>
        <v/>
      </c>
      <c r="O8" s="22" t="str">
        <f>IFERROR(SQRT((G41+2)/(Data!V8*Data!V8)+((L8^2)/(2*(G41+2)))),"")</f>
        <v/>
      </c>
      <c r="P8" s="29" t="str">
        <f>IFERROR(Y18*SQRT(1/C8),"")</f>
        <v/>
      </c>
      <c r="Q8" s="29" t="str">
        <f>IFERROR(Z18*SQRT(1/C8),"")</f>
        <v/>
      </c>
    </row>
    <row r="9" spans="1:26" x14ac:dyDescent="0.3">
      <c r="A9" s="3"/>
      <c r="B9" s="21" t="str">
        <f>Data!T9</f>
        <v/>
      </c>
      <c r="C9" s="62" t="str">
        <f>Data!V9</f>
        <v/>
      </c>
      <c r="D9" s="29" t="str">
        <f>Data!W9</f>
        <v/>
      </c>
      <c r="E9" s="29" t="str">
        <f>Data!X9</f>
        <v/>
      </c>
      <c r="F9" s="29" t="str">
        <f>Data!Z9</f>
        <v/>
      </c>
      <c r="G9" s="22" t="str">
        <f>IFERROR(D9-TINV(1-$H$4/100,Data!Y9)*Data!Z9,"")</f>
        <v/>
      </c>
      <c r="H9" s="22" t="str">
        <f>IFERROR(D9+TINV(1-$H$4/100,Data!Y9)*Data!Z9,"")</f>
        <v/>
      </c>
      <c r="J9" s="3"/>
      <c r="K9" s="21" t="str">
        <f t="shared" si="0"/>
        <v/>
      </c>
      <c r="L9" s="22" t="str">
        <f>IFERROR((D9-C42)/E9,"")</f>
        <v/>
      </c>
      <c r="M9" s="22" t="str">
        <f>IFERROR((1-3/(4*G42-1))*L9,"")</f>
        <v/>
      </c>
      <c r="N9" s="43" t="str">
        <f>Data!Y9</f>
        <v/>
      </c>
      <c r="O9" s="22" t="str">
        <f>IFERROR(SQRT((G42+2)/(Data!V9*Data!V9)+((L9^2)/(2*(G42+2)))),"")</f>
        <v/>
      </c>
      <c r="P9" s="29" t="str">
        <f>IFERROR(Y19*SQRT(1/C9),"")</f>
        <v/>
      </c>
      <c r="Q9" s="29" t="str">
        <f>IFERROR(Z19*SQRT(1/C9),"")</f>
        <v/>
      </c>
    </row>
    <row r="10" spans="1:26" ht="15" thickBot="1" x14ac:dyDescent="0.35">
      <c r="A10" s="3"/>
      <c r="B10" s="21" t="str">
        <f>Data!T10</f>
        <v/>
      </c>
      <c r="C10" s="62" t="str">
        <f>Data!V10</f>
        <v/>
      </c>
      <c r="D10" s="29" t="str">
        <f>Data!W10</f>
        <v/>
      </c>
      <c r="E10" s="29" t="str">
        <f>Data!X10</f>
        <v/>
      </c>
      <c r="F10" s="52" t="str">
        <f>Data!Z10</f>
        <v/>
      </c>
      <c r="G10" s="22" t="str">
        <f>IFERROR(D10-TINV(1-$H$4/100,Data!Y10)*Data!Z10,"")</f>
        <v/>
      </c>
      <c r="H10" s="22" t="str">
        <f>IFERROR(D10+TINV(1-$H$4/100,Data!Y10)*Data!Z10,"")</f>
        <v/>
      </c>
      <c r="J10" s="3"/>
      <c r="K10" s="94" t="str">
        <f t="shared" si="0"/>
        <v/>
      </c>
      <c r="L10" s="49" t="str">
        <f>IFERROR((D10-C43)/E10,"")</f>
        <v/>
      </c>
      <c r="M10" s="49" t="str">
        <f>IFERROR((1-3/(4*G43-1))*L10,"")</f>
        <v/>
      </c>
      <c r="N10" s="43" t="str">
        <f>Data!Y10</f>
        <v/>
      </c>
      <c r="O10" s="22" t="str">
        <f>IFERROR(SQRT((G43+2)/(Data!V10*Data!V10)+((L10^2)/(2*(G43+2)))),"")</f>
        <v/>
      </c>
      <c r="P10" s="29" t="str">
        <f>IFERROR(Y20*SQRT(1/C10),"")</f>
        <v/>
      </c>
      <c r="Q10" s="29" t="str">
        <f>IFERROR(Z20*SQRT(1/C10),"")</f>
        <v/>
      </c>
    </row>
    <row r="11" spans="1:26" x14ac:dyDescent="0.3">
      <c r="A11" s="3"/>
      <c r="B11" s="2"/>
      <c r="C11" s="2"/>
      <c r="D11" s="2"/>
      <c r="E11" s="2"/>
      <c r="F11" s="9"/>
      <c r="G11" s="2"/>
      <c r="H11" s="2"/>
      <c r="I11" s="3"/>
      <c r="J11" s="3"/>
      <c r="K11" s="2"/>
      <c r="L11" s="2"/>
      <c r="M11" s="2"/>
      <c r="N11" s="2"/>
      <c r="O11" s="2"/>
      <c r="P11" s="2"/>
      <c r="Q11" s="2"/>
    </row>
    <row r="12" spans="1:26" x14ac:dyDescent="0.3">
      <c r="A12" s="3"/>
      <c r="T12" s="28"/>
      <c r="U12" s="28"/>
      <c r="V12" s="28"/>
    </row>
    <row r="13" spans="1:26" x14ac:dyDescent="0.3">
      <c r="A13" s="3"/>
      <c r="T13" s="28"/>
      <c r="U13" s="28"/>
      <c r="V13" s="28"/>
    </row>
    <row r="14" spans="1:26" ht="15.6" x14ac:dyDescent="0.3">
      <c r="B14" s="7" t="s">
        <v>112</v>
      </c>
      <c r="C14" s="3"/>
      <c r="D14" s="3"/>
      <c r="E14" s="3"/>
      <c r="F14" s="3"/>
      <c r="G14" s="3"/>
      <c r="H14" s="3"/>
      <c r="I14" s="3"/>
      <c r="K14" s="7" t="s">
        <v>112</v>
      </c>
      <c r="L14" s="3"/>
      <c r="M14" s="3"/>
      <c r="N14" s="3"/>
      <c r="O14" s="3"/>
      <c r="P14" s="3"/>
      <c r="Q14" s="3"/>
      <c r="T14" s="7" t="s">
        <v>21</v>
      </c>
    </row>
    <row r="15" spans="1:26" ht="15" thickBot="1" x14ac:dyDescent="0.35">
      <c r="A15" s="25"/>
      <c r="B15" s="25"/>
      <c r="C15" s="25"/>
      <c r="D15" s="25"/>
      <c r="E15" s="25"/>
      <c r="F15" s="25"/>
      <c r="G15" s="25"/>
      <c r="H15" s="25"/>
      <c r="I15" s="25"/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A16" s="25"/>
      <c r="B16" s="86" t="s">
        <v>76</v>
      </c>
      <c r="C16" s="40"/>
      <c r="D16" s="40"/>
      <c r="E16" s="40"/>
      <c r="F16" s="40"/>
      <c r="G16" s="40" t="s">
        <v>74</v>
      </c>
      <c r="H16" s="40"/>
      <c r="I16" s="25"/>
      <c r="J16" s="3"/>
      <c r="K16" s="86" t="s">
        <v>76</v>
      </c>
      <c r="L16" s="40"/>
      <c r="M16" s="40"/>
      <c r="N16" s="35"/>
      <c r="O16" s="39"/>
      <c r="P16" s="86" t="s">
        <v>74</v>
      </c>
      <c r="Q16" s="40"/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1:26" ht="15.6" x14ac:dyDescent="0.3">
      <c r="A17" s="25"/>
      <c r="B17" s="35" t="s">
        <v>0</v>
      </c>
      <c r="C17" s="36" t="s">
        <v>75</v>
      </c>
      <c r="D17" s="35" t="s">
        <v>77</v>
      </c>
      <c r="E17" s="35"/>
      <c r="F17" s="35"/>
      <c r="G17" s="36" t="s">
        <v>33</v>
      </c>
      <c r="H17" s="36" t="s">
        <v>75</v>
      </c>
      <c r="I17" s="25"/>
      <c r="J17" s="3"/>
      <c r="K17" s="36" t="s">
        <v>0</v>
      </c>
      <c r="L17" s="36" t="s">
        <v>75</v>
      </c>
      <c r="M17" s="36" t="s">
        <v>77</v>
      </c>
      <c r="N17" s="40"/>
      <c r="O17" s="39"/>
      <c r="P17" s="36" t="s">
        <v>33</v>
      </c>
      <c r="Q17" s="36" t="s">
        <v>75</v>
      </c>
      <c r="S17" s="4"/>
      <c r="T17" s="27" t="e">
        <f>EXP(((LN(2)-LN(G40))/2)+GAMMALN((G40+1)/2)-GAMMALN(G40/2))</f>
        <v>#VALUE!</v>
      </c>
      <c r="U17" s="27" t="e">
        <f>T17*F40</f>
        <v>#VALUE!</v>
      </c>
      <c r="V17" s="27" t="e">
        <f>1+(F40^2)*(1-T17^2)</f>
        <v>#VALUE!</v>
      </c>
      <c r="W17" s="27" t="e">
        <f>(2*U17^3)-((2*G40-1)/G40)*(F40^2*U17)</f>
        <v>#VALUE!</v>
      </c>
      <c r="X17" s="12" t="e">
        <f>W17/SQRT(V17)^3</f>
        <v>#VALUE!</v>
      </c>
      <c r="Y17" s="28" t="e">
        <f t="shared" ref="Y17:Z20" si="1">IF($X17&lt;0.001,Y29,Y23)</f>
        <v>#VALUE!</v>
      </c>
      <c r="Z17" s="28" t="e">
        <f t="shared" si="1"/>
        <v>#VALUE!</v>
      </c>
    </row>
    <row r="18" spans="1:26" x14ac:dyDescent="0.3">
      <c r="A18" s="25"/>
      <c r="B18" s="35">
        <v>1.1000000000000001</v>
      </c>
      <c r="C18" s="38" t="e">
        <f>IF(H7="",NA(),H7)</f>
        <v>#N/A</v>
      </c>
      <c r="D18" s="38" t="e">
        <f t="shared" ref="D18:D29" si="2">C18</f>
        <v>#N/A</v>
      </c>
      <c r="E18" s="38"/>
      <c r="F18" s="38"/>
      <c r="G18" s="37">
        <v>0.5</v>
      </c>
      <c r="H18" s="37">
        <f>$C$40</f>
        <v>0</v>
      </c>
      <c r="I18" s="25"/>
      <c r="J18" s="3"/>
      <c r="K18" s="35">
        <v>1.1000000000000001</v>
      </c>
      <c r="L18" s="38" t="e">
        <f>IF(Q7="",NA(),Q7)</f>
        <v>#N/A</v>
      </c>
      <c r="M18" s="38" t="e">
        <f t="shared" ref="M18:M29" si="3">L18</f>
        <v>#N/A</v>
      </c>
      <c r="N18" s="40"/>
      <c r="O18" s="39"/>
      <c r="P18" s="37">
        <v>0.5</v>
      </c>
      <c r="Q18" s="37">
        <f>L$40</f>
        <v>0</v>
      </c>
      <c r="T18" s="29" t="e">
        <f>EXP(((LN(2)-LN(G41))/2)+GAMMALN((G41+1)/2)-GAMMALN(G41/2))</f>
        <v>#VALUE!</v>
      </c>
      <c r="U18" s="29" t="e">
        <f>T18*F41</f>
        <v>#VALUE!</v>
      </c>
      <c r="V18" s="29" t="e">
        <f>1+(F41^2)*(1-T18^2)</f>
        <v>#VALUE!</v>
      </c>
      <c r="W18" s="29" t="e">
        <f>(2*U18^3)-((2*G41-1)/G41)*(F41^2*U18)</f>
        <v>#VALUE!</v>
      </c>
      <c r="X18" s="12" t="e">
        <f>W18/SQRT(V18)^3</f>
        <v>#VALUE!</v>
      </c>
      <c r="Y18" s="28" t="e">
        <f t="shared" si="1"/>
        <v>#VALUE!</v>
      </c>
      <c r="Z18" s="28" t="e">
        <f t="shared" si="1"/>
        <v>#VALUE!</v>
      </c>
    </row>
    <row r="19" spans="1:26" x14ac:dyDescent="0.3">
      <c r="A19" s="25"/>
      <c r="B19" s="35">
        <v>1.1000000000000001</v>
      </c>
      <c r="C19" s="37" t="e">
        <f>IF(D7="",NA(),D7)</f>
        <v>#N/A</v>
      </c>
      <c r="D19" s="38" t="e">
        <f t="shared" si="2"/>
        <v>#N/A</v>
      </c>
      <c r="E19" s="38"/>
      <c r="F19" s="38"/>
      <c r="G19" s="37">
        <v>1</v>
      </c>
      <c r="H19" s="37">
        <f>$C$40</f>
        <v>0</v>
      </c>
      <c r="I19" s="25"/>
      <c r="J19" s="3"/>
      <c r="K19" s="35">
        <v>1.1000000000000001</v>
      </c>
      <c r="L19" s="37" t="e">
        <f>IF(M7="",NA(),M7)</f>
        <v>#N/A</v>
      </c>
      <c r="M19" s="38" t="e">
        <f t="shared" si="3"/>
        <v>#N/A</v>
      </c>
      <c r="N19" s="40"/>
      <c r="O19" s="39"/>
      <c r="P19" s="37">
        <v>1</v>
      </c>
      <c r="Q19" s="37">
        <f>L$40</f>
        <v>0</v>
      </c>
      <c r="T19" s="29" t="e">
        <f>EXP(((LN(2)-LN(G42))/2)+GAMMALN((G42+1)/2)-GAMMALN(G42/2))</f>
        <v>#VALUE!</v>
      </c>
      <c r="U19" s="29" t="e">
        <f>T19*F42</f>
        <v>#VALUE!</v>
      </c>
      <c r="V19" s="29" t="e">
        <f>1+(F42^2)*(1-T19^2)</f>
        <v>#VALUE!</v>
      </c>
      <c r="W19" s="29" t="e">
        <f>(2*U19^3)-((2*G42-1)/G42)*(F42^2*U19)</f>
        <v>#VALUE!</v>
      </c>
      <c r="X19" s="12" t="e">
        <f>W19/SQRT(V19)^3</f>
        <v>#VALUE!</v>
      </c>
      <c r="Y19" s="28" t="e">
        <f t="shared" si="1"/>
        <v>#VALUE!</v>
      </c>
      <c r="Z19" s="28" t="e">
        <f t="shared" si="1"/>
        <v>#VALUE!</v>
      </c>
    </row>
    <row r="20" spans="1:26" ht="15" thickBot="1" x14ac:dyDescent="0.35">
      <c r="A20" s="25"/>
      <c r="B20" s="35">
        <v>1.1000000000000001</v>
      </c>
      <c r="C20" s="38" t="e">
        <f>IF(G7="",NA(),G7)</f>
        <v>#N/A</v>
      </c>
      <c r="D20" s="38" t="e">
        <f t="shared" si="2"/>
        <v>#N/A</v>
      </c>
      <c r="E20" s="38"/>
      <c r="F20" s="38"/>
      <c r="G20" s="37">
        <v>1.5</v>
      </c>
      <c r="H20" s="37">
        <f>$C$40</f>
        <v>0</v>
      </c>
      <c r="I20" s="25"/>
      <c r="J20" s="3"/>
      <c r="K20" s="35">
        <v>1.1000000000000001</v>
      </c>
      <c r="L20" s="38" t="e">
        <f>IF(P7="",NA(),P7)</f>
        <v>#N/A</v>
      </c>
      <c r="M20" s="38" t="e">
        <f t="shared" si="3"/>
        <v>#N/A</v>
      </c>
      <c r="N20" s="40"/>
      <c r="O20" s="39"/>
      <c r="P20" s="37">
        <v>1.5</v>
      </c>
      <c r="Q20" s="37">
        <f>L$40</f>
        <v>0</v>
      </c>
      <c r="T20" s="29" t="e">
        <f>EXP(((LN(2)-LN(G43))/2)+GAMMALN((G43+1)/2)-GAMMALN(G43/2))</f>
        <v>#VALUE!</v>
      </c>
      <c r="U20" s="29" t="e">
        <f>T20*F43</f>
        <v>#VALUE!</v>
      </c>
      <c r="V20" s="29" t="e">
        <f>1+(F43^2)*(1-T20^2)</f>
        <v>#VALUE!</v>
      </c>
      <c r="W20" s="29" t="e">
        <f>(2*U20^3)-((2*G43-1)/G43)*(F43^2*U20)</f>
        <v>#VALUE!</v>
      </c>
      <c r="X20" s="12" t="e">
        <f>W20/SQRT(V20)^3</f>
        <v>#VALUE!</v>
      </c>
      <c r="Y20" s="28" t="e">
        <f t="shared" si="1"/>
        <v>#VALUE!</v>
      </c>
      <c r="Z20" s="28" t="e">
        <f t="shared" si="1"/>
        <v>#VALUE!</v>
      </c>
    </row>
    <row r="21" spans="1:26" ht="15" thickBot="1" x14ac:dyDescent="0.35">
      <c r="A21" s="25"/>
      <c r="B21" s="35">
        <v>2.1</v>
      </c>
      <c r="C21" s="38" t="e">
        <f>IF(H8="",NA(),H8)</f>
        <v>#N/A</v>
      </c>
      <c r="D21" s="38" t="e">
        <f t="shared" si="2"/>
        <v>#N/A</v>
      </c>
      <c r="E21" s="38"/>
      <c r="F21" s="38"/>
      <c r="G21" s="37">
        <v>1.5</v>
      </c>
      <c r="H21" s="37">
        <f>$C$41</f>
        <v>0</v>
      </c>
      <c r="I21" s="25"/>
      <c r="J21" s="3"/>
      <c r="K21" s="35">
        <v>2.1</v>
      </c>
      <c r="L21" s="38" t="e">
        <f>IF(Q8="",NA(),Q8)</f>
        <v>#N/A</v>
      </c>
      <c r="M21" s="38" t="e">
        <f t="shared" si="3"/>
        <v>#N/A</v>
      </c>
      <c r="N21" s="39"/>
      <c r="O21" s="39"/>
      <c r="P21" s="37">
        <v>1.5</v>
      </c>
      <c r="Q21" s="37">
        <f>L$41</f>
        <v>0</v>
      </c>
      <c r="T21" s="79"/>
      <c r="U21" s="79"/>
      <c r="V21" s="79"/>
      <c r="W21" s="79"/>
      <c r="X21" s="79"/>
      <c r="Y21" s="79"/>
      <c r="Z21" s="79"/>
    </row>
    <row r="22" spans="1:26" ht="15" thickBot="1" x14ac:dyDescent="0.35">
      <c r="A22" s="25"/>
      <c r="B22" s="35">
        <v>2.1</v>
      </c>
      <c r="C22" s="37" t="e">
        <f>IF(D8="",NA(),D8)</f>
        <v>#N/A</v>
      </c>
      <c r="D22" s="38" t="e">
        <f t="shared" si="2"/>
        <v>#N/A</v>
      </c>
      <c r="E22" s="38"/>
      <c r="F22" s="38"/>
      <c r="G22" s="37">
        <v>2</v>
      </c>
      <c r="H22" s="37">
        <f>$C$41</f>
        <v>0</v>
      </c>
      <c r="I22" s="25"/>
      <c r="J22" s="3"/>
      <c r="K22" s="35">
        <v>2.1</v>
      </c>
      <c r="L22" s="37" t="e">
        <f>IF(M8="",NA(),M8)</f>
        <v>#N/A</v>
      </c>
      <c r="M22" s="38" t="e">
        <f t="shared" si="3"/>
        <v>#N/A</v>
      </c>
      <c r="N22" s="39"/>
      <c r="O22" s="39"/>
      <c r="P22" s="37">
        <v>2</v>
      </c>
      <c r="Q22" s="37">
        <f>L$41</f>
        <v>0</v>
      </c>
      <c r="T22" s="63" t="s">
        <v>14</v>
      </c>
      <c r="U22" s="63" t="s">
        <v>15</v>
      </c>
      <c r="V22" s="63" t="s">
        <v>16</v>
      </c>
      <c r="W22" s="63" t="s">
        <v>17</v>
      </c>
      <c r="X22" s="63" t="s">
        <v>18</v>
      </c>
      <c r="Y22" s="63" t="s">
        <v>19</v>
      </c>
      <c r="Z22" s="63" t="s">
        <v>20</v>
      </c>
    </row>
    <row r="23" spans="1:26" x14ac:dyDescent="0.3">
      <c r="A23" s="25"/>
      <c r="B23" s="35">
        <v>2.1</v>
      </c>
      <c r="C23" s="38" t="e">
        <f>IF(G8="",NA(),G8)</f>
        <v>#N/A</v>
      </c>
      <c r="D23" s="38" t="e">
        <f t="shared" si="2"/>
        <v>#N/A</v>
      </c>
      <c r="E23" s="38"/>
      <c r="F23" s="38"/>
      <c r="G23" s="37">
        <v>2.5</v>
      </c>
      <c r="H23" s="37">
        <f>$C$41</f>
        <v>0</v>
      </c>
      <c r="I23" s="25"/>
      <c r="J23" s="3"/>
      <c r="K23" s="35">
        <v>2.1</v>
      </c>
      <c r="L23" s="38" t="e">
        <f>IF(P8="",NA(),P8)</f>
        <v>#N/A</v>
      </c>
      <c r="M23" s="38" t="e">
        <f t="shared" si="3"/>
        <v>#N/A</v>
      </c>
      <c r="N23" s="39"/>
      <c r="O23" s="39"/>
      <c r="P23" s="37">
        <v>2.5</v>
      </c>
      <c r="Q23" s="37">
        <f>L$41</f>
        <v>0</v>
      </c>
      <c r="T23" s="27" t="e">
        <f>W17/(4*V17)</f>
        <v>#VALUE!</v>
      </c>
      <c r="U23" s="27" t="e">
        <f>V17/(2*T23^2)</f>
        <v>#VALUE!</v>
      </c>
      <c r="V23" s="27" t="e">
        <f>U17-(U23*T23)</f>
        <v>#VALUE!</v>
      </c>
      <c r="W23" s="27" t="e">
        <f>2*GAMMAINV((1-$Q$4/100)/2,U23/2,1)</f>
        <v>#VALUE!</v>
      </c>
      <c r="X23" s="27" t="e">
        <f>2*GAMMAINV(1-(1-$Q$4/100)/2,U23/2,1)</f>
        <v>#VALUE!</v>
      </c>
      <c r="Y23" s="27" t="e">
        <f>IF(F40&gt;0,V23+(T23*W23),V23+(T23*X23))</f>
        <v>#VALUE!</v>
      </c>
      <c r="Z23" s="27" t="e">
        <f>IF(F40&gt;0,V23+(T23*X23),V23+(T23*W23))</f>
        <v>#VALUE!</v>
      </c>
    </row>
    <row r="24" spans="1:26" x14ac:dyDescent="0.3">
      <c r="A24" s="25"/>
      <c r="B24" s="35">
        <v>3.1</v>
      </c>
      <c r="C24" s="38" t="e">
        <f>IF(H9="",NA(),H9)</f>
        <v>#N/A</v>
      </c>
      <c r="D24" s="38" t="e">
        <f t="shared" si="2"/>
        <v>#N/A</v>
      </c>
      <c r="E24" s="38"/>
      <c r="F24" s="38"/>
      <c r="G24" s="37">
        <v>2.5</v>
      </c>
      <c r="H24" s="37">
        <f>$C$42</f>
        <v>0</v>
      </c>
      <c r="I24" s="25"/>
      <c r="J24" s="3"/>
      <c r="K24" s="35">
        <v>3.1</v>
      </c>
      <c r="L24" s="38" t="e">
        <f>IF(Q9="",NA(),Q9)</f>
        <v>#N/A</v>
      </c>
      <c r="M24" s="38" t="e">
        <f t="shared" si="3"/>
        <v>#N/A</v>
      </c>
      <c r="N24" s="39"/>
      <c r="O24" s="39"/>
      <c r="P24" s="37">
        <v>2.5</v>
      </c>
      <c r="Q24" s="37">
        <f>L$42</f>
        <v>0</v>
      </c>
      <c r="T24" s="29" t="e">
        <f>W18/(4*V18)</f>
        <v>#VALUE!</v>
      </c>
      <c r="U24" s="29" t="e">
        <f>V18/(2*T24^2)</f>
        <v>#VALUE!</v>
      </c>
      <c r="V24" s="29" t="e">
        <f>U18-(U24*T24)</f>
        <v>#VALUE!</v>
      </c>
      <c r="W24" s="29" t="e">
        <f>2*GAMMAINV((1-$Q$4/100)/2,U24/2,1)</f>
        <v>#VALUE!</v>
      </c>
      <c r="X24" s="29" t="e">
        <f>2*GAMMAINV(1-(1-$Q$4/100)/2,U24/2,1)</f>
        <v>#VALUE!</v>
      </c>
      <c r="Y24" s="29" t="e">
        <f>IF(F41&gt;0,V24+(T24*W24),V24+(T24*X24))</f>
        <v>#VALUE!</v>
      </c>
      <c r="Z24" s="29" t="e">
        <f>IF(F41&gt;0,V24+(T24*X24),V24+(T24*W24))</f>
        <v>#VALUE!</v>
      </c>
    </row>
    <row r="25" spans="1:26" x14ac:dyDescent="0.3">
      <c r="A25" s="25"/>
      <c r="B25" s="35">
        <v>3.1</v>
      </c>
      <c r="C25" s="37" t="e">
        <f>IF(D9="",NA(),D9)</f>
        <v>#N/A</v>
      </c>
      <c r="D25" s="38" t="e">
        <f t="shared" si="2"/>
        <v>#N/A</v>
      </c>
      <c r="E25" s="38"/>
      <c r="F25" s="38"/>
      <c r="G25" s="37">
        <v>3</v>
      </c>
      <c r="H25" s="37">
        <f>$C$42</f>
        <v>0</v>
      </c>
      <c r="I25" s="25"/>
      <c r="J25" s="3"/>
      <c r="K25" s="35">
        <v>3.1</v>
      </c>
      <c r="L25" s="37" t="e">
        <f>IF(M9="",NA(),M9)</f>
        <v>#N/A</v>
      </c>
      <c r="M25" s="38" t="e">
        <f t="shared" si="3"/>
        <v>#N/A</v>
      </c>
      <c r="N25" s="39"/>
      <c r="O25" s="39"/>
      <c r="P25" s="37">
        <v>3</v>
      </c>
      <c r="Q25" s="37">
        <f>L$42</f>
        <v>0</v>
      </c>
      <c r="T25" s="29" t="e">
        <f>W19/(4*V19)</f>
        <v>#VALUE!</v>
      </c>
      <c r="U25" s="29" t="e">
        <f>V19/(2*T25^2)</f>
        <v>#VALUE!</v>
      </c>
      <c r="V25" s="29" t="e">
        <f>U19-(U25*T25)</f>
        <v>#VALUE!</v>
      </c>
      <c r="W25" s="29" t="e">
        <f>2*GAMMAINV((1-$Q$4/100)/2,U25/2,1)</f>
        <v>#VALUE!</v>
      </c>
      <c r="X25" s="29" t="e">
        <f>2*GAMMAINV(1-(1-$Q$4/100)/2,U25/2,1)</f>
        <v>#VALUE!</v>
      </c>
      <c r="Y25" s="29" t="e">
        <f>IF(F42&gt;0,V25+(T25*W25),V25+(T25*X25))</f>
        <v>#VALUE!</v>
      </c>
      <c r="Z25" s="29" t="e">
        <f>IF(F42&gt;0,V25+(T25*X25),V25+(T25*W25))</f>
        <v>#VALUE!</v>
      </c>
    </row>
    <row r="26" spans="1:26" ht="15" thickBot="1" x14ac:dyDescent="0.35">
      <c r="A26" s="25"/>
      <c r="B26" s="35">
        <v>3.1</v>
      </c>
      <c r="C26" s="38" t="e">
        <f>IF(G9="",NA(),G9)</f>
        <v>#N/A</v>
      </c>
      <c r="D26" s="38" t="e">
        <f t="shared" si="2"/>
        <v>#N/A</v>
      </c>
      <c r="E26" s="38"/>
      <c r="F26" s="38"/>
      <c r="G26" s="37">
        <v>3.5</v>
      </c>
      <c r="H26" s="37">
        <f>$C$42</f>
        <v>0</v>
      </c>
      <c r="I26" s="25"/>
      <c r="J26" s="3"/>
      <c r="K26" s="35">
        <v>3.1</v>
      </c>
      <c r="L26" s="38" t="e">
        <f>IF(P9="",NA(),P9)</f>
        <v>#N/A</v>
      </c>
      <c r="M26" s="38" t="e">
        <f t="shared" si="3"/>
        <v>#N/A</v>
      </c>
      <c r="N26" s="39"/>
      <c r="O26" s="39"/>
      <c r="P26" s="37">
        <v>3.5</v>
      </c>
      <c r="Q26" s="37">
        <f>L$42</f>
        <v>0</v>
      </c>
      <c r="T26" s="52" t="e">
        <f>W20/(4*V20)</f>
        <v>#VALUE!</v>
      </c>
      <c r="U26" s="52" t="e">
        <f>V20/(2*T26^2)</f>
        <v>#VALUE!</v>
      </c>
      <c r="V26" s="52" t="e">
        <f>U20-(U26*T26)</f>
        <v>#VALUE!</v>
      </c>
      <c r="W26" s="52" t="e">
        <f>2*GAMMAINV((1-$Q$4/100)/2,U26/2,1)</f>
        <v>#VALUE!</v>
      </c>
      <c r="X26" s="52" t="e">
        <f>2*GAMMAINV(1-(1-$Q$4/100)/2,U26/2,1)</f>
        <v>#VALUE!</v>
      </c>
      <c r="Y26" s="52" t="e">
        <f>IF(F43&gt;0,V26+(T26*W26),V26+(T26*X26))</f>
        <v>#VALUE!</v>
      </c>
      <c r="Z26" s="52" t="e">
        <f>IF(F43&gt;0,V26+(T26*X26),V26+(T26*W26))</f>
        <v>#VALUE!</v>
      </c>
    </row>
    <row r="27" spans="1:26" ht="15" thickBot="1" x14ac:dyDescent="0.35">
      <c r="A27" s="25"/>
      <c r="B27" s="35">
        <v>4.0999999999999996</v>
      </c>
      <c r="C27" s="38" t="e">
        <f>IF(H10="",NA(),H10)</f>
        <v>#N/A</v>
      </c>
      <c r="D27" s="38" t="e">
        <f t="shared" si="2"/>
        <v>#N/A</v>
      </c>
      <c r="E27" s="38"/>
      <c r="F27" s="38"/>
      <c r="G27" s="37">
        <v>3.5</v>
      </c>
      <c r="H27" s="37">
        <f>$C$43</f>
        <v>0</v>
      </c>
      <c r="I27" s="25"/>
      <c r="J27" s="3"/>
      <c r="K27" s="35">
        <v>4.0999999999999996</v>
      </c>
      <c r="L27" s="38" t="e">
        <f>IF(Q10="",NA(),Q10)</f>
        <v>#N/A</v>
      </c>
      <c r="M27" s="38" t="e">
        <f t="shared" si="3"/>
        <v>#N/A</v>
      </c>
      <c r="N27" s="39"/>
      <c r="O27" s="39"/>
      <c r="P27" s="37">
        <v>3.5</v>
      </c>
      <c r="Q27" s="37">
        <f>L$43</f>
        <v>0</v>
      </c>
      <c r="T27" s="9"/>
      <c r="U27" s="9"/>
      <c r="V27" s="9"/>
      <c r="W27" s="9"/>
      <c r="X27" s="9"/>
      <c r="Y27" s="9"/>
      <c r="Z27" s="9"/>
    </row>
    <row r="28" spans="1:26" ht="15" thickBot="1" x14ac:dyDescent="0.35">
      <c r="A28" s="25"/>
      <c r="B28" s="36">
        <v>4.0999999999999996</v>
      </c>
      <c r="C28" s="37" t="e">
        <f>IF(D10="",NA(),D10)</f>
        <v>#N/A</v>
      </c>
      <c r="D28" s="38" t="e">
        <f t="shared" si="2"/>
        <v>#N/A</v>
      </c>
      <c r="E28" s="38"/>
      <c r="F28" s="38"/>
      <c r="G28" s="37">
        <v>4</v>
      </c>
      <c r="H28" s="37">
        <f>$C$43</f>
        <v>0</v>
      </c>
      <c r="I28" s="25"/>
      <c r="J28" s="3"/>
      <c r="K28" s="36">
        <v>4.0999999999999996</v>
      </c>
      <c r="L28" s="37" t="e">
        <f>IF(M10="",NA(),M10)</f>
        <v>#N/A</v>
      </c>
      <c r="M28" s="38" t="e">
        <f t="shared" si="3"/>
        <v>#N/A</v>
      </c>
      <c r="N28" s="39"/>
      <c r="O28" s="39"/>
      <c r="P28" s="37">
        <v>4</v>
      </c>
      <c r="Q28" s="37">
        <f>L$43</f>
        <v>0</v>
      </c>
      <c r="V28" s="63" t="s">
        <v>71</v>
      </c>
      <c r="W28" s="63" t="s">
        <v>72</v>
      </c>
      <c r="X28" s="63" t="s">
        <v>73</v>
      </c>
      <c r="Y28" s="63" t="s">
        <v>19</v>
      </c>
      <c r="Z28" s="63" t="s">
        <v>20</v>
      </c>
    </row>
    <row r="29" spans="1:26" x14ac:dyDescent="0.3">
      <c r="A29" s="25"/>
      <c r="B29" s="36">
        <v>4.0999999999999996</v>
      </c>
      <c r="C29" s="38" t="e">
        <f>IF(G10="",NA(),G10)</f>
        <v>#N/A</v>
      </c>
      <c r="D29" s="38" t="e">
        <f t="shared" si="2"/>
        <v>#N/A</v>
      </c>
      <c r="E29" s="38"/>
      <c r="F29" s="38"/>
      <c r="G29" s="37">
        <v>4.5</v>
      </c>
      <c r="H29" s="37">
        <f>$C$43</f>
        <v>0</v>
      </c>
      <c r="I29" s="25"/>
      <c r="J29" s="3"/>
      <c r="K29" s="36">
        <v>4.0999999999999996</v>
      </c>
      <c r="L29" s="38" t="e">
        <f>IF(P10="",NA(),P10)</f>
        <v>#N/A</v>
      </c>
      <c r="M29" s="37" t="e">
        <f t="shared" si="3"/>
        <v>#N/A</v>
      </c>
      <c r="N29" s="39"/>
      <c r="O29" s="39"/>
      <c r="P29" s="37">
        <v>4.5</v>
      </c>
      <c r="Q29" s="37">
        <f>L$43</f>
        <v>0</v>
      </c>
      <c r="V29" s="28" t="e">
        <f>SQRT(V17)</f>
        <v>#VALUE!</v>
      </c>
      <c r="W29" s="28">
        <f>NORMINV((1-$Q$4/100)/2,0,1)</f>
        <v>-1.9599639845400536</v>
      </c>
      <c r="X29" s="28">
        <f>NORMINV(1-(1-$Q$4/100)/2,0,1)</f>
        <v>1.9599639845400536</v>
      </c>
      <c r="Y29" s="28" t="e">
        <f>U17+W29*V29</f>
        <v>#VALUE!</v>
      </c>
      <c r="Z29" s="28" t="e">
        <f>U17+X29*V29</f>
        <v>#VALUE!</v>
      </c>
    </row>
    <row r="30" spans="1:26" x14ac:dyDescent="0.3">
      <c r="A30" s="25"/>
      <c r="B30" s="35"/>
      <c r="C30" s="35"/>
      <c r="D30" s="35"/>
      <c r="E30" s="35"/>
      <c r="F30" s="35"/>
      <c r="G30" s="35"/>
      <c r="H30" s="35"/>
      <c r="I30" s="25"/>
      <c r="J30" s="3"/>
      <c r="K30" s="25"/>
      <c r="L30" s="25"/>
      <c r="M30" s="25"/>
      <c r="N30" s="25"/>
      <c r="O30" s="25"/>
      <c r="P30" s="25"/>
      <c r="Q30" s="25"/>
      <c r="V30" s="28" t="e">
        <f>SQRT(V18)</f>
        <v>#VALUE!</v>
      </c>
      <c r="W30" s="28">
        <f>NORMINV((1-$Q$4/100)/2,0,1)</f>
        <v>-1.9599639845400536</v>
      </c>
      <c r="X30" s="28">
        <f>NORMINV(1-(1-$Q$4/100)/2,0,1)</f>
        <v>1.9599639845400536</v>
      </c>
      <c r="Y30" s="28" t="e">
        <f>U18+W30*V30</f>
        <v>#VALUE!</v>
      </c>
      <c r="Z30" s="28" t="e">
        <f>U18+X30*V30</f>
        <v>#VALUE!</v>
      </c>
    </row>
    <row r="31" spans="1:26" x14ac:dyDescent="0.3">
      <c r="A31" s="25"/>
      <c r="B31" s="26"/>
      <c r="C31" s="26"/>
      <c r="D31" s="26"/>
      <c r="E31" s="26"/>
      <c r="F31" s="26"/>
      <c r="G31" s="26"/>
      <c r="H31" s="26"/>
      <c r="I31" s="25"/>
      <c r="J31" s="3"/>
      <c r="K31" s="25"/>
      <c r="L31" s="25"/>
      <c r="M31" s="25"/>
      <c r="N31" s="25"/>
      <c r="O31" s="25"/>
      <c r="P31" s="25"/>
      <c r="Q31" s="25"/>
      <c r="V31" s="28" t="e">
        <f>SQRT(V19)</f>
        <v>#VALUE!</v>
      </c>
      <c r="W31" s="28">
        <f>NORMINV((1-$Q$4/100)/2,0,1)</f>
        <v>-1.9599639845400536</v>
      </c>
      <c r="X31" s="28">
        <f>NORMINV(1-(1-$Q$4/100)/2,0,1)</f>
        <v>1.9599639845400536</v>
      </c>
      <c r="Y31" s="28" t="e">
        <f>U19+W31*V31</f>
        <v>#VALUE!</v>
      </c>
      <c r="Z31" s="28" t="e">
        <f>U19+X31*V31</f>
        <v>#VALUE!</v>
      </c>
    </row>
    <row r="32" spans="1:26" ht="15" thickBot="1" x14ac:dyDescent="0.35">
      <c r="A32" s="25"/>
      <c r="B32" s="32"/>
      <c r="C32" s="26"/>
      <c r="D32" s="26"/>
      <c r="E32" s="26"/>
      <c r="F32" s="26"/>
      <c r="G32" s="26"/>
      <c r="H32" s="26"/>
      <c r="I32" s="25"/>
      <c r="K32" s="84"/>
      <c r="L32" s="84"/>
      <c r="M32" s="84"/>
      <c r="N32" s="84"/>
      <c r="O32" s="84"/>
      <c r="P32" s="84"/>
      <c r="Q32" s="84"/>
      <c r="V32" s="28" t="e">
        <f>SQRT(V20)</f>
        <v>#VALUE!</v>
      </c>
      <c r="W32" s="28">
        <f>NORMINV((1-$Q$4/100)/2,0,1)</f>
        <v>-1.9599639845400536</v>
      </c>
      <c r="X32" s="28">
        <f>NORMINV(1-(1-$Q$4/100)/2,0,1)</f>
        <v>1.9599639845400536</v>
      </c>
      <c r="Y32" s="28" t="e">
        <f>U20+W32*V32</f>
        <v>#VALUE!</v>
      </c>
      <c r="Z32" s="28" t="e">
        <f>U20+X32*V32</f>
        <v>#VALUE!</v>
      </c>
    </row>
    <row r="33" spans="1:26" ht="15.6" x14ac:dyDescent="0.3">
      <c r="A33" s="4"/>
      <c r="B33" s="32"/>
      <c r="C33" s="26"/>
      <c r="D33" s="26"/>
      <c r="E33" s="26"/>
      <c r="F33" s="26"/>
      <c r="G33" s="26"/>
      <c r="H33" s="26"/>
      <c r="I33" s="3"/>
      <c r="J33" s="4"/>
      <c r="K33" s="84"/>
      <c r="L33" s="84"/>
      <c r="M33" s="84"/>
      <c r="N33" s="84"/>
      <c r="O33" s="84"/>
      <c r="P33" s="84"/>
      <c r="Q33" s="84"/>
      <c r="V33" s="9"/>
      <c r="W33" s="9"/>
      <c r="X33" s="9"/>
      <c r="Y33" s="9"/>
      <c r="Z33" s="9"/>
    </row>
    <row r="34" spans="1:26" x14ac:dyDescent="0.3">
      <c r="A34" s="3"/>
      <c r="B34" s="84"/>
      <c r="C34" s="25"/>
      <c r="D34" s="25"/>
      <c r="E34" s="25"/>
      <c r="F34" s="25"/>
      <c r="G34" s="25"/>
      <c r="H34" s="25"/>
      <c r="I34" s="3"/>
      <c r="K34" s="40"/>
      <c r="L34" s="40"/>
      <c r="M34" s="40"/>
      <c r="N34" s="40"/>
      <c r="O34" s="40"/>
      <c r="P34" s="40"/>
      <c r="Q34" s="40"/>
    </row>
    <row r="35" spans="1:26" x14ac:dyDescent="0.3">
      <c r="A35" s="3"/>
      <c r="B35" s="84"/>
      <c r="C35" s="25"/>
      <c r="D35" s="25"/>
      <c r="E35" s="25"/>
      <c r="F35" s="25"/>
      <c r="G35" s="25"/>
      <c r="H35" s="25"/>
      <c r="I35" s="3"/>
      <c r="K35" s="40"/>
      <c r="L35" s="40"/>
      <c r="M35" s="40"/>
      <c r="N35" s="40"/>
      <c r="O35" s="40"/>
      <c r="P35" s="40"/>
      <c r="Q35" s="40"/>
    </row>
    <row r="37" spans="1:26" ht="15.6" x14ac:dyDescent="0.3">
      <c r="B37" s="46" t="s">
        <v>111</v>
      </c>
      <c r="I37" s="3"/>
      <c r="J37" s="3"/>
      <c r="K37" s="46" t="s">
        <v>116</v>
      </c>
      <c r="L37" s="3"/>
      <c r="M37" s="3"/>
      <c r="N37" s="3"/>
      <c r="O37" s="3"/>
      <c r="P37" s="3"/>
      <c r="Q37" s="3"/>
    </row>
    <row r="38" spans="1:26" ht="15" thickBot="1" x14ac:dyDescent="0.35">
      <c r="I38" s="3"/>
      <c r="J38" s="3"/>
      <c r="K38" s="3"/>
      <c r="L38" s="3"/>
      <c r="M38" s="3"/>
      <c r="N38" s="3"/>
      <c r="O38" s="3"/>
      <c r="P38" s="3"/>
      <c r="Q38" s="3"/>
    </row>
    <row r="39" spans="1:26" ht="15" thickBot="1" x14ac:dyDescent="0.35">
      <c r="B39" s="54" t="s">
        <v>63</v>
      </c>
      <c r="C39" s="54" t="s">
        <v>34</v>
      </c>
      <c r="D39" s="54" t="s">
        <v>50</v>
      </c>
      <c r="E39" s="54" t="s">
        <v>78</v>
      </c>
      <c r="F39" s="63" t="s">
        <v>9</v>
      </c>
      <c r="G39" s="48" t="s">
        <v>2</v>
      </c>
      <c r="H39" s="63" t="s">
        <v>49</v>
      </c>
      <c r="I39" s="3"/>
      <c r="J39" s="3"/>
      <c r="K39" s="54" t="s">
        <v>63</v>
      </c>
      <c r="L39" s="48" t="s">
        <v>37</v>
      </c>
      <c r="M39" s="3"/>
      <c r="N39" s="3"/>
      <c r="O39" s="3"/>
      <c r="P39" s="3"/>
      <c r="Q39" s="3"/>
    </row>
    <row r="40" spans="1:26" x14ac:dyDescent="0.3">
      <c r="B40" s="19" t="str">
        <f>B7</f>
        <v/>
      </c>
      <c r="C40" s="14"/>
      <c r="D40" s="27" t="str">
        <f>IFERROR(D7-C40,"")</f>
        <v/>
      </c>
      <c r="E40" s="27" t="str">
        <f>Data!Z7</f>
        <v/>
      </c>
      <c r="F40" s="27" t="str">
        <f>IFERROR(D40/E40,"")</f>
        <v/>
      </c>
      <c r="G40" s="42" t="str">
        <f>Data!Y7</f>
        <v/>
      </c>
      <c r="H40" s="27" t="str">
        <f>IFERROR(IF(TDIST(ABS(F40),G40,2)&lt;0.001,"&lt; 0.001",TDIST(ABS(F40),G40,2)),"")</f>
        <v/>
      </c>
      <c r="I40" s="3"/>
      <c r="J40" s="3"/>
      <c r="K40" s="19" t="str">
        <f>K7</f>
        <v/>
      </c>
      <c r="L40" s="14"/>
      <c r="M40" s="3"/>
      <c r="N40" s="3"/>
      <c r="O40" s="3"/>
      <c r="P40" s="3"/>
      <c r="Q40" s="3"/>
    </row>
    <row r="41" spans="1:26" x14ac:dyDescent="0.3">
      <c r="B41" s="21" t="str">
        <f>B8</f>
        <v/>
      </c>
      <c r="C41" s="15"/>
      <c r="D41" s="29" t="str">
        <f>IFERROR(D8-C41,"")</f>
        <v/>
      </c>
      <c r="E41" s="29" t="str">
        <f>Data!Z8</f>
        <v/>
      </c>
      <c r="F41" s="29" t="str">
        <f>IFERROR(D41/E41,"")</f>
        <v/>
      </c>
      <c r="G41" s="43" t="str">
        <f>Data!Y8</f>
        <v/>
      </c>
      <c r="H41" s="29" t="str">
        <f>IFERROR(IF(TDIST(ABS(F41),G41,2)&lt;0.001,"&lt; 0.001",TDIST(ABS(F41),G41,2)),"")</f>
        <v/>
      </c>
      <c r="I41" s="3"/>
      <c r="J41" s="3"/>
      <c r="K41" s="21" t="str">
        <f>K8</f>
        <v/>
      </c>
      <c r="L41" s="15"/>
      <c r="M41" s="3"/>
      <c r="N41" s="3"/>
      <c r="O41" s="3"/>
      <c r="P41" s="3"/>
      <c r="Q41" s="3"/>
    </row>
    <row r="42" spans="1:26" x14ac:dyDescent="0.3">
      <c r="B42" s="21" t="str">
        <f>B9</f>
        <v/>
      </c>
      <c r="C42" s="15"/>
      <c r="D42" s="29" t="str">
        <f>IFERROR(D9-C42,"")</f>
        <v/>
      </c>
      <c r="E42" s="29" t="str">
        <f>Data!Z9</f>
        <v/>
      </c>
      <c r="F42" s="29" t="str">
        <f>IFERROR(D42/E42,"")</f>
        <v/>
      </c>
      <c r="G42" s="43" t="str">
        <f>Data!Y9</f>
        <v/>
      </c>
      <c r="H42" s="29" t="str">
        <f>IFERROR(IF(TDIST(ABS(F42),G42,2)&lt;0.001,"&lt; 0.001",TDIST(ABS(F42),G42,2)),"")</f>
        <v/>
      </c>
      <c r="I42" s="3"/>
      <c r="J42" s="3"/>
      <c r="K42" s="21" t="str">
        <f>K9</f>
        <v/>
      </c>
      <c r="L42" s="15"/>
      <c r="M42" s="3"/>
      <c r="N42" s="3"/>
      <c r="O42" s="3"/>
      <c r="P42" s="3"/>
      <c r="Q42" s="3"/>
    </row>
    <row r="43" spans="1:26" ht="15" thickBot="1" x14ac:dyDescent="0.35">
      <c r="B43" s="94" t="str">
        <f>B10</f>
        <v/>
      </c>
      <c r="C43" s="15"/>
      <c r="D43" s="52" t="str">
        <f>IFERROR(D10-C43,"")</f>
        <v/>
      </c>
      <c r="E43" s="52" t="str">
        <f>Data!Z10</f>
        <v/>
      </c>
      <c r="F43" s="52" t="str">
        <f>IFERROR(D43/E43,"")</f>
        <v/>
      </c>
      <c r="G43" s="51" t="str">
        <f>Data!Y10</f>
        <v/>
      </c>
      <c r="H43" s="52" t="str">
        <f>IFERROR(IF(TDIST(ABS(F43),G43,2)&lt;0.001,"&lt; 0.001",TDIST(ABS(F43),G43,2)),"")</f>
        <v/>
      </c>
      <c r="I43" s="3"/>
      <c r="J43" s="3"/>
      <c r="K43" s="94" t="str">
        <f>K10</f>
        <v/>
      </c>
      <c r="L43" s="50"/>
      <c r="M43" s="3"/>
      <c r="N43" s="3"/>
      <c r="O43" s="3"/>
      <c r="P43" s="3"/>
      <c r="Q43" s="3"/>
    </row>
    <row r="44" spans="1:26" x14ac:dyDescent="0.3">
      <c r="B44" s="79"/>
      <c r="C44" s="2"/>
      <c r="D44" s="79"/>
      <c r="E44" s="9"/>
      <c r="F44" s="9"/>
      <c r="G44" s="9"/>
      <c r="H44" s="9"/>
      <c r="I44" s="3"/>
      <c r="J44" s="3"/>
      <c r="K44" s="79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topLeftCell="A24" zoomScaleNormal="100" workbookViewId="0">
      <selection activeCell="C44" sqref="C44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6640625" customWidth="1"/>
    <col min="19" max="19" width="4.6640625" hidden="1" customWidth="1"/>
    <col min="20" max="26" width="0" hidden="1" customWidth="1"/>
    <col min="27" max="27" width="4.5546875" hidden="1" customWidth="1"/>
  </cols>
  <sheetData>
    <row r="1" spans="2:26" ht="15" customHeight="1" x14ac:dyDescent="0.3"/>
    <row r="2" spans="2:26" ht="15" customHeight="1" x14ac:dyDescent="0.3">
      <c r="B2" s="122" t="s">
        <v>103</v>
      </c>
      <c r="C2" s="122"/>
      <c r="D2" s="122"/>
      <c r="E2" s="122"/>
      <c r="F2" s="122"/>
      <c r="G2" s="122"/>
      <c r="H2" s="122"/>
      <c r="K2" s="122" t="s">
        <v>117</v>
      </c>
      <c r="L2" s="122"/>
      <c r="M2" s="122"/>
      <c r="N2" s="122"/>
      <c r="O2" s="122"/>
      <c r="P2" s="122"/>
      <c r="Q2" s="122"/>
    </row>
    <row r="4" spans="2:26" ht="15.6" x14ac:dyDescent="0.3">
      <c r="B4" s="46" t="s">
        <v>110</v>
      </c>
      <c r="G4" s="12" t="s">
        <v>36</v>
      </c>
      <c r="H4" s="18">
        <v>95</v>
      </c>
      <c r="K4" s="46" t="s">
        <v>110</v>
      </c>
      <c r="L4" s="3"/>
      <c r="M4" s="3"/>
      <c r="N4" s="3"/>
      <c r="O4" s="3"/>
      <c r="P4" s="5" t="s">
        <v>36</v>
      </c>
      <c r="Q4" s="31">
        <v>95</v>
      </c>
    </row>
    <row r="5" spans="2:26" ht="15" thickBot="1" x14ac:dyDescent="0.35">
      <c r="K5" s="3"/>
      <c r="L5" s="3"/>
      <c r="M5" s="3"/>
      <c r="N5" s="3"/>
      <c r="O5" s="3"/>
      <c r="P5" s="3"/>
      <c r="Q5" s="3"/>
    </row>
    <row r="6" spans="2:26" ht="15" thickBot="1" x14ac:dyDescent="0.35">
      <c r="B6" s="54" t="s">
        <v>63</v>
      </c>
      <c r="C6" s="54" t="s">
        <v>1</v>
      </c>
      <c r="D6" s="54" t="s">
        <v>11</v>
      </c>
      <c r="E6" s="54" t="s">
        <v>71</v>
      </c>
      <c r="F6" s="54" t="s">
        <v>78</v>
      </c>
      <c r="G6" s="130" t="s">
        <v>81</v>
      </c>
      <c r="H6" s="130"/>
      <c r="K6" s="48" t="s">
        <v>63</v>
      </c>
      <c r="L6" s="48" t="s">
        <v>3</v>
      </c>
      <c r="M6" s="48" t="s">
        <v>23</v>
      </c>
      <c r="N6" s="48" t="str">
        <f t="shared" ref="N6:N8" si="0">G39</f>
        <v>df</v>
      </c>
      <c r="O6" s="48" t="s">
        <v>78</v>
      </c>
      <c r="P6" s="129" t="s">
        <v>62</v>
      </c>
      <c r="Q6" s="129"/>
    </row>
    <row r="7" spans="2:26" x14ac:dyDescent="0.3">
      <c r="B7" s="82">
        <v>2</v>
      </c>
      <c r="C7" s="56" t="str">
        <f>IF(B7="","",VLOOKUP($B7,Data!$U$7:$X$10,2,FALSE))</f>
        <v/>
      </c>
      <c r="D7" s="27" t="str">
        <f>IF(B7="","",VLOOKUP($B7,Data!$U$7:$X$10,3,FALSE))</f>
        <v/>
      </c>
      <c r="E7" s="27" t="str">
        <f>IF(B7="","",VLOOKUP($B7,Data!$U$7:$X$10,4,FALSE))</f>
        <v/>
      </c>
      <c r="F7" s="27" t="str">
        <f>IFERROR(E7/SQRT(C7),"")</f>
        <v/>
      </c>
      <c r="G7" s="27" t="str">
        <f>IFERROR(D7-TINV(1-$H$4/100,C7-1)*F7,"")</f>
        <v/>
      </c>
      <c r="H7" s="27" t="str">
        <f>IFERROR(D7+TINV(1-$H$4/100,C7-1)*F7,"")</f>
        <v/>
      </c>
      <c r="K7" s="19">
        <f>B7</f>
        <v>2</v>
      </c>
      <c r="L7" s="20" t="str">
        <f>IFERROR((D7-C40)/E7,"")</f>
        <v/>
      </c>
      <c r="M7" s="20" t="str">
        <f>IFERROR((1-3/(4*G40-1))*L7,"")</f>
        <v/>
      </c>
      <c r="N7" s="42" t="str">
        <f t="shared" si="0"/>
        <v/>
      </c>
      <c r="O7" s="20" t="str">
        <f>IFERROR(SQRT((N7+2)/(Data!V7*Data!V7)+((L7^2)/(2*(N7+2)))),"")</f>
        <v/>
      </c>
      <c r="P7" s="27" t="str">
        <f>IFERROR(Y17*SQRT(1/C7),"")</f>
        <v/>
      </c>
      <c r="Q7" s="27" t="str">
        <f>IFERROR(Z17*SQRT(1/C7),"")</f>
        <v/>
      </c>
    </row>
    <row r="8" spans="2:26" ht="15" thickBot="1" x14ac:dyDescent="0.35">
      <c r="B8" s="112">
        <v>1</v>
      </c>
      <c r="C8" s="60" t="str">
        <f>IF(B8="","",VLOOKUP($B8,Data!$U$7:$X$10,2,FALSE))</f>
        <v/>
      </c>
      <c r="D8" s="30" t="str">
        <f>IF(B8="","",VLOOKUP($B8,Data!$U$7:$X$10,3,FALSE))</f>
        <v/>
      </c>
      <c r="E8" s="30" t="str">
        <f>IF(B8="","",VLOOKUP($B8,Data!$U$7:$X$10,4,FALSE))</f>
        <v/>
      </c>
      <c r="F8" s="52" t="str">
        <f>IFERROR(E8/SQRT(C8),"")</f>
        <v/>
      </c>
      <c r="G8" s="52" t="str">
        <f>IFERROR(D8-TINV(1-$H$4/100,C8-1)*F8,"")</f>
        <v/>
      </c>
      <c r="H8" s="52" t="str">
        <f>IFERROR(D8+TINV(1-$H$4/100,C8-1)*F8,"")</f>
        <v/>
      </c>
      <c r="K8" s="94">
        <f>B8</f>
        <v>1</v>
      </c>
      <c r="L8" s="49" t="str">
        <f>IFERROR((D8-C41)/E8,"")</f>
        <v/>
      </c>
      <c r="M8" s="49" t="str">
        <f>IFERROR((1-3/(4*G41-1))*L8,"")</f>
        <v/>
      </c>
      <c r="N8" s="51" t="str">
        <f t="shared" si="0"/>
        <v/>
      </c>
      <c r="O8" s="49" t="str">
        <f>IFERROR(SQRT((N8+2)/(Data!V8*Data!V8)+((L8^2)/(2*(N8+2)))),"")</f>
        <v/>
      </c>
      <c r="P8" s="52" t="str">
        <f>IFERROR(Y18*SQRT(1/C8),"")</f>
        <v/>
      </c>
      <c r="Q8" s="52" t="str">
        <f>IFERROR(Z18*SQRT(1/C8),"")</f>
        <v/>
      </c>
    </row>
    <row r="9" spans="2:26" ht="15" thickBot="1" x14ac:dyDescent="0.35">
      <c r="B9" s="8"/>
      <c r="C9" s="8"/>
      <c r="D9" s="8"/>
      <c r="E9" s="8"/>
      <c r="F9" s="8"/>
      <c r="G9" s="8"/>
      <c r="H9" s="8"/>
      <c r="K9" s="8"/>
      <c r="L9" s="8"/>
      <c r="M9" s="8"/>
      <c r="N9" s="8"/>
      <c r="O9" s="8"/>
      <c r="P9" s="8"/>
      <c r="Q9" s="8"/>
    </row>
    <row r="10" spans="2:26" ht="15" thickBot="1" x14ac:dyDescent="0.35">
      <c r="B10" s="48" t="s">
        <v>115</v>
      </c>
      <c r="C10" s="48"/>
      <c r="D10" s="48" t="s">
        <v>79</v>
      </c>
      <c r="E10" s="54" t="s">
        <v>71</v>
      </c>
      <c r="F10" s="48" t="s">
        <v>78</v>
      </c>
      <c r="G10" s="129" t="s">
        <v>80</v>
      </c>
      <c r="H10" s="129"/>
      <c r="K10" s="48" t="s">
        <v>115</v>
      </c>
      <c r="L10" s="48" t="s">
        <v>3</v>
      </c>
      <c r="M10" s="48" t="s">
        <v>23</v>
      </c>
      <c r="N10" s="48" t="str">
        <f t="shared" ref="N10" si="1">G43</f>
        <v>df</v>
      </c>
      <c r="O10" s="48" t="s">
        <v>78</v>
      </c>
      <c r="P10" s="129" t="s">
        <v>62</v>
      </c>
      <c r="Q10" s="129"/>
    </row>
    <row r="11" spans="2:26" ht="15" thickBot="1" x14ac:dyDescent="0.35">
      <c r="B11" s="99" t="s">
        <v>104</v>
      </c>
      <c r="C11" s="110" t="str">
        <f>VLOOKUP(SMALL(B7:B8,1),Data!V22:Z25,MATCH(LARGE(B7:B8,1),Data!V21:Z21,0),FALSE)</f>
        <v/>
      </c>
      <c r="D11" s="100" t="str">
        <f>IFERROR(D8-D7,"")</f>
        <v/>
      </c>
      <c r="E11" s="100" t="str">
        <f>IFERROR(F11*SQRT(C7),"")</f>
        <v/>
      </c>
      <c r="F11" s="100" t="str">
        <f>IFERROR(SQRT(F7^2+F8^2-2*C11*F7*F8),"")</f>
        <v/>
      </c>
      <c r="G11" s="100" t="str">
        <f>IFERROR(D11-TINV(1-$H$4/100,G44)*F11,"")</f>
        <v/>
      </c>
      <c r="H11" s="100" t="str">
        <f>IFERROR(D11+TINV(1-$H$4/100,G44)*F11,"")</f>
        <v/>
      </c>
      <c r="K11" s="107" t="str">
        <f>B11</f>
        <v>Difference</v>
      </c>
      <c r="L11" s="22" t="str">
        <f>IFERROR(D11/SQRT((E7^2+E8^2)/2),"")</f>
        <v/>
      </c>
      <c r="M11" s="22" t="str">
        <f>IFERROR((1-3/(4*N11-1))*L11,"")</f>
        <v/>
      </c>
      <c r="N11" s="43" t="str">
        <f>G44</f>
        <v/>
      </c>
      <c r="O11" s="29" t="str">
        <f>IFERROR(SQRT((1/C7)+((L11^2)/(2*C7))*2*(1-C11)),"")</f>
        <v/>
      </c>
      <c r="P11" s="29" t="str">
        <f>IFERROR(Y19*SQRT(1/C7),"")</f>
        <v/>
      </c>
      <c r="Q11" s="29" t="str">
        <f>IFERROR(Z19*SQRT(1/C7),"")</f>
        <v/>
      </c>
    </row>
    <row r="12" spans="2:26" x14ac:dyDescent="0.3">
      <c r="B12" s="9"/>
      <c r="C12" s="9"/>
      <c r="D12" s="9"/>
      <c r="E12" s="9"/>
      <c r="F12" s="9"/>
      <c r="G12" s="9"/>
      <c r="H12" s="9"/>
      <c r="K12" s="2"/>
      <c r="L12" s="2"/>
      <c r="M12" s="2"/>
      <c r="N12" s="2"/>
      <c r="O12" s="2"/>
      <c r="P12" s="2"/>
      <c r="Q12" s="2"/>
    </row>
    <row r="14" spans="2:26" ht="15.6" x14ac:dyDescent="0.3">
      <c r="B14" s="46" t="s">
        <v>112</v>
      </c>
      <c r="G14" s="12" t="s">
        <v>108</v>
      </c>
      <c r="H14" s="106">
        <v>5</v>
      </c>
      <c r="K14" s="46" t="s">
        <v>112</v>
      </c>
      <c r="P14" s="12" t="s">
        <v>108</v>
      </c>
      <c r="Q14" s="106">
        <v>0.5</v>
      </c>
      <c r="T14" s="7" t="s">
        <v>21</v>
      </c>
    </row>
    <row r="15" spans="2:26" ht="15" thickBot="1" x14ac:dyDescent="0.35">
      <c r="B15" s="28"/>
      <c r="C15" s="28"/>
      <c r="D15" s="28"/>
      <c r="E15" s="28"/>
      <c r="K15" s="28"/>
      <c r="L15" s="28"/>
      <c r="M15" s="28"/>
      <c r="N15" s="28"/>
    </row>
    <row r="16" spans="2:26" ht="15" thickBot="1" x14ac:dyDescent="0.35">
      <c r="B16" s="97" t="s">
        <v>76</v>
      </c>
      <c r="C16" s="84"/>
      <c r="D16" s="84"/>
      <c r="E16" s="84"/>
      <c r="F16" s="97" t="s">
        <v>105</v>
      </c>
      <c r="G16" s="84"/>
      <c r="H16" s="96">
        <f>IF(H14="",H32,H14)</f>
        <v>5</v>
      </c>
      <c r="J16" s="96"/>
      <c r="K16" s="97" t="s">
        <v>76</v>
      </c>
      <c r="L16" s="84"/>
      <c r="M16" s="84"/>
      <c r="N16" s="84"/>
      <c r="O16" s="97" t="s">
        <v>105</v>
      </c>
      <c r="P16" s="84"/>
      <c r="Q16" s="96">
        <f>IF(Q14="",Q32,Q14)</f>
        <v>0.5</v>
      </c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2:26" x14ac:dyDescent="0.3">
      <c r="B17" s="32" t="s">
        <v>0</v>
      </c>
      <c r="C17" s="32" t="s">
        <v>75</v>
      </c>
      <c r="D17" s="32" t="s">
        <v>77</v>
      </c>
      <c r="E17" s="84"/>
      <c r="F17" s="96" t="s">
        <v>33</v>
      </c>
      <c r="G17" s="96" t="s">
        <v>75</v>
      </c>
      <c r="H17" s="96" t="s">
        <v>77</v>
      </c>
      <c r="J17" s="96"/>
      <c r="K17" s="32" t="s">
        <v>0</v>
      </c>
      <c r="L17" s="32" t="s">
        <v>75</v>
      </c>
      <c r="M17" s="32" t="s">
        <v>77</v>
      </c>
      <c r="N17" s="84"/>
      <c r="O17" s="96" t="s">
        <v>33</v>
      </c>
      <c r="P17" s="96" t="s">
        <v>75</v>
      </c>
      <c r="Q17" s="96" t="s">
        <v>77</v>
      </c>
      <c r="S17" s="108"/>
      <c r="T17" s="27" t="e">
        <f>EXP(((LN(2)-LN(G40))/2)+GAMMALN((G40+1)/2)-GAMMALN(G40/2))</f>
        <v>#VALUE!</v>
      </c>
      <c r="U17" s="27" t="e">
        <f>T17*F40</f>
        <v>#VALUE!</v>
      </c>
      <c r="V17" s="27" t="e">
        <f>1+(F40^2)*(1-T17^2)</f>
        <v>#VALUE!</v>
      </c>
      <c r="W17" s="27" t="e">
        <f>(2*U17^3)-((2*G40-1)/G40)*(F40^2*U17)</f>
        <v>#VALUE!</v>
      </c>
      <c r="X17" s="12" t="e">
        <f>W17/SQRT(V17)^3</f>
        <v>#VALUE!</v>
      </c>
      <c r="Y17" s="28" t="e">
        <f t="shared" ref="Y17:Z19" si="2">IF($X17&lt;0.001,Y27,Y22)</f>
        <v>#VALUE!</v>
      </c>
      <c r="Z17" s="28" t="e">
        <f t="shared" si="2"/>
        <v>#VALUE!</v>
      </c>
    </row>
    <row r="18" spans="2:26" x14ac:dyDescent="0.3">
      <c r="B18" s="32">
        <v>1.1000000000000001</v>
      </c>
      <c r="C18" s="96" t="e">
        <f>IF(H7="",NA(),H7)</f>
        <v>#N/A</v>
      </c>
      <c r="D18" s="96" t="e">
        <f t="shared" ref="D18:D23" si="3">C18</f>
        <v>#N/A</v>
      </c>
      <c r="E18" s="84"/>
      <c r="F18" s="96">
        <v>3.15</v>
      </c>
      <c r="G18" s="96" t="e">
        <f>IF(G19&gt;$F$31,NA(),G19+$H$16)</f>
        <v>#N/A</v>
      </c>
      <c r="H18" s="96" t="e">
        <f t="shared" ref="H18:H21" si="4">G18-$G$23</f>
        <v>#N/A</v>
      </c>
      <c r="I18" s="101"/>
      <c r="J18" s="96"/>
      <c r="K18" s="32">
        <v>1.1000000000000001</v>
      </c>
      <c r="L18" s="96" t="e">
        <f>IF(Q7="",NA(),Q7)</f>
        <v>#N/A</v>
      </c>
      <c r="M18" s="96" t="e">
        <f t="shared" ref="M18:M23" si="5">L18</f>
        <v>#N/A</v>
      </c>
      <c r="N18" s="84"/>
      <c r="O18" s="96">
        <v>3.15</v>
      </c>
      <c r="P18" s="96" t="e">
        <f>IF(P19&gt;$O$31,NA(),P19+$Q$16)</f>
        <v>#N/A</v>
      </c>
      <c r="Q18" s="96" t="e">
        <f t="shared" ref="Q18:Q28" si="6">P18-$P$23</f>
        <v>#N/A</v>
      </c>
      <c r="R18" s="101"/>
      <c r="T18" s="29" t="e">
        <f>EXP(((LN(2)-LN(G41))/2)+GAMMALN((G41+1)/2)-GAMMALN(G41/2))</f>
        <v>#VALUE!</v>
      </c>
      <c r="U18" s="29" t="e">
        <f>T18*F41</f>
        <v>#VALUE!</v>
      </c>
      <c r="V18" s="29" t="e">
        <f>1+(F41^2)*(1-T18^2)</f>
        <v>#VALUE!</v>
      </c>
      <c r="W18" s="29" t="e">
        <f>(2*U18^3)-((2*G41-1)/G41)*(F41^2*U18)</f>
        <v>#VALUE!</v>
      </c>
      <c r="X18" s="12" t="e">
        <f>W18/SQRT(V18)^3</f>
        <v>#VALUE!</v>
      </c>
      <c r="Y18" s="28" t="e">
        <f t="shared" si="2"/>
        <v>#VALUE!</v>
      </c>
      <c r="Z18" s="28" t="e">
        <f t="shared" si="2"/>
        <v>#VALUE!</v>
      </c>
    </row>
    <row r="19" spans="2:26" ht="15" thickBot="1" x14ac:dyDescent="0.35">
      <c r="B19" s="32">
        <v>1.1000000000000001</v>
      </c>
      <c r="C19" s="96" t="e">
        <f>IF(D7="",NA(),D7)</f>
        <v>#N/A</v>
      </c>
      <c r="D19" s="96" t="e">
        <f t="shared" si="3"/>
        <v>#N/A</v>
      </c>
      <c r="E19" s="84"/>
      <c r="F19" s="96">
        <v>3.15</v>
      </c>
      <c r="G19" s="96" t="e">
        <f>IF(G20&gt;$F$31,NA(),G20+$H$16)</f>
        <v>#N/A</v>
      </c>
      <c r="H19" s="96" t="e">
        <f t="shared" si="4"/>
        <v>#N/A</v>
      </c>
      <c r="I19" s="101"/>
      <c r="J19" s="96"/>
      <c r="K19" s="32">
        <v>1.1000000000000001</v>
      </c>
      <c r="L19" s="96" t="e">
        <f>IF(M7="",NA(),M7)</f>
        <v>#N/A</v>
      </c>
      <c r="M19" s="96" t="e">
        <f t="shared" si="5"/>
        <v>#N/A</v>
      </c>
      <c r="N19" s="84"/>
      <c r="O19" s="96">
        <v>3.15</v>
      </c>
      <c r="P19" s="96" t="e">
        <f>IF(P20&gt;$O$31,NA(),P20+$Q$16)</f>
        <v>#N/A</v>
      </c>
      <c r="Q19" s="96" t="e">
        <f t="shared" si="6"/>
        <v>#N/A</v>
      </c>
      <c r="R19" s="101"/>
      <c r="T19" s="29" t="e">
        <f>EXP(((LN(2)-LN(G44))/2)+GAMMALN((G44+1)/2)-GAMMALN(G44/2))</f>
        <v>#VALUE!</v>
      </c>
      <c r="U19" s="29" t="e">
        <f>T19*F44</f>
        <v>#VALUE!</v>
      </c>
      <c r="V19" s="29" t="e">
        <f>1+(F44^2)*(1-T19^2)</f>
        <v>#VALUE!</v>
      </c>
      <c r="W19" s="29" t="e">
        <f>(2*U19^3)-((2*G44-1)/G44)*(F44^2*U19)</f>
        <v>#VALUE!</v>
      </c>
      <c r="X19" s="12" t="e">
        <f>W19/SQRT(V19)^3</f>
        <v>#VALUE!</v>
      </c>
      <c r="Y19" s="28" t="e">
        <f t="shared" si="2"/>
        <v>#VALUE!</v>
      </c>
      <c r="Z19" s="28" t="e">
        <f t="shared" si="2"/>
        <v>#VALUE!</v>
      </c>
    </row>
    <row r="20" spans="2:26" ht="15" thickBot="1" x14ac:dyDescent="0.35">
      <c r="B20" s="32">
        <v>1.1000000000000001</v>
      </c>
      <c r="C20" s="96" t="e">
        <f>IF(G7="",NA(),G7)</f>
        <v>#N/A</v>
      </c>
      <c r="D20" s="96" t="e">
        <f t="shared" si="3"/>
        <v>#N/A</v>
      </c>
      <c r="E20" s="84"/>
      <c r="F20" s="96">
        <v>3.15</v>
      </c>
      <c r="G20" s="96" t="e">
        <f t="shared" ref="G20:G22" si="7">IF(G21&gt;$F$31,NA(),G21+$H$16)</f>
        <v>#N/A</v>
      </c>
      <c r="H20" s="96" t="e">
        <f t="shared" si="4"/>
        <v>#N/A</v>
      </c>
      <c r="I20" s="96"/>
      <c r="J20" s="96"/>
      <c r="K20" s="32">
        <v>1.1000000000000001</v>
      </c>
      <c r="L20" s="96" t="e">
        <f>IF(P7="",NA(),P7)</f>
        <v>#N/A</v>
      </c>
      <c r="M20" s="96" t="e">
        <f t="shared" si="5"/>
        <v>#N/A</v>
      </c>
      <c r="N20" s="84"/>
      <c r="O20" s="96">
        <v>3.15</v>
      </c>
      <c r="P20" s="96" t="e">
        <f>IF(P21&gt;$O$31,NA(),P21+$Q$16)</f>
        <v>#N/A</v>
      </c>
      <c r="Q20" s="96" t="e">
        <f t="shared" si="6"/>
        <v>#N/A</v>
      </c>
      <c r="R20" s="96"/>
      <c r="T20" s="79"/>
      <c r="U20" s="79"/>
      <c r="V20" s="79"/>
      <c r="W20" s="79"/>
      <c r="X20" s="79"/>
      <c r="Y20" s="79"/>
      <c r="Z20" s="79"/>
    </row>
    <row r="21" spans="2:26" ht="15" thickBot="1" x14ac:dyDescent="0.35">
      <c r="B21" s="32">
        <v>2.1</v>
      </c>
      <c r="C21" s="96" t="e">
        <f>IF(H8="",NA(),H8)</f>
        <v>#N/A</v>
      </c>
      <c r="D21" s="96" t="e">
        <f t="shared" si="3"/>
        <v>#N/A</v>
      </c>
      <c r="E21" s="84"/>
      <c r="F21" s="96">
        <v>3.15</v>
      </c>
      <c r="G21" s="96" t="e">
        <f t="shared" si="7"/>
        <v>#N/A</v>
      </c>
      <c r="H21" s="96" t="e">
        <f t="shared" si="4"/>
        <v>#N/A</v>
      </c>
      <c r="I21" s="96"/>
      <c r="J21" s="96"/>
      <c r="K21" s="32">
        <v>2.1</v>
      </c>
      <c r="L21" s="96" t="e">
        <f>IF(Q8="",NA(),Q8)</f>
        <v>#N/A</v>
      </c>
      <c r="M21" s="96" t="e">
        <f t="shared" si="5"/>
        <v>#N/A</v>
      </c>
      <c r="N21" s="84"/>
      <c r="O21" s="96">
        <v>3.15</v>
      </c>
      <c r="P21" s="96" t="e">
        <f>IF(P22&gt;$O$31,NA(),P22+$Q$16)</f>
        <v>#N/A</v>
      </c>
      <c r="Q21" s="96" t="e">
        <f t="shared" si="6"/>
        <v>#N/A</v>
      </c>
      <c r="R21" s="96"/>
      <c r="T21" s="63" t="s">
        <v>14</v>
      </c>
      <c r="U21" s="63" t="s">
        <v>15</v>
      </c>
      <c r="V21" s="63" t="s">
        <v>16</v>
      </c>
      <c r="W21" s="63" t="s">
        <v>17</v>
      </c>
      <c r="X21" s="63" t="s">
        <v>18</v>
      </c>
      <c r="Y21" s="63" t="s">
        <v>19</v>
      </c>
      <c r="Z21" s="63" t="s">
        <v>20</v>
      </c>
    </row>
    <row r="22" spans="2:26" x14ac:dyDescent="0.3">
      <c r="B22" s="32">
        <v>2.1</v>
      </c>
      <c r="C22" s="96" t="e">
        <f>IF(D8="",NA(),D8)</f>
        <v>#N/A</v>
      </c>
      <c r="D22" s="96" t="e">
        <f t="shared" si="3"/>
        <v>#N/A</v>
      </c>
      <c r="E22" s="84"/>
      <c r="F22" s="96">
        <v>3.15</v>
      </c>
      <c r="G22" s="96" t="e">
        <f t="shared" si="7"/>
        <v>#N/A</v>
      </c>
      <c r="H22" s="96" t="e">
        <f>G22-$G$23</f>
        <v>#N/A</v>
      </c>
      <c r="I22" s="96"/>
      <c r="J22" s="96"/>
      <c r="K22" s="32">
        <v>2.1</v>
      </c>
      <c r="L22" s="96" t="e">
        <f>IF(M8="",NA(),M8)</f>
        <v>#N/A</v>
      </c>
      <c r="M22" s="96" t="e">
        <f t="shared" si="5"/>
        <v>#N/A</v>
      </c>
      <c r="N22" s="84"/>
      <c r="O22" s="96">
        <v>3.15</v>
      </c>
      <c r="P22" s="96" t="e">
        <f>IF(P23&gt;$O$31,NA(),P23+$Q$16)</f>
        <v>#N/A</v>
      </c>
      <c r="Q22" s="96" t="e">
        <f t="shared" si="6"/>
        <v>#N/A</v>
      </c>
      <c r="R22" s="96"/>
      <c r="T22" s="27" t="e">
        <f>W17/(4*V17)</f>
        <v>#VALUE!</v>
      </c>
      <c r="U22" s="27" t="e">
        <f>V17/(2*T22^2)</f>
        <v>#VALUE!</v>
      </c>
      <c r="V22" s="27" t="e">
        <f>U17-(U22*T22)</f>
        <v>#VALUE!</v>
      </c>
      <c r="W22" s="27" t="e">
        <f>2*GAMMAINV((1-$Q$4/100)/2,U22/2,1)</f>
        <v>#VALUE!</v>
      </c>
      <c r="X22" s="27" t="e">
        <f>2*GAMMAINV(1-(1-$Q$4/100)/2,U22/2,1)</f>
        <v>#VALUE!</v>
      </c>
      <c r="Y22" s="27" t="e">
        <f>IF(F40&gt;0,V22+(T22*W22),V22+(T22*X22))</f>
        <v>#VALUE!</v>
      </c>
      <c r="Z22" s="27" t="e">
        <f>IF(F40&gt;0,V22+(T22*X22),V22+(T22*W22))</f>
        <v>#VALUE!</v>
      </c>
    </row>
    <row r="23" spans="2:26" x14ac:dyDescent="0.3">
      <c r="B23" s="32">
        <v>2.1</v>
      </c>
      <c r="C23" s="96" t="e">
        <f>IF(G8="",NA(),G8)</f>
        <v>#N/A</v>
      </c>
      <c r="D23" s="96" t="e">
        <f t="shared" si="3"/>
        <v>#N/A</v>
      </c>
      <c r="E23" s="84"/>
      <c r="F23" s="96">
        <v>3.15</v>
      </c>
      <c r="G23" s="96" t="e">
        <f>C19</f>
        <v>#N/A</v>
      </c>
      <c r="H23" s="96" t="e">
        <f>G23-$G$23</f>
        <v>#N/A</v>
      </c>
      <c r="K23" s="32">
        <v>2.1</v>
      </c>
      <c r="L23" s="96" t="e">
        <f>IF(P8="",NA(),P8)</f>
        <v>#N/A</v>
      </c>
      <c r="M23" s="96" t="e">
        <f t="shared" si="5"/>
        <v>#N/A</v>
      </c>
      <c r="N23" s="84"/>
      <c r="O23" s="96">
        <v>3.15</v>
      </c>
      <c r="P23" s="96" t="e">
        <f>L19</f>
        <v>#N/A</v>
      </c>
      <c r="Q23" s="96" t="e">
        <f t="shared" si="6"/>
        <v>#N/A</v>
      </c>
      <c r="T23" s="29" t="e">
        <f>W18/(4*V18)</f>
        <v>#VALUE!</v>
      </c>
      <c r="U23" s="29" t="e">
        <f>V18/(2*T23^2)</f>
        <v>#VALUE!</v>
      </c>
      <c r="V23" s="29" t="e">
        <f>U18-(U23*T23)</f>
        <v>#VALUE!</v>
      </c>
      <c r="W23" s="29" t="e">
        <f>2*GAMMAINV((1-$Q$4/100)/2,U23/2,1)</f>
        <v>#VALUE!</v>
      </c>
      <c r="X23" s="29" t="e">
        <f>2*GAMMAINV(1-(1-$Q$4/100)/2,U23/2,1)</f>
        <v>#VALUE!</v>
      </c>
      <c r="Y23" s="29" t="e">
        <f>IF(F41&gt;0,V23+(T23*W23),V23+(T23*X23))</f>
        <v>#VALUE!</v>
      </c>
      <c r="Z23" s="29" t="e">
        <f>IF(F41&gt;0,V23+(T23*X23),V23+(T23*W23))</f>
        <v>#VALUE!</v>
      </c>
    </row>
    <row r="24" spans="2:26" ht="15" thickBot="1" x14ac:dyDescent="0.35">
      <c r="B24" s="32">
        <v>2.75</v>
      </c>
      <c r="C24" s="96" t="e">
        <f>IF(H11="",NA(),H11+C25-$D$11)</f>
        <v>#N/A</v>
      </c>
      <c r="D24" s="96" t="str">
        <f>H11</f>
        <v/>
      </c>
      <c r="E24" s="84"/>
      <c r="F24" s="96">
        <v>3.15</v>
      </c>
      <c r="G24" s="96" t="e">
        <f>IF(G23&lt;$F$32,NA(),G23-$H$16)</f>
        <v>#N/A</v>
      </c>
      <c r="H24" s="96" t="e">
        <f>G24-$G$23</f>
        <v>#N/A</v>
      </c>
      <c r="K24" s="32">
        <v>2.75</v>
      </c>
      <c r="L24" s="96" t="e">
        <f>IF(Q11="",NA(),Q11+L25-M11)</f>
        <v>#N/A</v>
      </c>
      <c r="M24" s="96" t="str">
        <f>Q11</f>
        <v/>
      </c>
      <c r="N24" s="109"/>
      <c r="O24" s="96">
        <v>3.15</v>
      </c>
      <c r="P24" s="96" t="e">
        <f>IF(P23&lt;$O$32,NA(),P23-$Q$16)</f>
        <v>#N/A</v>
      </c>
      <c r="Q24" s="96" t="e">
        <f t="shared" si="6"/>
        <v>#N/A</v>
      </c>
      <c r="T24" s="29" t="e">
        <f>W19/(4*V19)</f>
        <v>#VALUE!</v>
      </c>
      <c r="U24" s="29" t="e">
        <f>V19/(2*T24^2)</f>
        <v>#VALUE!</v>
      </c>
      <c r="V24" s="29" t="e">
        <f>U19-(U24*T24)</f>
        <v>#VALUE!</v>
      </c>
      <c r="W24" s="29" t="e">
        <f>2*GAMMAINV((1-$Q$4/100)/2,U24/2,1)</f>
        <v>#VALUE!</v>
      </c>
      <c r="X24" s="29" t="e">
        <f>2*GAMMAINV(1-(1-$Q$4/100)/2,U24/2,1)</f>
        <v>#VALUE!</v>
      </c>
      <c r="Y24" s="29" t="e">
        <f>IF(F44&gt;0,V24+(T24*W24),V24+(T24*X24))</f>
        <v>#VALUE!</v>
      </c>
      <c r="Z24" s="29" t="e">
        <f>IF(F44&gt;0,V24+(T24*X24),V24+(T24*W24))</f>
        <v>#VALUE!</v>
      </c>
    </row>
    <row r="25" spans="2:26" ht="15" thickBot="1" x14ac:dyDescent="0.35">
      <c r="B25" s="32">
        <v>2.75</v>
      </c>
      <c r="C25" s="96" t="e">
        <f>IF(D11="",NA(),C22)</f>
        <v>#N/A</v>
      </c>
      <c r="D25" s="96" t="str">
        <f>D11</f>
        <v/>
      </c>
      <c r="E25" s="84"/>
      <c r="F25" s="96">
        <v>3.15</v>
      </c>
      <c r="G25" s="96" t="e">
        <f t="shared" ref="G25:G28" si="8">IF(G24&lt;$F$32,NA(),G24-$H$16)</f>
        <v>#N/A</v>
      </c>
      <c r="H25" s="96" t="e">
        <f t="shared" ref="H25:H28" si="9">G25-$G$23</f>
        <v>#N/A</v>
      </c>
      <c r="K25" s="32">
        <v>2.75</v>
      </c>
      <c r="L25" s="96" t="e">
        <f>IF(M11="",NA(),L22)</f>
        <v>#N/A</v>
      </c>
      <c r="M25" s="96" t="str">
        <f>M11</f>
        <v/>
      </c>
      <c r="N25" s="109"/>
      <c r="O25" s="96">
        <v>3.15</v>
      </c>
      <c r="P25" s="96" t="e">
        <f>IF(P24&lt;$O$32,NA(),P24-$Q$16)</f>
        <v>#N/A</v>
      </c>
      <c r="Q25" s="96" t="e">
        <f t="shared" si="6"/>
        <v>#N/A</v>
      </c>
      <c r="T25" s="9"/>
      <c r="U25" s="9"/>
      <c r="V25" s="9"/>
      <c r="W25" s="9"/>
      <c r="X25" s="9"/>
      <c r="Y25" s="9"/>
      <c r="Z25" s="9"/>
    </row>
    <row r="26" spans="2:26" ht="15" thickBot="1" x14ac:dyDescent="0.35">
      <c r="B26" s="32">
        <v>2.75</v>
      </c>
      <c r="C26" s="96" t="e">
        <f>IF(G11="",NA(),G11+C25-$D$11)</f>
        <v>#N/A</v>
      </c>
      <c r="D26" s="96" t="str">
        <f>G11</f>
        <v/>
      </c>
      <c r="E26" s="84"/>
      <c r="F26" s="96">
        <v>3.15</v>
      </c>
      <c r="G26" s="96" t="e">
        <f t="shared" si="8"/>
        <v>#N/A</v>
      </c>
      <c r="H26" s="96" t="e">
        <f t="shared" si="9"/>
        <v>#N/A</v>
      </c>
      <c r="K26" s="32">
        <v>2.75</v>
      </c>
      <c r="L26" s="96" t="e">
        <f>IF(P11="",NA(),P11+L25-M11)</f>
        <v>#N/A</v>
      </c>
      <c r="M26" s="96" t="str">
        <f>P11</f>
        <v/>
      </c>
      <c r="N26" s="84"/>
      <c r="O26" s="96">
        <v>3.15</v>
      </c>
      <c r="P26" s="96" t="e">
        <f>IF(P25&lt;$O$32,NA(),P25-$Q$16)</f>
        <v>#N/A</v>
      </c>
      <c r="Q26" s="96" t="e">
        <f t="shared" si="6"/>
        <v>#N/A</v>
      </c>
      <c r="V26" s="63" t="s">
        <v>71</v>
      </c>
      <c r="W26" s="63" t="s">
        <v>72</v>
      </c>
      <c r="X26" s="63" t="s">
        <v>73</v>
      </c>
      <c r="Y26" s="63" t="s">
        <v>19</v>
      </c>
      <c r="Z26" s="63" t="s">
        <v>20</v>
      </c>
    </row>
    <row r="27" spans="2:26" x14ac:dyDescent="0.3">
      <c r="B27" s="84"/>
      <c r="C27" s="96"/>
      <c r="D27" s="96"/>
      <c r="E27" s="84"/>
      <c r="F27" s="96">
        <v>3.15</v>
      </c>
      <c r="G27" s="96" t="e">
        <f t="shared" si="8"/>
        <v>#N/A</v>
      </c>
      <c r="H27" s="96" t="e">
        <f t="shared" si="9"/>
        <v>#N/A</v>
      </c>
      <c r="K27" s="84"/>
      <c r="L27" s="96"/>
      <c r="M27" s="96"/>
      <c r="N27" s="84"/>
      <c r="O27" s="96">
        <v>3.15</v>
      </c>
      <c r="P27" s="96" t="e">
        <f>IF(P26&lt;$O$32,NA(),P26-$Q$16)</f>
        <v>#N/A</v>
      </c>
      <c r="Q27" s="96" t="e">
        <f t="shared" si="6"/>
        <v>#N/A</v>
      </c>
      <c r="V27" s="28" t="e">
        <f>SQRT(V17)</f>
        <v>#VALUE!</v>
      </c>
      <c r="W27" s="28">
        <f>NORMINV((1-$Q$4/100)/2,0,1)</f>
        <v>-1.9599639845400536</v>
      </c>
      <c r="X27" s="28">
        <f>NORMINV(1-(1-$Q$4/100)/2,0,1)</f>
        <v>1.9599639845400536</v>
      </c>
      <c r="Y27" s="28" t="e">
        <f>U17+W27*V27</f>
        <v>#VALUE!</v>
      </c>
      <c r="Z27" s="28" t="e">
        <f>U17+X27*V27</f>
        <v>#VALUE!</v>
      </c>
    </row>
    <row r="28" spans="2:26" x14ac:dyDescent="0.3">
      <c r="B28" s="84"/>
      <c r="C28" s="84"/>
      <c r="D28" s="96"/>
      <c r="E28" s="84"/>
      <c r="F28" s="96">
        <v>3.15</v>
      </c>
      <c r="G28" s="96" t="e">
        <f t="shared" si="8"/>
        <v>#N/A</v>
      </c>
      <c r="H28" s="96" t="e">
        <f t="shared" si="9"/>
        <v>#N/A</v>
      </c>
      <c r="I28" s="96"/>
      <c r="J28" s="96"/>
      <c r="K28" s="84"/>
      <c r="L28" s="84"/>
      <c r="M28" s="96"/>
      <c r="N28" s="84"/>
      <c r="O28" s="96">
        <v>3.15</v>
      </c>
      <c r="P28" s="96" t="e">
        <f>IF(P27&lt;$O$32,NA(),P27-$Q$16)</f>
        <v>#N/A</v>
      </c>
      <c r="Q28" s="96" t="e">
        <f t="shared" si="6"/>
        <v>#N/A</v>
      </c>
      <c r="R28" s="96"/>
      <c r="V28" s="28" t="e">
        <f>SQRT(V18)</f>
        <v>#VALUE!</v>
      </c>
      <c r="W28" s="28">
        <f>NORMINV((1-$Q$4/100)/2,0,1)</f>
        <v>-1.9599639845400536</v>
      </c>
      <c r="X28" s="28">
        <f>NORMINV(1-(1-$Q$4/100)/2,0,1)</f>
        <v>1.9599639845400536</v>
      </c>
      <c r="Y28" s="28" t="e">
        <f>U18+W28*V28</f>
        <v>#VALUE!</v>
      </c>
      <c r="Z28" s="28" t="e">
        <f>U18+X28*V28</f>
        <v>#VALUE!</v>
      </c>
    </row>
    <row r="29" spans="2:26" ht="15" thickBot="1" x14ac:dyDescent="0.35">
      <c r="B29" s="84"/>
      <c r="C29" s="84"/>
      <c r="D29" s="96"/>
      <c r="E29" s="84"/>
      <c r="F29" s="84"/>
      <c r="G29" s="84"/>
      <c r="H29" s="84"/>
      <c r="K29" s="84"/>
      <c r="L29" s="84"/>
      <c r="M29" s="96"/>
      <c r="N29" s="84"/>
      <c r="O29" s="84"/>
      <c r="P29" s="84"/>
      <c r="Q29" s="84"/>
      <c r="V29" s="28" t="e">
        <f>SQRT(V19)</f>
        <v>#VALUE!</v>
      </c>
      <c r="W29" s="28">
        <f>NORMINV((1-$Q$4/100)/2,0,1)</f>
        <v>-1.9599639845400536</v>
      </c>
      <c r="X29" s="28">
        <f>NORMINV(1-(1-$Q$4/100)/2,0,1)</f>
        <v>1.9599639845400536</v>
      </c>
      <c r="Y29" s="28" t="e">
        <f>U19+W29*V29</f>
        <v>#VALUE!</v>
      </c>
      <c r="Z29" s="28" t="e">
        <f>U19+X29*V29</f>
        <v>#VALUE!</v>
      </c>
    </row>
    <row r="30" spans="2:26" x14ac:dyDescent="0.3">
      <c r="B30" s="105" t="s">
        <v>106</v>
      </c>
      <c r="C30" s="84"/>
      <c r="D30" s="84"/>
      <c r="E30" s="84"/>
      <c r="F30" s="84" t="s">
        <v>107</v>
      </c>
      <c r="G30" s="84"/>
      <c r="H30" s="84"/>
      <c r="K30" s="105" t="s">
        <v>106</v>
      </c>
      <c r="L30" s="84"/>
      <c r="M30" s="84"/>
      <c r="N30" s="84"/>
      <c r="O30" s="84" t="s">
        <v>107</v>
      </c>
      <c r="P30" s="84"/>
      <c r="Q30" s="84"/>
      <c r="V30" s="9"/>
      <c r="W30" s="9"/>
      <c r="X30" s="9"/>
      <c r="Y30" s="9"/>
      <c r="Z30" s="9"/>
    </row>
    <row r="31" spans="2:26" x14ac:dyDescent="0.3">
      <c r="B31" s="32">
        <v>1.1000000000000001</v>
      </c>
      <c r="C31" s="96" t="e">
        <f>C19</f>
        <v>#N/A</v>
      </c>
      <c r="D31" s="32">
        <v>2.1</v>
      </c>
      <c r="E31" s="96" t="e">
        <f>C22</f>
        <v>#N/A</v>
      </c>
      <c r="F31" s="96" t="e">
        <f>MAX(C18:C26)</f>
        <v>#N/A</v>
      </c>
      <c r="G31" s="96" t="e">
        <f>IF(F31-F32=0,1,F31-F32)</f>
        <v>#N/A</v>
      </c>
      <c r="H31" s="96" t="e">
        <f>ROUNDUP(G31/G32,0)</f>
        <v>#N/A</v>
      </c>
      <c r="K31" s="32">
        <v>1.1000000000000001</v>
      </c>
      <c r="L31" s="96" t="e">
        <f>L19</f>
        <v>#N/A</v>
      </c>
      <c r="M31" s="32">
        <v>2.1</v>
      </c>
      <c r="N31" s="96" t="e">
        <f>L22</f>
        <v>#N/A</v>
      </c>
      <c r="O31" s="96" t="e">
        <f>MAX(L$18:L$26)</f>
        <v>#N/A</v>
      </c>
      <c r="P31" s="96" t="e">
        <f>IF(O31-O32=0,1,O31-O32)</f>
        <v>#N/A</v>
      </c>
      <c r="Q31" s="96" t="e">
        <f>ROUNDUP(P31/P32,0)</f>
        <v>#N/A</v>
      </c>
    </row>
    <row r="32" spans="2:26" x14ac:dyDescent="0.3">
      <c r="B32" s="32">
        <v>3.15</v>
      </c>
      <c r="C32" s="96" t="e">
        <f>C19</f>
        <v>#N/A</v>
      </c>
      <c r="D32" s="32">
        <v>3.15</v>
      </c>
      <c r="E32" s="96" t="e">
        <f>C22</f>
        <v>#N/A</v>
      </c>
      <c r="F32" s="96" t="e">
        <f>MIN(C18:C26)</f>
        <v>#N/A</v>
      </c>
      <c r="G32" s="96" t="e">
        <f>POWER(10,INT(LOG10(G31)))</f>
        <v>#N/A</v>
      </c>
      <c r="H32" s="96" t="e">
        <f>CHOOSE(H31,10,5,5,2,2,2,2,1,1,1)</f>
        <v>#N/A</v>
      </c>
      <c r="K32" s="32">
        <v>3.15</v>
      </c>
      <c r="L32" s="96" t="e">
        <f>L19</f>
        <v>#N/A</v>
      </c>
      <c r="M32" s="32">
        <v>3.15</v>
      </c>
      <c r="N32" s="96" t="e">
        <f>L22</f>
        <v>#N/A</v>
      </c>
      <c r="O32" s="96" t="e">
        <f>MIN(L$18:L$26)</f>
        <v>#N/A</v>
      </c>
      <c r="P32" s="96" t="e">
        <f>POWER(10,INT(LOG10(P31)))</f>
        <v>#N/A</v>
      </c>
      <c r="Q32" s="96" t="e">
        <f>CHOOSE(Q31,1,0.5,0.5,0.2,0.2,0.2,0.2,0.1,0.1,0.1)</f>
        <v>#N/A</v>
      </c>
    </row>
    <row r="33" spans="2:17" x14ac:dyDescent="0.3">
      <c r="B33" s="32"/>
      <c r="C33" s="96"/>
      <c r="D33" s="32"/>
      <c r="E33" s="96"/>
      <c r="F33" s="84"/>
      <c r="G33" s="84"/>
      <c r="H33" s="84"/>
      <c r="K33" s="32"/>
      <c r="L33" s="96"/>
      <c r="M33" s="32"/>
      <c r="N33" s="96"/>
      <c r="O33" s="84"/>
      <c r="P33" s="84"/>
      <c r="Q33" s="84"/>
    </row>
    <row r="34" spans="2:17" x14ac:dyDescent="0.3">
      <c r="B34" s="32"/>
      <c r="C34" s="96"/>
      <c r="D34" s="32"/>
      <c r="E34" s="96"/>
      <c r="F34" s="84"/>
      <c r="G34" s="84"/>
      <c r="H34" s="84"/>
      <c r="K34" s="32"/>
      <c r="L34" s="96"/>
      <c r="M34" s="32"/>
      <c r="N34" s="96"/>
      <c r="O34" s="96" t="e">
        <f>MAX($C$18:$C$26)</f>
        <v>#N/A</v>
      </c>
      <c r="P34" s="96" t="e">
        <f>IF(O34-O35=0,1,O34-O35)</f>
        <v>#N/A</v>
      </c>
      <c r="Q34" s="28" t="e">
        <f>P34/9</f>
        <v>#N/A</v>
      </c>
    </row>
    <row r="35" spans="2:17" x14ac:dyDescent="0.3">
      <c r="B35" s="32"/>
      <c r="C35" s="96"/>
      <c r="D35" s="32"/>
      <c r="E35" s="96"/>
      <c r="F35" s="84"/>
      <c r="G35" s="84"/>
      <c r="H35" s="84"/>
      <c r="K35" s="32"/>
      <c r="L35" s="96"/>
      <c r="M35" s="32"/>
      <c r="N35" s="96"/>
      <c r="O35" s="96" t="e">
        <f>MIN($C$18:$C$26)</f>
        <v>#N/A</v>
      </c>
      <c r="P35" s="28" t="e">
        <f>O34+P34/20</f>
        <v>#N/A</v>
      </c>
      <c r="Q35" s="28" t="e">
        <f>ROUNDUP(Q34,0)</f>
        <v>#N/A</v>
      </c>
    </row>
    <row r="36" spans="2:17" x14ac:dyDescent="0.3">
      <c r="B36" s="32"/>
      <c r="C36" s="96"/>
      <c r="D36" s="32"/>
      <c r="E36" s="96"/>
      <c r="F36" s="84"/>
      <c r="G36" s="84"/>
      <c r="H36" s="84"/>
      <c r="K36" s="32"/>
      <c r="L36" s="96"/>
      <c r="M36" s="32"/>
      <c r="N36" s="96"/>
      <c r="O36" s="96"/>
      <c r="P36" s="28"/>
      <c r="Q36" s="28"/>
    </row>
    <row r="37" spans="2:17" ht="15.6" x14ac:dyDescent="0.3">
      <c r="B37" s="46" t="s">
        <v>111</v>
      </c>
      <c r="K37" s="46" t="s">
        <v>116</v>
      </c>
      <c r="L37" s="3"/>
      <c r="M37" s="3"/>
      <c r="N37" s="3"/>
      <c r="O37" s="3"/>
      <c r="P37" s="3"/>
      <c r="Q37" s="3"/>
    </row>
    <row r="38" spans="2:17" ht="15" thickBot="1" x14ac:dyDescent="0.35">
      <c r="K38" s="3"/>
      <c r="L38" s="3"/>
      <c r="M38" s="3"/>
      <c r="N38" s="3"/>
      <c r="O38" s="3"/>
      <c r="P38" s="3"/>
      <c r="Q38" s="3"/>
    </row>
    <row r="39" spans="2:17" ht="15" thickBot="1" x14ac:dyDescent="0.35">
      <c r="B39" s="54" t="s">
        <v>63</v>
      </c>
      <c r="C39" s="54" t="s">
        <v>34</v>
      </c>
      <c r="D39" s="54" t="s">
        <v>50</v>
      </c>
      <c r="E39" s="54" t="str">
        <f>F6</f>
        <v>SE</v>
      </c>
      <c r="F39" s="54" t="s">
        <v>9</v>
      </c>
      <c r="G39" s="54" t="s">
        <v>2</v>
      </c>
      <c r="H39" s="54" t="s">
        <v>49</v>
      </c>
      <c r="K39" s="54" t="s">
        <v>63</v>
      </c>
      <c r="L39" s="48" t="s">
        <v>37</v>
      </c>
      <c r="M39" s="3"/>
      <c r="N39" s="3"/>
      <c r="O39" s="3"/>
      <c r="P39" s="3"/>
      <c r="Q39" s="3"/>
    </row>
    <row r="40" spans="2:17" x14ac:dyDescent="0.3">
      <c r="B40" s="56">
        <f>IF(B7="","",B7)</f>
        <v>2</v>
      </c>
      <c r="C40" s="95"/>
      <c r="D40" s="27" t="str">
        <f>IFERROR(D7-C40,"")</f>
        <v/>
      </c>
      <c r="E40" s="27" t="str">
        <f>F7</f>
        <v/>
      </c>
      <c r="F40" s="27" t="str">
        <f>IFERROR(D40/F7,"")</f>
        <v/>
      </c>
      <c r="G40" s="61" t="str">
        <f>IF(C7&lt;&gt;"",C7-1,"")</f>
        <v/>
      </c>
      <c r="H40" s="27" t="str">
        <f>IFERROR(IF(TDIST(ABS(F40),G40,2)&lt;0.001,"&lt; 0.001",TDIST(ABS(F40),G40,2)),"")</f>
        <v/>
      </c>
      <c r="K40" s="56">
        <f>K7</f>
        <v>2</v>
      </c>
      <c r="L40" s="66" t="s">
        <v>118</v>
      </c>
      <c r="M40" s="3"/>
      <c r="N40" s="3"/>
      <c r="O40" s="3"/>
      <c r="P40" s="3"/>
      <c r="Q40" s="3"/>
    </row>
    <row r="41" spans="2:17" ht="15" thickBot="1" x14ac:dyDescent="0.35">
      <c r="B41" s="98">
        <f>IF(B8="","",B8)</f>
        <v>1</v>
      </c>
      <c r="C41" s="102"/>
      <c r="D41" s="52" t="str">
        <f>IFERROR(D8-C41,"")</f>
        <v/>
      </c>
      <c r="E41" s="52" t="str">
        <f>F8</f>
        <v/>
      </c>
      <c r="F41" s="52" t="str">
        <f>IFERROR(D41/F8,"")</f>
        <v/>
      </c>
      <c r="G41" s="103" t="str">
        <f>IF(C8&lt;&gt;"",C8-1,"")</f>
        <v/>
      </c>
      <c r="H41" s="52" t="str">
        <f>IFERROR(IF(TDIST(ABS(F41),G41,2)&lt;0.001,"&lt; 0.001",TDIST(ABS(F41),G41,2)),"")</f>
        <v/>
      </c>
      <c r="K41" s="98">
        <f>K8</f>
        <v>1</v>
      </c>
      <c r="L41" s="67" t="s">
        <v>118</v>
      </c>
      <c r="M41" s="3"/>
      <c r="N41" s="3"/>
      <c r="O41" s="3"/>
      <c r="P41" s="3"/>
      <c r="Q41" s="3"/>
    </row>
    <row r="42" spans="2:17" ht="15" thickBot="1" x14ac:dyDescent="0.35">
      <c r="B42" s="9"/>
      <c r="C42" s="9"/>
      <c r="D42" s="9"/>
      <c r="E42" s="9"/>
      <c r="F42" s="9"/>
      <c r="G42" s="9"/>
      <c r="H42" s="9"/>
      <c r="K42" s="9"/>
      <c r="L42" s="8"/>
      <c r="M42" s="3"/>
      <c r="N42" s="3"/>
      <c r="O42" s="3"/>
      <c r="P42" s="3"/>
      <c r="Q42" s="3"/>
    </row>
    <row r="43" spans="2:17" ht="15" thickBot="1" x14ac:dyDescent="0.35">
      <c r="B43" s="54" t="s">
        <v>115</v>
      </c>
      <c r="C43" s="54" t="s">
        <v>34</v>
      </c>
      <c r="D43" s="54" t="s">
        <v>50</v>
      </c>
      <c r="E43" s="54" t="str">
        <f>F10</f>
        <v>SE</v>
      </c>
      <c r="F43" s="54" t="s">
        <v>9</v>
      </c>
      <c r="G43" s="54" t="s">
        <v>2</v>
      </c>
      <c r="H43" s="54" t="s">
        <v>49</v>
      </c>
      <c r="K43" s="54" t="s">
        <v>115</v>
      </c>
      <c r="L43" s="48" t="s">
        <v>37</v>
      </c>
      <c r="M43" s="3"/>
      <c r="N43" s="3"/>
      <c r="O43" s="3"/>
      <c r="P43" s="3"/>
      <c r="Q43" s="3"/>
    </row>
    <row r="44" spans="2:17" ht="15" thickBot="1" x14ac:dyDescent="0.35">
      <c r="B44" s="99" t="s">
        <v>104</v>
      </c>
      <c r="C44" s="113"/>
      <c r="D44" s="100" t="str">
        <f>IFERROR(D11-C44,"")</f>
        <v/>
      </c>
      <c r="E44" s="100" t="str">
        <f>F11</f>
        <v/>
      </c>
      <c r="F44" s="100" t="str">
        <f>IFERROR(D44/F11,"")</f>
        <v/>
      </c>
      <c r="G44" s="104" t="str">
        <f>IF(C7&lt;&gt;"",C7-1,"")</f>
        <v/>
      </c>
      <c r="H44" s="100" t="str">
        <f>IFERROR(IF(TDIST(ABS(F44),G44,2)&lt;0.001,"&lt; 0.001",TDIST(ABS(F44),G44,2)),"")</f>
        <v/>
      </c>
      <c r="K44" s="99" t="s">
        <v>104</v>
      </c>
      <c r="L44" s="67" t="s">
        <v>118</v>
      </c>
      <c r="M44" s="3"/>
      <c r="N44" s="3"/>
      <c r="O44" s="3"/>
      <c r="P44" s="3"/>
      <c r="Q44" s="3"/>
    </row>
    <row r="45" spans="2:17" x14ac:dyDescent="0.3">
      <c r="B45" s="9"/>
      <c r="C45" s="9"/>
      <c r="D45" s="9"/>
      <c r="E45" s="9"/>
      <c r="F45" s="9"/>
      <c r="G45" s="9"/>
      <c r="H45" s="9"/>
      <c r="K45" s="9"/>
      <c r="L45" s="2"/>
      <c r="M45" s="3"/>
      <c r="N45" s="3"/>
      <c r="O45" s="3"/>
      <c r="P45" s="3"/>
      <c r="Q45" s="3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AA46"/>
  <sheetViews>
    <sheetView showRuler="0" topLeftCell="A25" zoomScaleNormal="100" workbookViewId="0">
      <selection activeCell="L40" sqref="L40:L45"/>
    </sheetView>
  </sheetViews>
  <sheetFormatPr defaultColWidth="11.109375" defaultRowHeight="14.4" x14ac:dyDescent="0.3"/>
  <cols>
    <col min="1" max="1" width="4.5546875" style="3" customWidth="1"/>
    <col min="2" max="8" width="11.109375" style="3"/>
    <col min="9" max="9" width="4.5546875" style="3" customWidth="1"/>
    <col min="10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A2"/>
      <c r="B2" s="122" t="s">
        <v>43</v>
      </c>
      <c r="C2" s="122"/>
      <c r="D2" s="122"/>
      <c r="E2" s="122"/>
      <c r="F2" s="122"/>
      <c r="G2" s="122"/>
      <c r="H2" s="122"/>
      <c r="I2"/>
      <c r="K2" s="122" t="s">
        <v>44</v>
      </c>
      <c r="L2" s="122"/>
      <c r="M2" s="122"/>
      <c r="N2" s="122"/>
      <c r="O2" s="122"/>
      <c r="P2" s="122"/>
      <c r="Q2" s="122"/>
      <c r="T2" s="122" t="s">
        <v>61</v>
      </c>
      <c r="U2" s="122"/>
      <c r="V2" s="122"/>
      <c r="W2" s="122"/>
      <c r="X2" s="122"/>
      <c r="Y2" s="122"/>
      <c r="Z2" s="122"/>
    </row>
    <row r="3" spans="1:26" x14ac:dyDescent="0.3">
      <c r="A3"/>
      <c r="B3"/>
      <c r="C3"/>
      <c r="D3"/>
      <c r="E3"/>
      <c r="F3"/>
      <c r="G3"/>
      <c r="H3"/>
    </row>
    <row r="4" spans="1:26" ht="15.6" x14ac:dyDescent="0.3">
      <c r="A4"/>
      <c r="B4" s="7" t="s">
        <v>110</v>
      </c>
      <c r="G4" s="5" t="s">
        <v>36</v>
      </c>
      <c r="H4" s="31">
        <v>95</v>
      </c>
      <c r="K4" s="7" t="s">
        <v>110</v>
      </c>
      <c r="L4" s="3"/>
      <c r="M4" s="3"/>
      <c r="N4" s="3"/>
      <c r="O4" s="3"/>
      <c r="P4" s="5" t="s">
        <v>36</v>
      </c>
      <c r="Q4" s="31">
        <v>95</v>
      </c>
    </row>
    <row r="5" spans="1:26" ht="15" thickBot="1" x14ac:dyDescent="0.35"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B6" s="48" t="s">
        <v>63</v>
      </c>
      <c r="C6" s="48" t="str">
        <f t="shared" ref="C6:C12" si="0">G39</f>
        <v>df</v>
      </c>
      <c r="D6" s="48" t="s">
        <v>79</v>
      </c>
      <c r="E6" s="48" t="s">
        <v>71</v>
      </c>
      <c r="F6" s="48" t="s">
        <v>78</v>
      </c>
      <c r="G6" s="129" t="s">
        <v>80</v>
      </c>
      <c r="H6" s="129"/>
      <c r="J6" s="3"/>
      <c r="K6" s="48" t="s">
        <v>63</v>
      </c>
      <c r="L6" s="48" t="s">
        <v>3</v>
      </c>
      <c r="M6" s="48" t="s">
        <v>23</v>
      </c>
      <c r="N6" s="48" t="str">
        <f t="shared" ref="N6:N12" si="1">C6</f>
        <v>df</v>
      </c>
      <c r="O6" s="48" t="s">
        <v>78</v>
      </c>
      <c r="P6" s="129" t="s">
        <v>62</v>
      </c>
      <c r="Q6" s="129"/>
    </row>
    <row r="7" spans="1:26" x14ac:dyDescent="0.3">
      <c r="B7" s="19" t="str">
        <f>IF(D7="","","1 vs. 2")</f>
        <v/>
      </c>
      <c r="C7" s="42" t="str">
        <f t="shared" si="0"/>
        <v/>
      </c>
      <c r="D7" s="20" t="str">
        <f>IFERROR(Data!W7-Data!W8,"")</f>
        <v/>
      </c>
      <c r="E7" s="20" t="str">
        <f>IFERROR(F7*SQRT(Data!$V$7),"")</f>
        <v/>
      </c>
      <c r="F7" s="27" t="str">
        <f>IFERROR(SQRT(Data!Z7^2+Data!Z8^2-2*Data!X22*Data!Z7*Data!Z8),"")</f>
        <v/>
      </c>
      <c r="G7" s="20" t="str">
        <f>IFERROR(D7-TINV(1-$H$4/100,G40)*F7,"")</f>
        <v/>
      </c>
      <c r="H7" s="20" t="str">
        <f t="shared" ref="H7:H12" si="2">IFERROR(D7+TINV(1-$H$4/100,G40)*F7,"")</f>
        <v/>
      </c>
      <c r="J7" s="3"/>
      <c r="K7" s="19" t="str">
        <f t="shared" ref="K7:K12" si="3">B7</f>
        <v/>
      </c>
      <c r="L7" s="20" t="str">
        <f>IFERROR(D7/SQRT((Data!X7^2+Data!X8^2)/2),"")</f>
        <v/>
      </c>
      <c r="M7" s="20" t="str">
        <f t="shared" ref="M7:M12" si="4">IFERROR((1-3/(4*G40-1))*L7,"")</f>
        <v/>
      </c>
      <c r="N7" s="42" t="str">
        <f t="shared" si="1"/>
        <v/>
      </c>
      <c r="O7" s="27" t="str">
        <f>IFERROR(SQRT((1/Data!V7)+((L7^2)/(2*Data!V7))*2*(1-Data!X22)),"")</f>
        <v/>
      </c>
      <c r="P7" s="27" t="str">
        <f>IFERROR(Y17*SQRT(1/Data!V7),"")</f>
        <v/>
      </c>
      <c r="Q7" s="27" t="str">
        <f>IFERROR(Z17*SQRT(1/Data!V7),"")</f>
        <v/>
      </c>
    </row>
    <row r="8" spans="1:26" x14ac:dyDescent="0.3">
      <c r="B8" s="21" t="str">
        <f>IF(D8="","","1 vs. 3")</f>
        <v/>
      </c>
      <c r="C8" s="43" t="str">
        <f t="shared" si="0"/>
        <v/>
      </c>
      <c r="D8" s="22" t="str">
        <f>IFERROR(Data!W7-Data!W9,"")</f>
        <v/>
      </c>
      <c r="E8" s="22" t="str">
        <f>IFERROR(F8*SQRT(Data!$V$7),"")</f>
        <v/>
      </c>
      <c r="F8" s="22" t="str">
        <f>IFERROR(SQRT(Data!Z7^2+Data!Z9^2-2*Data!Y22*Data!Z7*Data!Z9),"")</f>
        <v/>
      </c>
      <c r="G8" s="22" t="str">
        <f t="shared" ref="G8:G12" si="5">IFERROR(D8-TINV(1-$H$4/100,G41)*F8,"")</f>
        <v/>
      </c>
      <c r="H8" s="22" t="str">
        <f t="shared" si="2"/>
        <v/>
      </c>
      <c r="J8" s="3"/>
      <c r="K8" s="21" t="str">
        <f t="shared" si="3"/>
        <v/>
      </c>
      <c r="L8" s="22" t="str">
        <f>IFERROR(D8/SQRT((Data!X7^2+Data!X9^2)/2),"")</f>
        <v/>
      </c>
      <c r="M8" s="22" t="str">
        <f t="shared" si="4"/>
        <v/>
      </c>
      <c r="N8" s="43" t="str">
        <f t="shared" si="1"/>
        <v/>
      </c>
      <c r="O8" s="29" t="str">
        <f>IFERROR(SQRT((1/Data!V7)+((L8^2)/(2*Data!V7))*2*(1-Data!Y22)),"")</f>
        <v/>
      </c>
      <c r="P8" s="29" t="str">
        <f>IFERROR(Y18*SQRT(1/Data!V7),"")</f>
        <v/>
      </c>
      <c r="Q8" s="29" t="str">
        <f>IFERROR(Z18*SQRT(1/Data!V7),"")</f>
        <v/>
      </c>
    </row>
    <row r="9" spans="1:26" x14ac:dyDescent="0.3">
      <c r="B9" s="21" t="str">
        <f>IF(D9="","","2 vs. 3")</f>
        <v/>
      </c>
      <c r="C9" s="43" t="str">
        <f t="shared" si="0"/>
        <v/>
      </c>
      <c r="D9" s="22" t="str">
        <f>IFERROR(Data!W8-Data!W9,"")</f>
        <v/>
      </c>
      <c r="E9" s="22" t="str">
        <f>IFERROR(F9*SQRT(Data!$V$7),"")</f>
        <v/>
      </c>
      <c r="F9" s="22" t="str">
        <f>IFERROR(SQRT(Data!Z8^2+Data!Z9^2-2*Data!Y23*Data!Z8*Data!Z9),"")</f>
        <v/>
      </c>
      <c r="G9" s="22" t="str">
        <f t="shared" si="5"/>
        <v/>
      </c>
      <c r="H9" s="22" t="str">
        <f t="shared" si="2"/>
        <v/>
      </c>
      <c r="J9" s="3"/>
      <c r="K9" s="21" t="str">
        <f t="shared" si="3"/>
        <v/>
      </c>
      <c r="L9" s="22" t="str">
        <f>IFERROR(D9/SQRT((Data!X8^2+Data!X9^2)/2),"")</f>
        <v/>
      </c>
      <c r="M9" s="22" t="str">
        <f t="shared" si="4"/>
        <v/>
      </c>
      <c r="N9" s="43" t="str">
        <f t="shared" si="1"/>
        <v/>
      </c>
      <c r="O9" s="29" t="str">
        <f>IFERROR(SQRT((1/Data!V8)+((L9^2)/(2*Data!V8))*2*(1-Data!Y23)),"")</f>
        <v/>
      </c>
      <c r="P9" s="29" t="str">
        <f>IFERROR(Y19*SQRT(1/Data!V8),"")</f>
        <v/>
      </c>
      <c r="Q9" s="29" t="str">
        <f>IFERROR(Z19*SQRT(1/Data!V8),"")</f>
        <v/>
      </c>
    </row>
    <row r="10" spans="1:26" x14ac:dyDescent="0.3">
      <c r="B10" s="21" t="str">
        <f>IF(D10="","","1 vs. 4")</f>
        <v/>
      </c>
      <c r="C10" s="43" t="str">
        <f t="shared" si="0"/>
        <v/>
      </c>
      <c r="D10" s="22" t="str">
        <f>IFERROR(Data!W7-Data!W10,"")</f>
        <v/>
      </c>
      <c r="E10" s="22" t="str">
        <f>IFERROR(F10*SQRT(Data!$V$7),"")</f>
        <v/>
      </c>
      <c r="F10" s="22" t="str">
        <f>IFERROR(SQRT(Data!Z7^2+Data!Z10^2-2*Data!Z22*Data!Z7*Data!Z10),"")</f>
        <v/>
      </c>
      <c r="G10" s="22" t="str">
        <f t="shared" si="5"/>
        <v/>
      </c>
      <c r="H10" s="22" t="str">
        <f t="shared" si="2"/>
        <v/>
      </c>
      <c r="J10" s="3"/>
      <c r="K10" s="21" t="str">
        <f t="shared" si="3"/>
        <v/>
      </c>
      <c r="L10" s="22" t="str">
        <f>IFERROR(D10/SQRT((Data!X7^2+Data!X10^2)/2),"")</f>
        <v/>
      </c>
      <c r="M10" s="22" t="str">
        <f>IFERROR((1-3/(4*N10-1))*L10,"")</f>
        <v/>
      </c>
      <c r="N10" s="43" t="str">
        <f t="shared" si="1"/>
        <v/>
      </c>
      <c r="O10" s="29" t="str">
        <f>IFERROR(SQRT((1/Data!V8)+((L10^2)/(2*Data!V8))*2*(1-Data!Z22)),"")</f>
        <v/>
      </c>
      <c r="P10" s="29" t="str">
        <f>IFERROR(Y20*SQRT(1/Data!V7),"")</f>
        <v/>
      </c>
      <c r="Q10" s="29" t="str">
        <f>IFERROR(Z20*SQRT(1/Data!V7),"")</f>
        <v/>
      </c>
    </row>
    <row r="11" spans="1:26" x14ac:dyDescent="0.3">
      <c r="B11" s="21" t="str">
        <f>IF(D11="","","2 vs. 4")</f>
        <v/>
      </c>
      <c r="C11" s="43" t="str">
        <f t="shared" si="0"/>
        <v/>
      </c>
      <c r="D11" s="22" t="str">
        <f>IFERROR(Data!W8-Data!W10,"")</f>
        <v/>
      </c>
      <c r="E11" s="22" t="str">
        <f>IFERROR(F11*SQRT(Data!$V$7),"")</f>
        <v/>
      </c>
      <c r="F11" s="22" t="str">
        <f>IFERROR(SQRT(Data!Z8^2+Data!Z10^2-2*Data!Z23*Data!Z8*Data!Z10),"")</f>
        <v/>
      </c>
      <c r="G11" s="22" t="str">
        <f t="shared" si="5"/>
        <v/>
      </c>
      <c r="H11" s="22" t="str">
        <f t="shared" si="2"/>
        <v/>
      </c>
      <c r="J11" s="3"/>
      <c r="K11" s="21" t="str">
        <f t="shared" si="3"/>
        <v/>
      </c>
      <c r="L11" s="22" t="str">
        <f>IFERROR(D11/SQRT((Data!X8^2+Data!X10^2)/2),"")</f>
        <v/>
      </c>
      <c r="M11" s="22" t="str">
        <f t="shared" si="4"/>
        <v/>
      </c>
      <c r="N11" s="43" t="str">
        <f t="shared" si="1"/>
        <v/>
      </c>
      <c r="O11" s="29" t="str">
        <f>IFERROR(SQRT((1/Data!V8)+((L11^2)/(2*Data!V8))*2*(1-Data!Z23)),"")</f>
        <v/>
      </c>
      <c r="P11" s="29" t="str">
        <f>IFERROR(Y21*SQRT(1/Data!V8),"")</f>
        <v/>
      </c>
      <c r="Q11" s="29" t="str">
        <f>IFERROR(Z21*SQRT(1/Data!V8),"")</f>
        <v/>
      </c>
    </row>
    <row r="12" spans="1:26" ht="15" thickBot="1" x14ac:dyDescent="0.35">
      <c r="B12" s="23" t="str">
        <f>IF(D12="","","3 vs. 4")</f>
        <v/>
      </c>
      <c r="C12" s="44" t="str">
        <f t="shared" si="0"/>
        <v/>
      </c>
      <c r="D12" s="24" t="str">
        <f>IFERROR(Data!W9-Data!W10,"")</f>
        <v/>
      </c>
      <c r="E12" s="24" t="str">
        <f>IFERROR(F12*SQRT(Data!$V$7),"")</f>
        <v/>
      </c>
      <c r="F12" s="24" t="str">
        <f>IFERROR(SQRT(Data!Z9^2+Data!Z10^2-2*Data!Z24*Data!Z9*Data!Z10),"")</f>
        <v/>
      </c>
      <c r="G12" s="24" t="str">
        <f t="shared" si="5"/>
        <v/>
      </c>
      <c r="H12" s="24" t="str">
        <f t="shared" si="2"/>
        <v/>
      </c>
      <c r="J12" s="3"/>
      <c r="K12" s="23" t="str">
        <f t="shared" si="3"/>
        <v/>
      </c>
      <c r="L12" s="24" t="str">
        <f>IFERROR(D12/SQRT((Data!X9^2+Data!X10^2)/2),"")</f>
        <v/>
      </c>
      <c r="M12" s="24" t="str">
        <f t="shared" si="4"/>
        <v/>
      </c>
      <c r="N12" s="44" t="str">
        <f t="shared" si="1"/>
        <v/>
      </c>
      <c r="O12" s="30" t="str">
        <f>IFERROR(SQRT((1/Data!V9)+((L12^2)/(2*Data!V9))*2*(1-Data!Z24)),"")</f>
        <v/>
      </c>
      <c r="P12" s="30" t="str">
        <f>IFERROR(Y22*SQRT(1/Data!V9),"")</f>
        <v/>
      </c>
      <c r="Q12" s="30" t="str">
        <f>IFERROR(Z22*SQRT(1/Data!V9),"")</f>
        <v/>
      </c>
    </row>
    <row r="13" spans="1:26" x14ac:dyDescent="0.3">
      <c r="B13" s="2"/>
      <c r="C13" s="2"/>
      <c r="D13" s="2"/>
      <c r="E13" s="2"/>
      <c r="F13" s="2"/>
      <c r="G13" s="2"/>
      <c r="H13" s="2"/>
      <c r="J13" s="3"/>
      <c r="K13" s="2"/>
      <c r="L13" s="2"/>
      <c r="M13" s="2"/>
      <c r="N13" s="2"/>
      <c r="O13" s="2"/>
      <c r="P13" s="2"/>
      <c r="Q13" s="2"/>
    </row>
    <row r="14" spans="1:26" ht="15.6" x14ac:dyDescent="0.3">
      <c r="A14"/>
      <c r="B14" s="7" t="s">
        <v>112</v>
      </c>
      <c r="K14" s="7" t="s">
        <v>112</v>
      </c>
      <c r="L14" s="3"/>
      <c r="M14" s="3"/>
      <c r="N14" s="3"/>
      <c r="O14" s="3"/>
      <c r="P14" s="3"/>
      <c r="Q14" s="3"/>
      <c r="T14" s="7" t="s">
        <v>21</v>
      </c>
    </row>
    <row r="15" spans="1:26" ht="15" thickBot="1" x14ac:dyDescent="0.35"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B16" s="85" t="s">
        <v>76</v>
      </c>
      <c r="C16" s="36"/>
      <c r="D16" s="35"/>
      <c r="E16" s="35"/>
      <c r="F16" s="36"/>
      <c r="G16" s="86" t="s">
        <v>74</v>
      </c>
      <c r="H16" s="36"/>
      <c r="J16" s="3"/>
      <c r="K16" s="86" t="s">
        <v>76</v>
      </c>
      <c r="L16" s="40"/>
      <c r="M16" s="40"/>
      <c r="N16" s="37"/>
      <c r="O16" s="37"/>
      <c r="P16" s="86" t="s">
        <v>74</v>
      </c>
      <c r="Q16" s="40"/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2:26" x14ac:dyDescent="0.3">
      <c r="B17" s="38" t="s">
        <v>0</v>
      </c>
      <c r="C17" s="37" t="s">
        <v>75</v>
      </c>
      <c r="D17" s="38" t="s">
        <v>77</v>
      </c>
      <c r="E17" s="38"/>
      <c r="F17" s="37"/>
      <c r="G17" s="37" t="s">
        <v>33</v>
      </c>
      <c r="H17" s="37" t="s">
        <v>75</v>
      </c>
      <c r="J17" s="3"/>
      <c r="K17" s="36" t="s">
        <v>0</v>
      </c>
      <c r="L17" s="36" t="s">
        <v>75</v>
      </c>
      <c r="M17" s="36" t="s">
        <v>77</v>
      </c>
      <c r="N17" s="37"/>
      <c r="O17" s="37"/>
      <c r="P17" s="36" t="s">
        <v>33</v>
      </c>
      <c r="Q17" s="36" t="s">
        <v>75</v>
      </c>
      <c r="T17" s="27" t="e">
        <f t="shared" ref="T17:T22" si="6">EXP(((LN(2)-LN(G40))/2)+GAMMALN((G40+1)/2)-GAMMALN(G40/2))</f>
        <v>#VALUE!</v>
      </c>
      <c r="U17" s="27" t="e">
        <f t="shared" ref="U17:U22" si="7">T17*F40</f>
        <v>#VALUE!</v>
      </c>
      <c r="V17" s="27" t="e">
        <f t="shared" ref="V17:V22" si="8">1+(F40^2)*(1-T17^2)</f>
        <v>#VALUE!</v>
      </c>
      <c r="W17" s="27" t="e">
        <f t="shared" ref="W17:W22" si="9">(2*U17^3)-((2*G40-1)/G40)*(F40^2*U17)</f>
        <v>#VALUE!</v>
      </c>
      <c r="X17" s="12" t="e">
        <f t="shared" ref="X17:X22" si="10">W17/SQRT(V17)^3</f>
        <v>#VALUE!</v>
      </c>
      <c r="Y17" s="28" t="e">
        <f t="shared" ref="Y17:Z22" si="11">IF($X17&lt;0.001,Y33,Y25)</f>
        <v>#VALUE!</v>
      </c>
      <c r="Z17" s="28" t="e">
        <f t="shared" si="11"/>
        <v>#VALUE!</v>
      </c>
    </row>
    <row r="18" spans="2:26" x14ac:dyDescent="0.3">
      <c r="B18" s="38">
        <v>1.1000000000000001</v>
      </c>
      <c r="C18" s="37" t="e">
        <f>IF(H7="",NA(),H7)</f>
        <v>#N/A</v>
      </c>
      <c r="D18" s="38" t="e">
        <f t="shared" ref="D18:D35" si="12">C18</f>
        <v>#N/A</v>
      </c>
      <c r="E18" s="38"/>
      <c r="F18" s="37"/>
      <c r="G18" s="37">
        <v>0.5</v>
      </c>
      <c r="H18" s="37">
        <f>C$40</f>
        <v>0</v>
      </c>
      <c r="J18" s="3"/>
      <c r="K18" s="38">
        <v>1.1000000000000001</v>
      </c>
      <c r="L18" s="38" t="e">
        <f>IF(Q7="",NA(),Q7)</f>
        <v>#N/A</v>
      </c>
      <c r="M18" s="38" t="e">
        <f t="shared" ref="M18:M35" si="13">L18</f>
        <v>#N/A</v>
      </c>
      <c r="N18" s="38"/>
      <c r="O18" s="38"/>
      <c r="P18" s="37">
        <v>0.5</v>
      </c>
      <c r="Q18" s="37">
        <f>L$40</f>
        <v>0</v>
      </c>
      <c r="T18" s="29" t="e">
        <f t="shared" si="6"/>
        <v>#VALUE!</v>
      </c>
      <c r="U18" s="29" t="e">
        <f t="shared" si="7"/>
        <v>#VALUE!</v>
      </c>
      <c r="V18" s="29" t="e">
        <f t="shared" si="8"/>
        <v>#VALUE!</v>
      </c>
      <c r="W18" s="29" t="e">
        <f t="shared" si="9"/>
        <v>#VALUE!</v>
      </c>
      <c r="X18" s="12" t="e">
        <f t="shared" si="10"/>
        <v>#VALUE!</v>
      </c>
      <c r="Y18" s="28" t="e">
        <f t="shared" si="11"/>
        <v>#VALUE!</v>
      </c>
      <c r="Z18" s="28" t="e">
        <f t="shared" si="11"/>
        <v>#VALUE!</v>
      </c>
    </row>
    <row r="19" spans="2:26" x14ac:dyDescent="0.3">
      <c r="B19" s="38">
        <v>1.1000000000000001</v>
      </c>
      <c r="C19" s="37" t="e">
        <f>IF(D7="",NA(),D7)</f>
        <v>#N/A</v>
      </c>
      <c r="D19" s="38" t="e">
        <f t="shared" si="12"/>
        <v>#N/A</v>
      </c>
      <c r="E19" s="38"/>
      <c r="F19" s="37"/>
      <c r="G19" s="37">
        <v>1</v>
      </c>
      <c r="H19" s="37">
        <f>C$40</f>
        <v>0</v>
      </c>
      <c r="J19" s="3"/>
      <c r="K19" s="38">
        <v>1.1000000000000001</v>
      </c>
      <c r="L19" s="37" t="e">
        <f>IF(M7="",NA(),M7)</f>
        <v>#N/A</v>
      </c>
      <c r="M19" s="38" t="e">
        <f t="shared" si="13"/>
        <v>#N/A</v>
      </c>
      <c r="N19" s="38"/>
      <c r="O19" s="38"/>
      <c r="P19" s="37">
        <v>1</v>
      </c>
      <c r="Q19" s="37">
        <f>L$40</f>
        <v>0</v>
      </c>
      <c r="T19" s="29" t="e">
        <f t="shared" si="6"/>
        <v>#VALUE!</v>
      </c>
      <c r="U19" s="29" t="e">
        <f t="shared" si="7"/>
        <v>#VALUE!</v>
      </c>
      <c r="V19" s="29" t="e">
        <f t="shared" si="8"/>
        <v>#VALUE!</v>
      </c>
      <c r="W19" s="29" t="e">
        <f t="shared" si="9"/>
        <v>#VALUE!</v>
      </c>
      <c r="X19" s="12" t="e">
        <f t="shared" si="10"/>
        <v>#VALUE!</v>
      </c>
      <c r="Y19" s="28" t="e">
        <f t="shared" si="11"/>
        <v>#VALUE!</v>
      </c>
      <c r="Z19" s="28" t="e">
        <f t="shared" si="11"/>
        <v>#VALUE!</v>
      </c>
    </row>
    <row r="20" spans="2:26" ht="15.6" x14ac:dyDescent="0.3">
      <c r="B20" s="38">
        <v>1.1000000000000001</v>
      </c>
      <c r="C20" s="37" t="e">
        <f>IF(G7="",NA(),G7)</f>
        <v>#N/A</v>
      </c>
      <c r="D20" s="38" t="e">
        <f t="shared" si="12"/>
        <v>#N/A</v>
      </c>
      <c r="E20" s="38"/>
      <c r="F20" s="37"/>
      <c r="G20" s="37">
        <v>1.5</v>
      </c>
      <c r="H20" s="37">
        <f>C$40</f>
        <v>0</v>
      </c>
      <c r="J20" s="3"/>
      <c r="K20" s="38">
        <v>1.1000000000000001</v>
      </c>
      <c r="L20" s="38" t="e">
        <f>IF(P7="",NA(),P7)</f>
        <v>#N/A</v>
      </c>
      <c r="M20" s="38" t="e">
        <f t="shared" si="13"/>
        <v>#N/A</v>
      </c>
      <c r="N20" s="38"/>
      <c r="O20" s="38"/>
      <c r="P20" s="37">
        <v>1.5</v>
      </c>
      <c r="Q20" s="37">
        <f>L$40</f>
        <v>0</v>
      </c>
      <c r="S20" s="4"/>
      <c r="T20" s="29" t="e">
        <f t="shared" si="6"/>
        <v>#VALUE!</v>
      </c>
      <c r="U20" s="29" t="e">
        <f t="shared" si="7"/>
        <v>#VALUE!</v>
      </c>
      <c r="V20" s="29" t="e">
        <f t="shared" si="8"/>
        <v>#VALUE!</v>
      </c>
      <c r="W20" s="29" t="e">
        <f t="shared" si="9"/>
        <v>#VALUE!</v>
      </c>
      <c r="X20" s="12" t="e">
        <f t="shared" si="10"/>
        <v>#VALUE!</v>
      </c>
      <c r="Y20" s="28" t="e">
        <f t="shared" si="11"/>
        <v>#VALUE!</v>
      </c>
      <c r="Z20" s="28" t="e">
        <f t="shared" si="11"/>
        <v>#VALUE!</v>
      </c>
    </row>
    <row r="21" spans="2:26" x14ac:dyDescent="0.3">
      <c r="B21" s="38">
        <v>2.1</v>
      </c>
      <c r="C21" s="37" t="e">
        <f>IF(H8="",NA(),H8)</f>
        <v>#N/A</v>
      </c>
      <c r="D21" s="38" t="e">
        <f t="shared" si="12"/>
        <v>#N/A</v>
      </c>
      <c r="E21" s="38"/>
      <c r="F21" s="37"/>
      <c r="G21" s="37">
        <v>1.5</v>
      </c>
      <c r="H21" s="37">
        <f>C$41</f>
        <v>0</v>
      </c>
      <c r="J21" s="3"/>
      <c r="K21" s="38">
        <v>2.1</v>
      </c>
      <c r="L21" s="38" t="e">
        <f>IF(Q8="",NA(),Q8)</f>
        <v>#N/A</v>
      </c>
      <c r="M21" s="38" t="e">
        <f t="shared" si="13"/>
        <v>#N/A</v>
      </c>
      <c r="N21" s="38"/>
      <c r="O21" s="38"/>
      <c r="P21" s="37">
        <v>1.5</v>
      </c>
      <c r="Q21" s="37">
        <f>L$41</f>
        <v>0</v>
      </c>
      <c r="T21" s="78" t="e">
        <f t="shared" si="6"/>
        <v>#VALUE!</v>
      </c>
      <c r="U21" s="78" t="e">
        <f t="shared" si="7"/>
        <v>#VALUE!</v>
      </c>
      <c r="V21" s="78" t="e">
        <f t="shared" si="8"/>
        <v>#VALUE!</v>
      </c>
      <c r="W21" s="78" t="e">
        <f t="shared" si="9"/>
        <v>#VALUE!</v>
      </c>
      <c r="X21" s="12" t="e">
        <f t="shared" si="10"/>
        <v>#VALUE!</v>
      </c>
      <c r="Y21" s="28" t="e">
        <f t="shared" si="11"/>
        <v>#VALUE!</v>
      </c>
      <c r="Z21" s="28" t="e">
        <f t="shared" si="11"/>
        <v>#VALUE!</v>
      </c>
    </row>
    <row r="22" spans="2:26" ht="15" thickBot="1" x14ac:dyDescent="0.35">
      <c r="B22" s="38">
        <v>2.1</v>
      </c>
      <c r="C22" s="37" t="e">
        <f>IF(D8="",NA(),D8)</f>
        <v>#N/A</v>
      </c>
      <c r="D22" s="38" t="e">
        <f t="shared" si="12"/>
        <v>#N/A</v>
      </c>
      <c r="E22" s="38"/>
      <c r="F22" s="37"/>
      <c r="G22" s="37">
        <v>2</v>
      </c>
      <c r="H22" s="37">
        <f>C$41</f>
        <v>0</v>
      </c>
      <c r="J22" s="3"/>
      <c r="K22" s="38">
        <v>2.1</v>
      </c>
      <c r="L22" s="37" t="e">
        <f>IF(M8="",NA(),M8)</f>
        <v>#N/A</v>
      </c>
      <c r="M22" s="38" t="e">
        <f t="shared" si="13"/>
        <v>#N/A</v>
      </c>
      <c r="N22" s="38"/>
      <c r="O22" s="38"/>
      <c r="P22" s="37">
        <v>2</v>
      </c>
      <c r="Q22" s="37">
        <f>L$41</f>
        <v>0</v>
      </c>
      <c r="T22" s="78" t="e">
        <f t="shared" si="6"/>
        <v>#VALUE!</v>
      </c>
      <c r="U22" s="78" t="e">
        <f t="shared" si="7"/>
        <v>#VALUE!</v>
      </c>
      <c r="V22" s="78" t="e">
        <f t="shared" si="8"/>
        <v>#VALUE!</v>
      </c>
      <c r="W22" s="78" t="e">
        <f t="shared" si="9"/>
        <v>#VALUE!</v>
      </c>
      <c r="X22" s="12" t="e">
        <f t="shared" si="10"/>
        <v>#VALUE!</v>
      </c>
      <c r="Y22" s="28" t="e">
        <f t="shared" si="11"/>
        <v>#VALUE!</v>
      </c>
      <c r="Z22" s="28" t="e">
        <f t="shared" si="11"/>
        <v>#VALUE!</v>
      </c>
    </row>
    <row r="23" spans="2:26" ht="15" thickBot="1" x14ac:dyDescent="0.35">
      <c r="B23" s="38">
        <v>2.1</v>
      </c>
      <c r="C23" s="38" t="e">
        <f>IF(G8="",NA(),G8)</f>
        <v>#N/A</v>
      </c>
      <c r="D23" s="38" t="e">
        <f t="shared" si="12"/>
        <v>#N/A</v>
      </c>
      <c r="E23" s="37"/>
      <c r="F23" s="37"/>
      <c r="G23" s="37">
        <v>2.5</v>
      </c>
      <c r="H23" s="37">
        <f>C$41</f>
        <v>0</v>
      </c>
      <c r="J23" s="3"/>
      <c r="K23" s="38">
        <v>2.1</v>
      </c>
      <c r="L23" s="38" t="e">
        <f>IF(P8="",NA(),P8)</f>
        <v>#N/A</v>
      </c>
      <c r="M23" s="38" t="e">
        <f t="shared" si="13"/>
        <v>#N/A</v>
      </c>
      <c r="N23" s="38"/>
      <c r="O23" s="38"/>
      <c r="P23" s="37">
        <v>2.5</v>
      </c>
      <c r="Q23" s="37">
        <f>L$41</f>
        <v>0</v>
      </c>
      <c r="T23" s="8"/>
      <c r="U23" s="8"/>
      <c r="V23" s="8"/>
      <c r="W23" s="8"/>
      <c r="X23" s="8"/>
      <c r="Y23" s="8"/>
      <c r="Z23" s="8"/>
    </row>
    <row r="24" spans="2:26" ht="15" thickBot="1" x14ac:dyDescent="0.35">
      <c r="B24" s="38">
        <v>3.1</v>
      </c>
      <c r="C24" s="38" t="e">
        <f>IF(H9="",NA(),H9)</f>
        <v>#N/A</v>
      </c>
      <c r="D24" s="38" t="e">
        <f t="shared" si="12"/>
        <v>#N/A</v>
      </c>
      <c r="E24" s="37"/>
      <c r="F24" s="37"/>
      <c r="G24" s="37">
        <v>2.5</v>
      </c>
      <c r="H24" s="37">
        <f>C$42</f>
        <v>0</v>
      </c>
      <c r="J24" s="3"/>
      <c r="K24" s="38">
        <v>3.1</v>
      </c>
      <c r="L24" s="38" t="e">
        <f>IF(Q9="",NA(),Q9)</f>
        <v>#N/A</v>
      </c>
      <c r="M24" s="38" t="e">
        <f t="shared" si="13"/>
        <v>#N/A</v>
      </c>
      <c r="N24" s="38"/>
      <c r="O24" s="38"/>
      <c r="P24" s="37">
        <v>2.5</v>
      </c>
      <c r="Q24" s="37">
        <f>L$42</f>
        <v>0</v>
      </c>
      <c r="T24" s="63" t="s">
        <v>14</v>
      </c>
      <c r="U24" s="63" t="s">
        <v>15</v>
      </c>
      <c r="V24" s="63" t="s">
        <v>16</v>
      </c>
      <c r="W24" s="63" t="s">
        <v>17</v>
      </c>
      <c r="X24" s="63" t="s">
        <v>18</v>
      </c>
      <c r="Y24" s="63" t="s">
        <v>19</v>
      </c>
      <c r="Z24" s="63" t="s">
        <v>20</v>
      </c>
    </row>
    <row r="25" spans="2:26" x14ac:dyDescent="0.3">
      <c r="B25" s="38">
        <v>3.1</v>
      </c>
      <c r="C25" s="38" t="e">
        <f>IF(D9="",NA(),D9)</f>
        <v>#N/A</v>
      </c>
      <c r="D25" s="38" t="e">
        <f t="shared" si="12"/>
        <v>#N/A</v>
      </c>
      <c r="E25" s="37"/>
      <c r="F25" s="37"/>
      <c r="G25" s="37">
        <v>3</v>
      </c>
      <c r="H25" s="37">
        <f>C$42</f>
        <v>0</v>
      </c>
      <c r="J25" s="3"/>
      <c r="K25" s="38">
        <v>3.1</v>
      </c>
      <c r="L25" s="37" t="e">
        <f>IF(M9="",NA(),M9)</f>
        <v>#N/A</v>
      </c>
      <c r="M25" s="38" t="e">
        <f t="shared" si="13"/>
        <v>#N/A</v>
      </c>
      <c r="N25" s="38"/>
      <c r="O25" s="38"/>
      <c r="P25" s="37">
        <v>3</v>
      </c>
      <c r="Q25" s="37">
        <f>L$42</f>
        <v>0</v>
      </c>
      <c r="T25" s="27" t="e">
        <f t="shared" ref="T25:T30" si="14">W17/(4*V17)</f>
        <v>#VALUE!</v>
      </c>
      <c r="U25" s="27" t="e">
        <f t="shared" ref="U25:U30" si="15">V17/(2*T25^2)</f>
        <v>#VALUE!</v>
      </c>
      <c r="V25" s="27" t="e">
        <f t="shared" ref="V25:V30" si="16">U17-(U25*T25)</f>
        <v>#VALUE!</v>
      </c>
      <c r="W25" s="27" t="e">
        <f t="shared" ref="W25:W30" si="17">2*GAMMAINV((1-$Q$4/100)/2,U25/2,1)</f>
        <v>#VALUE!</v>
      </c>
      <c r="X25" s="27" t="e">
        <f t="shared" ref="X25:X30" si="18">2*GAMMAINV(1-(1-$Q$4/100)/2,U25/2,1)</f>
        <v>#VALUE!</v>
      </c>
      <c r="Y25" s="27" t="e">
        <f t="shared" ref="Y25:Y30" si="19">IF(F40&gt;0,V25+(T25*W25),V25+(T25*X25))</f>
        <v>#VALUE!</v>
      </c>
      <c r="Z25" s="27" t="e">
        <f t="shared" ref="Z25:Z30" si="20">IF(F40&gt;0,V25+(T25*X25),V25+(T25*W25))</f>
        <v>#VALUE!</v>
      </c>
    </row>
    <row r="26" spans="2:26" x14ac:dyDescent="0.3">
      <c r="B26" s="38">
        <v>3.1</v>
      </c>
      <c r="C26" s="38" t="e">
        <f>IF(G9="",NA(),G9)</f>
        <v>#N/A</v>
      </c>
      <c r="D26" s="38" t="e">
        <f t="shared" si="12"/>
        <v>#N/A</v>
      </c>
      <c r="E26" s="38"/>
      <c r="F26" s="38"/>
      <c r="G26" s="37">
        <v>3.5</v>
      </c>
      <c r="H26" s="37">
        <f>C$42</f>
        <v>0</v>
      </c>
      <c r="J26" s="3"/>
      <c r="K26" s="38">
        <v>3.1</v>
      </c>
      <c r="L26" s="38" t="e">
        <f>IF(P9="",NA(),P9)</f>
        <v>#N/A</v>
      </c>
      <c r="M26" s="38" t="e">
        <f t="shared" si="13"/>
        <v>#N/A</v>
      </c>
      <c r="N26" s="38"/>
      <c r="O26" s="38"/>
      <c r="P26" s="37">
        <v>3.5</v>
      </c>
      <c r="Q26" s="37">
        <f>L$42</f>
        <v>0</v>
      </c>
      <c r="T26" s="29" t="e">
        <f t="shared" si="14"/>
        <v>#VALUE!</v>
      </c>
      <c r="U26" s="29" t="e">
        <f t="shared" si="15"/>
        <v>#VALUE!</v>
      </c>
      <c r="V26" s="29" t="e">
        <f t="shared" si="16"/>
        <v>#VALUE!</v>
      </c>
      <c r="W26" s="29" t="e">
        <f t="shared" si="17"/>
        <v>#VALUE!</v>
      </c>
      <c r="X26" s="29" t="e">
        <f t="shared" si="18"/>
        <v>#VALUE!</v>
      </c>
      <c r="Y26" s="29" t="e">
        <f t="shared" si="19"/>
        <v>#VALUE!</v>
      </c>
      <c r="Z26" s="29" t="e">
        <f t="shared" si="20"/>
        <v>#VALUE!</v>
      </c>
    </row>
    <row r="27" spans="2:26" x14ac:dyDescent="0.3">
      <c r="B27" s="38">
        <v>4.0999999999999996</v>
      </c>
      <c r="C27" s="38" t="e">
        <f>IF(H10="",NA(),H10)</f>
        <v>#N/A</v>
      </c>
      <c r="D27" s="38" t="e">
        <f t="shared" si="12"/>
        <v>#N/A</v>
      </c>
      <c r="E27" s="38"/>
      <c r="F27" s="38"/>
      <c r="G27" s="37">
        <v>3.5</v>
      </c>
      <c r="H27" s="37">
        <f>C$43</f>
        <v>0</v>
      </c>
      <c r="J27" s="3"/>
      <c r="K27" s="38">
        <v>4.0999999999999996</v>
      </c>
      <c r="L27" s="38" t="e">
        <f>IF(Q10="",NA(),Q10)</f>
        <v>#N/A</v>
      </c>
      <c r="M27" s="38" t="e">
        <f t="shared" si="13"/>
        <v>#N/A</v>
      </c>
      <c r="N27" s="38"/>
      <c r="O27" s="38"/>
      <c r="P27" s="37">
        <v>3.5</v>
      </c>
      <c r="Q27" s="37">
        <f>L$43</f>
        <v>0</v>
      </c>
      <c r="T27" s="29" t="e">
        <f t="shared" si="14"/>
        <v>#VALUE!</v>
      </c>
      <c r="U27" s="29" t="e">
        <f t="shared" si="15"/>
        <v>#VALUE!</v>
      </c>
      <c r="V27" s="29" t="e">
        <f t="shared" si="16"/>
        <v>#VALUE!</v>
      </c>
      <c r="W27" s="29" t="e">
        <f t="shared" si="17"/>
        <v>#VALUE!</v>
      </c>
      <c r="X27" s="29" t="e">
        <f t="shared" si="18"/>
        <v>#VALUE!</v>
      </c>
      <c r="Y27" s="29" t="e">
        <f t="shared" si="19"/>
        <v>#VALUE!</v>
      </c>
      <c r="Z27" s="29" t="e">
        <f t="shared" si="20"/>
        <v>#VALUE!</v>
      </c>
    </row>
    <row r="28" spans="2:26" x14ac:dyDescent="0.3">
      <c r="B28" s="38">
        <v>4.0999999999999996</v>
      </c>
      <c r="C28" s="38" t="e">
        <f>IF(D10="",NA(),D10)</f>
        <v>#N/A</v>
      </c>
      <c r="D28" s="38" t="e">
        <f t="shared" si="12"/>
        <v>#N/A</v>
      </c>
      <c r="E28" s="38"/>
      <c r="F28" s="38"/>
      <c r="G28" s="37">
        <v>4</v>
      </c>
      <c r="H28" s="37">
        <f>C$43</f>
        <v>0</v>
      </c>
      <c r="J28" s="3"/>
      <c r="K28" s="37">
        <v>4.0999999999999996</v>
      </c>
      <c r="L28" s="37" t="e">
        <f>IF(M10="",NA(),M10)</f>
        <v>#N/A</v>
      </c>
      <c r="M28" s="38" t="e">
        <f t="shared" si="13"/>
        <v>#N/A</v>
      </c>
      <c r="N28" s="38"/>
      <c r="O28" s="38"/>
      <c r="P28" s="37">
        <v>4</v>
      </c>
      <c r="Q28" s="37">
        <f>L$43</f>
        <v>0</v>
      </c>
      <c r="T28" s="29" t="e">
        <f t="shared" si="14"/>
        <v>#VALUE!</v>
      </c>
      <c r="U28" s="29" t="e">
        <f t="shared" si="15"/>
        <v>#VALUE!</v>
      </c>
      <c r="V28" s="29" t="e">
        <f t="shared" si="16"/>
        <v>#VALUE!</v>
      </c>
      <c r="W28" s="29" t="e">
        <f t="shared" si="17"/>
        <v>#VALUE!</v>
      </c>
      <c r="X28" s="29" t="e">
        <f t="shared" si="18"/>
        <v>#VALUE!</v>
      </c>
      <c r="Y28" s="29" t="e">
        <f t="shared" si="19"/>
        <v>#VALUE!</v>
      </c>
      <c r="Z28" s="29" t="e">
        <f t="shared" si="20"/>
        <v>#VALUE!</v>
      </c>
    </row>
    <row r="29" spans="2:26" x14ac:dyDescent="0.3">
      <c r="B29" s="38">
        <v>4.0999999999999996</v>
      </c>
      <c r="C29" s="38" t="e">
        <f>IF(G10="",NA(),G10)</f>
        <v>#N/A</v>
      </c>
      <c r="D29" s="38" t="e">
        <f t="shared" si="12"/>
        <v>#N/A</v>
      </c>
      <c r="E29" s="38"/>
      <c r="F29" s="38"/>
      <c r="G29" s="37">
        <v>4.5</v>
      </c>
      <c r="H29" s="37">
        <f>C$43</f>
        <v>0</v>
      </c>
      <c r="J29" s="3"/>
      <c r="K29" s="37">
        <v>4.0999999999999996</v>
      </c>
      <c r="L29" s="38" t="e">
        <f>IF(P10="",NA(),P10)</f>
        <v>#N/A</v>
      </c>
      <c r="M29" s="38" t="e">
        <f t="shared" si="13"/>
        <v>#N/A</v>
      </c>
      <c r="N29" s="38"/>
      <c r="O29" s="38"/>
      <c r="P29" s="37">
        <v>4.5</v>
      </c>
      <c r="Q29" s="37">
        <f>L$43</f>
        <v>0</v>
      </c>
      <c r="T29" s="78" t="e">
        <f t="shared" si="14"/>
        <v>#VALUE!</v>
      </c>
      <c r="U29" s="78" t="e">
        <f t="shared" si="15"/>
        <v>#VALUE!</v>
      </c>
      <c r="V29" s="78" t="e">
        <f t="shared" si="16"/>
        <v>#VALUE!</v>
      </c>
      <c r="W29" s="78" t="e">
        <f t="shared" si="17"/>
        <v>#VALUE!</v>
      </c>
      <c r="X29" s="52" t="e">
        <f t="shared" si="18"/>
        <v>#VALUE!</v>
      </c>
      <c r="Y29" s="52" t="e">
        <f t="shared" si="19"/>
        <v>#VALUE!</v>
      </c>
      <c r="Z29" s="52" t="e">
        <f t="shared" si="20"/>
        <v>#VALUE!</v>
      </c>
    </row>
    <row r="30" spans="2:26" ht="15" thickBot="1" x14ac:dyDescent="0.35">
      <c r="B30" s="38">
        <v>5.0999999999999996</v>
      </c>
      <c r="C30" s="38" t="e">
        <f>IF(H11="",NA(),H11)</f>
        <v>#N/A</v>
      </c>
      <c r="D30" s="38" t="e">
        <f t="shared" si="12"/>
        <v>#N/A</v>
      </c>
      <c r="E30" s="38"/>
      <c r="F30" s="38"/>
      <c r="G30" s="37">
        <v>4.5</v>
      </c>
      <c r="H30" s="37">
        <f>C$44</f>
        <v>0</v>
      </c>
      <c r="J30" s="3"/>
      <c r="K30" s="38">
        <v>5.0999999999999996</v>
      </c>
      <c r="L30" s="38" t="e">
        <f>IF(Q11="",NA(),Q11)</f>
        <v>#N/A</v>
      </c>
      <c r="M30" s="38" t="e">
        <f t="shared" si="13"/>
        <v>#N/A</v>
      </c>
      <c r="N30" s="38"/>
      <c r="O30" s="38"/>
      <c r="P30" s="38">
        <v>4.5</v>
      </c>
      <c r="Q30" s="37">
        <f>L$44</f>
        <v>0</v>
      </c>
      <c r="T30" s="80" t="e">
        <f t="shared" si="14"/>
        <v>#VALUE!</v>
      </c>
      <c r="U30" s="80" t="e">
        <f t="shared" si="15"/>
        <v>#VALUE!</v>
      </c>
      <c r="V30" s="80" t="e">
        <f t="shared" si="16"/>
        <v>#VALUE!</v>
      </c>
      <c r="W30" s="80" t="e">
        <f t="shared" si="17"/>
        <v>#VALUE!</v>
      </c>
      <c r="X30" s="81" t="e">
        <f t="shared" si="18"/>
        <v>#VALUE!</v>
      </c>
      <c r="Y30" s="81" t="e">
        <f t="shared" si="19"/>
        <v>#VALUE!</v>
      </c>
      <c r="Z30" s="81" t="e">
        <f t="shared" si="20"/>
        <v>#VALUE!</v>
      </c>
    </row>
    <row r="31" spans="2:26" ht="15" thickBot="1" x14ac:dyDescent="0.35">
      <c r="B31" s="38">
        <v>5.0999999999999996</v>
      </c>
      <c r="C31" s="38" t="e">
        <f>IF(D11="",NA(),D11)</f>
        <v>#N/A</v>
      </c>
      <c r="D31" s="38" t="e">
        <f t="shared" si="12"/>
        <v>#N/A</v>
      </c>
      <c r="E31" s="38"/>
      <c r="F31" s="38"/>
      <c r="G31" s="37">
        <v>5</v>
      </c>
      <c r="H31" s="37">
        <f>C$44</f>
        <v>0</v>
      </c>
      <c r="J31" s="3"/>
      <c r="K31" s="38">
        <v>5.0999999999999996</v>
      </c>
      <c r="L31" s="37" t="e">
        <f>IF(M11="",NA(),M11)</f>
        <v>#N/A</v>
      </c>
      <c r="M31" s="38" t="e">
        <f t="shared" si="13"/>
        <v>#N/A</v>
      </c>
      <c r="N31" s="38"/>
      <c r="O31" s="38"/>
      <c r="P31" s="38">
        <v>5</v>
      </c>
      <c r="Q31" s="37">
        <f>L$44</f>
        <v>0</v>
      </c>
    </row>
    <row r="32" spans="2:26" ht="15" thickBot="1" x14ac:dyDescent="0.35">
      <c r="B32" s="38">
        <v>5.0999999999999996</v>
      </c>
      <c r="C32" s="38" t="e">
        <f>IF(G11="",NA(),G11)</f>
        <v>#N/A</v>
      </c>
      <c r="D32" s="38" t="e">
        <f t="shared" si="12"/>
        <v>#N/A</v>
      </c>
      <c r="E32" s="38"/>
      <c r="F32" s="38"/>
      <c r="G32" s="38">
        <v>5.5</v>
      </c>
      <c r="H32" s="37">
        <f>C$44</f>
        <v>0</v>
      </c>
      <c r="K32" s="38">
        <v>5.0999999999999996</v>
      </c>
      <c r="L32" s="38" t="e">
        <f>IF(P11="",NA(),P11)</f>
        <v>#N/A</v>
      </c>
      <c r="M32" s="38" t="e">
        <f t="shared" si="13"/>
        <v>#N/A</v>
      </c>
      <c r="N32" s="38"/>
      <c r="O32" s="38"/>
      <c r="P32" s="38">
        <v>5.5</v>
      </c>
      <c r="Q32" s="37">
        <f>L$44</f>
        <v>0</v>
      </c>
      <c r="V32" s="63" t="s">
        <v>71</v>
      </c>
      <c r="W32" s="63" t="s">
        <v>72</v>
      </c>
      <c r="X32" s="63" t="s">
        <v>73</v>
      </c>
      <c r="Y32" s="63" t="s">
        <v>19</v>
      </c>
      <c r="Z32" s="63" t="s">
        <v>20</v>
      </c>
    </row>
    <row r="33" spans="2:26" ht="15.6" x14ac:dyDescent="0.3">
      <c r="B33" s="38">
        <v>6.1</v>
      </c>
      <c r="C33" s="38" t="e">
        <f>IF(H12="",NA(),H12)</f>
        <v>#N/A</v>
      </c>
      <c r="D33" s="38" t="e">
        <f t="shared" si="12"/>
        <v>#N/A</v>
      </c>
      <c r="E33" s="38"/>
      <c r="F33" s="38"/>
      <c r="G33" s="38">
        <v>5.5</v>
      </c>
      <c r="H33" s="37">
        <f>C$45</f>
        <v>0</v>
      </c>
      <c r="J33" s="4"/>
      <c r="K33" s="38">
        <v>6.1</v>
      </c>
      <c r="L33" s="38" t="e">
        <f>IF(Q12="",NA(),Q12)</f>
        <v>#N/A</v>
      </c>
      <c r="M33" s="38" t="e">
        <f t="shared" si="13"/>
        <v>#N/A</v>
      </c>
      <c r="N33" s="38"/>
      <c r="O33" s="38"/>
      <c r="P33" s="38">
        <v>5.5</v>
      </c>
      <c r="Q33" s="37">
        <f>L$45</f>
        <v>0</v>
      </c>
      <c r="V33" s="28" t="e">
        <f t="shared" ref="V33:V38" si="21">SQRT(V17)</f>
        <v>#VALUE!</v>
      </c>
      <c r="W33" s="28">
        <f t="shared" ref="W33:W38" si="22">NORMINV((1-$Q$4/100)/2,0,1)</f>
        <v>-1.9599639845400536</v>
      </c>
      <c r="X33" s="28">
        <f t="shared" ref="X33:X38" si="23">NORMINV(1-(1-$Q$4/100)/2,0,1)</f>
        <v>1.9599639845400536</v>
      </c>
      <c r="Y33" s="28" t="e">
        <f t="shared" ref="Y33:Y38" si="24">U17+W33*V33</f>
        <v>#VALUE!</v>
      </c>
      <c r="Z33" s="28" t="e">
        <f t="shared" ref="Z33:Z38" si="25">U17+X33*V33</f>
        <v>#VALUE!</v>
      </c>
    </row>
    <row r="34" spans="2:26" x14ac:dyDescent="0.3">
      <c r="B34" s="38">
        <v>6.1</v>
      </c>
      <c r="C34" s="38" t="e">
        <f>IF(D12="",NA(),D12)</f>
        <v>#N/A</v>
      </c>
      <c r="D34" s="38" t="e">
        <f t="shared" si="12"/>
        <v>#N/A</v>
      </c>
      <c r="E34" s="38"/>
      <c r="F34" s="38"/>
      <c r="G34" s="38">
        <v>6</v>
      </c>
      <c r="H34" s="38">
        <f>C$45</f>
        <v>0</v>
      </c>
      <c r="K34" s="38">
        <v>6.1</v>
      </c>
      <c r="L34" s="37" t="e">
        <f>IF(M12="",NA(),M12)</f>
        <v>#N/A</v>
      </c>
      <c r="M34" s="38" t="e">
        <f t="shared" si="13"/>
        <v>#N/A</v>
      </c>
      <c r="N34" s="38"/>
      <c r="O34" s="38"/>
      <c r="P34" s="38">
        <v>6</v>
      </c>
      <c r="Q34" s="37">
        <f>L$45</f>
        <v>0</v>
      </c>
      <c r="V34" s="28" t="e">
        <f t="shared" si="21"/>
        <v>#VALUE!</v>
      </c>
      <c r="W34" s="28">
        <f t="shared" si="22"/>
        <v>-1.9599639845400536</v>
      </c>
      <c r="X34" s="28">
        <f t="shared" si="23"/>
        <v>1.9599639845400536</v>
      </c>
      <c r="Y34" s="28" t="e">
        <f t="shared" si="24"/>
        <v>#VALUE!</v>
      </c>
      <c r="Z34" s="28" t="e">
        <f t="shared" si="25"/>
        <v>#VALUE!</v>
      </c>
    </row>
    <row r="35" spans="2:26" x14ac:dyDescent="0.3">
      <c r="B35" s="38">
        <v>6.1</v>
      </c>
      <c r="C35" s="38" t="e">
        <f>IF(G12="",NA(),G12)</f>
        <v>#N/A</v>
      </c>
      <c r="D35" s="38" t="e">
        <f t="shared" si="12"/>
        <v>#N/A</v>
      </c>
      <c r="E35" s="38"/>
      <c r="F35" s="38"/>
      <c r="G35" s="38">
        <v>6.5</v>
      </c>
      <c r="H35" s="38">
        <f>C$45</f>
        <v>0</v>
      </c>
      <c r="K35" s="38">
        <v>6.1</v>
      </c>
      <c r="L35" s="38" t="e">
        <f>IF(P12="",NA(),P12)</f>
        <v>#N/A</v>
      </c>
      <c r="M35" s="38" t="e">
        <f t="shared" si="13"/>
        <v>#N/A</v>
      </c>
      <c r="N35" s="38"/>
      <c r="O35" s="38"/>
      <c r="P35" s="38">
        <v>6.5</v>
      </c>
      <c r="Q35" s="37">
        <f>L$45</f>
        <v>0</v>
      </c>
      <c r="V35" s="28" t="e">
        <f t="shared" si="21"/>
        <v>#VALUE!</v>
      </c>
      <c r="W35" s="28">
        <f t="shared" si="22"/>
        <v>-1.9599639845400536</v>
      </c>
      <c r="X35" s="28">
        <f t="shared" si="23"/>
        <v>1.9599639845400536</v>
      </c>
      <c r="Y35" s="28" t="e">
        <f t="shared" si="24"/>
        <v>#VALUE!</v>
      </c>
      <c r="Z35" s="28" t="e">
        <f t="shared" si="25"/>
        <v>#VALUE!</v>
      </c>
    </row>
    <row r="36" spans="2:26" x14ac:dyDescent="0.3">
      <c r="B36" s="25"/>
      <c r="C36" s="25"/>
      <c r="D36" s="25"/>
      <c r="E36" s="25"/>
      <c r="F36" s="25"/>
      <c r="G36" s="25"/>
      <c r="H36" s="25"/>
      <c r="V36" s="28" t="e">
        <f t="shared" si="21"/>
        <v>#VALUE!</v>
      </c>
      <c r="W36" s="28">
        <f t="shared" si="22"/>
        <v>-1.9599639845400536</v>
      </c>
      <c r="X36" s="28">
        <f t="shared" si="23"/>
        <v>1.9599639845400536</v>
      </c>
      <c r="Y36" s="28" t="e">
        <f t="shared" si="24"/>
        <v>#VALUE!</v>
      </c>
      <c r="Z36" s="28" t="e">
        <f t="shared" si="25"/>
        <v>#VALUE!</v>
      </c>
    </row>
    <row r="37" spans="2:26" ht="15.6" x14ac:dyDescent="0.3">
      <c r="B37" s="46" t="s">
        <v>111</v>
      </c>
      <c r="C37"/>
      <c r="D37"/>
      <c r="E37"/>
      <c r="F37"/>
      <c r="G37"/>
      <c r="H37"/>
      <c r="J37" s="3"/>
      <c r="K37" s="46" t="s">
        <v>116</v>
      </c>
      <c r="L37" s="3"/>
      <c r="M37" s="3"/>
      <c r="N37" s="3"/>
      <c r="O37" s="3"/>
      <c r="P37" s="3"/>
      <c r="Q37" s="3"/>
      <c r="V37" s="28" t="e">
        <f t="shared" si="21"/>
        <v>#VALUE!</v>
      </c>
      <c r="W37" s="28">
        <f t="shared" si="22"/>
        <v>-1.9599639845400536</v>
      </c>
      <c r="X37" s="28">
        <f t="shared" si="23"/>
        <v>1.9599639845400536</v>
      </c>
      <c r="Y37" s="28" t="e">
        <f t="shared" si="24"/>
        <v>#VALUE!</v>
      </c>
      <c r="Z37" s="28" t="e">
        <f t="shared" si="25"/>
        <v>#VALUE!</v>
      </c>
    </row>
    <row r="38" spans="2:26" ht="15" thickBot="1" x14ac:dyDescent="0.35">
      <c r="B38"/>
      <c r="C38"/>
      <c r="D38"/>
      <c r="E38"/>
      <c r="F38"/>
      <c r="G38"/>
      <c r="H38"/>
      <c r="J38" s="3"/>
      <c r="K38" s="3"/>
      <c r="L38" s="3"/>
      <c r="M38" s="3"/>
      <c r="N38" s="3"/>
      <c r="O38" s="3"/>
      <c r="P38" s="3"/>
      <c r="Q38" s="3"/>
      <c r="V38" s="28" t="e">
        <f t="shared" si="21"/>
        <v>#VALUE!</v>
      </c>
      <c r="W38" s="28">
        <f t="shared" si="22"/>
        <v>-1.9599639845400536</v>
      </c>
      <c r="X38" s="28">
        <f t="shared" si="23"/>
        <v>1.9599639845400536</v>
      </c>
      <c r="Y38" s="28" t="e">
        <f t="shared" si="24"/>
        <v>#VALUE!</v>
      </c>
      <c r="Z38" s="28" t="e">
        <f t="shared" si="25"/>
        <v>#VALUE!</v>
      </c>
    </row>
    <row r="39" spans="2:26" ht="15" thickBot="1" x14ac:dyDescent="0.35">
      <c r="B39" s="48" t="s">
        <v>63</v>
      </c>
      <c r="C39" s="54" t="s">
        <v>34</v>
      </c>
      <c r="D39" s="54" t="s">
        <v>50</v>
      </c>
      <c r="E39" s="54" t="s">
        <v>78</v>
      </c>
      <c r="F39" s="63" t="s">
        <v>9</v>
      </c>
      <c r="G39" s="48" t="s">
        <v>2</v>
      </c>
      <c r="H39" s="63" t="s">
        <v>49</v>
      </c>
      <c r="J39" s="3"/>
      <c r="K39" s="48" t="s">
        <v>63</v>
      </c>
      <c r="L39" s="48" t="s">
        <v>37</v>
      </c>
      <c r="M39" s="3"/>
      <c r="N39" s="3"/>
      <c r="O39" s="3"/>
      <c r="P39" s="3"/>
      <c r="Q39" s="3"/>
      <c r="V39" s="9"/>
      <c r="W39" s="9"/>
      <c r="X39" s="9"/>
      <c r="Y39" s="9"/>
      <c r="Z39" s="9"/>
    </row>
    <row r="40" spans="2:26" x14ac:dyDescent="0.3">
      <c r="B40" s="19" t="str">
        <f t="shared" ref="B40:B45" si="26">B7</f>
        <v/>
      </c>
      <c r="C40" s="14"/>
      <c r="D40" s="20" t="str">
        <f t="shared" ref="D40:D45" si="27">IFERROR(D7-C40,"")</f>
        <v/>
      </c>
      <c r="E40" s="20" t="str">
        <f t="shared" ref="E40:E45" si="28">F7</f>
        <v/>
      </c>
      <c r="F40" s="27" t="str">
        <f t="shared" ref="F40:F45" si="29">IFERROR(D40/E40,"")</f>
        <v/>
      </c>
      <c r="G40" s="42" t="str">
        <f>IF(B40="","",Data!V7-1)</f>
        <v/>
      </c>
      <c r="H40" s="20" t="str">
        <f t="shared" ref="H40:H45" si="30">IFERROR(IF(TDIST(ABS(F40),G40,2)&lt;0.001,"&lt; 0.001",TDIST(ABS(F40),G40,2)),"")</f>
        <v/>
      </c>
      <c r="J40" s="3"/>
      <c r="K40" s="19" t="str">
        <f t="shared" ref="K40:K45" si="31">K7</f>
        <v/>
      </c>
      <c r="L40" s="14"/>
      <c r="M40" s="3"/>
      <c r="N40" s="3"/>
      <c r="O40" s="3"/>
      <c r="P40" s="3"/>
      <c r="Q40" s="3"/>
    </row>
    <row r="41" spans="2:26" x14ac:dyDescent="0.3">
      <c r="B41" s="21" t="str">
        <f t="shared" si="26"/>
        <v/>
      </c>
      <c r="C41" s="15"/>
      <c r="D41" s="22" t="str">
        <f t="shared" si="27"/>
        <v/>
      </c>
      <c r="E41" s="22" t="str">
        <f t="shared" si="28"/>
        <v/>
      </c>
      <c r="F41" s="29" t="str">
        <f t="shared" si="29"/>
        <v/>
      </c>
      <c r="G41" s="43" t="str">
        <f>IF(B41="","",Data!V7-1)</f>
        <v/>
      </c>
      <c r="H41" s="22" t="str">
        <f t="shared" si="30"/>
        <v/>
      </c>
      <c r="J41" s="3"/>
      <c r="K41" s="21" t="str">
        <f t="shared" si="31"/>
        <v/>
      </c>
      <c r="L41" s="15"/>
      <c r="M41" s="3"/>
      <c r="N41" s="3"/>
      <c r="O41" s="3"/>
      <c r="P41" s="3"/>
      <c r="Q41" s="3"/>
    </row>
    <row r="42" spans="2:26" x14ac:dyDescent="0.3">
      <c r="B42" s="21" t="str">
        <f t="shared" si="26"/>
        <v/>
      </c>
      <c r="C42" s="15"/>
      <c r="D42" s="22" t="str">
        <f t="shared" si="27"/>
        <v/>
      </c>
      <c r="E42" s="22" t="str">
        <f t="shared" si="28"/>
        <v/>
      </c>
      <c r="F42" s="29" t="str">
        <f t="shared" si="29"/>
        <v/>
      </c>
      <c r="G42" s="43" t="str">
        <f>IF(B42="","",Data!V8-1)</f>
        <v/>
      </c>
      <c r="H42" s="22" t="str">
        <f t="shared" si="30"/>
        <v/>
      </c>
      <c r="J42" s="3"/>
      <c r="K42" s="21" t="str">
        <f t="shared" si="31"/>
        <v/>
      </c>
      <c r="L42" s="15"/>
      <c r="M42" s="3"/>
      <c r="N42" s="3"/>
      <c r="O42" s="3"/>
      <c r="P42" s="3"/>
      <c r="Q42" s="3"/>
    </row>
    <row r="43" spans="2:26" x14ac:dyDescent="0.3">
      <c r="B43" s="21" t="str">
        <f t="shared" si="26"/>
        <v/>
      </c>
      <c r="C43" s="15"/>
      <c r="D43" s="22" t="str">
        <f t="shared" si="27"/>
        <v/>
      </c>
      <c r="E43" s="22" t="str">
        <f t="shared" si="28"/>
        <v/>
      </c>
      <c r="F43" s="29" t="str">
        <f t="shared" si="29"/>
        <v/>
      </c>
      <c r="G43" s="43" t="str">
        <f>IF(B43="","",Data!V7-1)</f>
        <v/>
      </c>
      <c r="H43" s="22" t="str">
        <f t="shared" si="30"/>
        <v/>
      </c>
      <c r="J43" s="3"/>
      <c r="K43" s="21" t="str">
        <f t="shared" si="31"/>
        <v/>
      </c>
      <c r="L43" s="15"/>
      <c r="M43" s="3"/>
      <c r="N43" s="3"/>
      <c r="O43" s="3"/>
      <c r="P43" s="3"/>
      <c r="Q43" s="3"/>
    </row>
    <row r="44" spans="2:26" x14ac:dyDescent="0.3">
      <c r="B44" s="21" t="str">
        <f t="shared" si="26"/>
        <v/>
      </c>
      <c r="C44" s="15"/>
      <c r="D44" s="22" t="str">
        <f t="shared" si="27"/>
        <v/>
      </c>
      <c r="E44" s="22" t="str">
        <f t="shared" si="28"/>
        <v/>
      </c>
      <c r="F44" s="29" t="str">
        <f t="shared" si="29"/>
        <v/>
      </c>
      <c r="G44" s="43" t="str">
        <f>IF(B44="","",Data!V7-1)</f>
        <v/>
      </c>
      <c r="H44" s="22" t="str">
        <f t="shared" si="30"/>
        <v/>
      </c>
      <c r="J44" s="3"/>
      <c r="K44" s="21" t="str">
        <f t="shared" si="31"/>
        <v/>
      </c>
      <c r="L44" s="15"/>
      <c r="M44" s="3"/>
      <c r="N44" s="3"/>
      <c r="O44" s="3"/>
      <c r="P44" s="3"/>
      <c r="Q44" s="3"/>
    </row>
    <row r="45" spans="2:26" ht="15" thickBot="1" x14ac:dyDescent="0.35">
      <c r="B45" s="23" t="str">
        <f t="shared" si="26"/>
        <v/>
      </c>
      <c r="C45" s="16"/>
      <c r="D45" s="24" t="str">
        <f t="shared" si="27"/>
        <v/>
      </c>
      <c r="E45" s="24" t="str">
        <f t="shared" si="28"/>
        <v/>
      </c>
      <c r="F45" s="30" t="str">
        <f t="shared" si="29"/>
        <v/>
      </c>
      <c r="G45" s="44" t="str">
        <f>IF(B45="","",Data!V7-1)</f>
        <v/>
      </c>
      <c r="H45" s="24" t="str">
        <f t="shared" si="30"/>
        <v/>
      </c>
      <c r="J45" s="3"/>
      <c r="K45" s="23" t="str">
        <f t="shared" si="31"/>
        <v/>
      </c>
      <c r="L45" s="16"/>
      <c r="M45" s="3"/>
      <c r="N45" s="3"/>
      <c r="O45" s="3"/>
      <c r="P45" s="3"/>
      <c r="Q45" s="3"/>
    </row>
    <row r="46" spans="2:26" x14ac:dyDescent="0.3">
      <c r="B46" s="9"/>
      <c r="C46" s="2"/>
      <c r="D46" s="9"/>
      <c r="E46"/>
      <c r="F46"/>
      <c r="G46"/>
      <c r="H46"/>
      <c r="J46" s="3"/>
      <c r="K46" s="9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2023-03-12T21:37:20Z</dcterms:modified>
</cp:coreProperties>
</file>