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EASE/"/>
    </mc:Choice>
  </mc:AlternateContent>
  <xr:revisionPtr revIDLastSave="6" documentId="114_{CE61D80A-BA31-4BF1-990D-DB3B174EDD9A}" xr6:coauthVersionLast="47" xr6:coauthVersionMax="47" xr10:uidLastSave="{A041AE09-A0C6-431E-B6C8-C954C3166AFC}"/>
  <bookViews>
    <workbookView xWindow="-108" yWindow="-108" windowWidth="23256" windowHeight="1257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<sst xmlns="http://schemas.openxmlformats.org/spreadsheetml/2006/main" count="336" uniqueCount="139">
  <si>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</si>
  <si>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</si>
  <si>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</si>
  <si>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</si>
  <si>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</si>
  <si>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</si>
  <si>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</si>
  <si>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</si>
  <si>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</si>
  <si>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</si>
  <si>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</si>
  <si>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</si>
  <si>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</si>
  <si>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</si>
  <si>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</si>
  <si>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</si>
  <si>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</si>
  <si>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</si>
  <si>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</si>
  <si>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</si>
  <si>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</si>
  <si>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</si>
  <si>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</si>
  <si>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</si>
  <si>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</si>
  <si>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</si>
  <si>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</si>
  <si>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</si>
  <si>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</si>
  <si>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</si>
  <si>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</si>
  <si>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</si>
  <si>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</si>
  <si>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</si>
  <si>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</si>
  <si>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</si>
  <si>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</si>
  <si>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</si>
  <si>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</si>
  <si>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</si>
  <si>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</si>
  <si>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</si>
  <si>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</si>
  <si>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</si>
  <si>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</si>
  <si>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</si>
  <si>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</si>
  <si>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</si>
  <si>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</si>
  <si>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</si>
  <si>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</si>
  <si>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</si>
  <si>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</si>
  <si>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</si>
  <si>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</si>
  <si>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</si>
  <si>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</si>
  <si>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</si>
  <si>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</si>
  <si>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</si>
  <si>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</si>
  <si>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</si>
  <si>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</si>
  <si>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</si>
  <si>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</si>
  <si>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</si>
  <si>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</si>
  <si>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</si>
  <si>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</si>
  <si>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</si>
  <si>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</si>
  <si>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</si>
  <si>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</si>
  <si>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</si>
  <si>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</si>
  <si>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</si>
  <si>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</si>
  <si>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</si>
  <si>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</si>
  <si>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</si>
  <si>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</si>
  <si>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</si>
  <si>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</si>
  <si>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</si>
  <si>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</si>
  <si>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</si>
  <si>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</si>
  <si>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</si>
  <si>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</si>
  <si>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</si>
  <si>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</si>
  <si>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</si>
  <si>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</si>
  <si>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</si>
  <si>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</si>
  <si>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</si>
  <si>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</si>
  <si>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</si>
  <si>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</si>
  <si>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</si>
  <si>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</si>
  <si>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</si>
  <si>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</si>
  <si>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</si>
  <si>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</si>
  <si>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</si>
  <si>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</si>
  <si>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</si>
  <si>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</si>
  <si>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</si>
  <si>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</si>
  <si>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</si>
  <si>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</si>
  <si>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</si>
  <si>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</si>
  <si>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</si>
  <si>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</si>
  <si>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</si>
  <si>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</si>
  <si>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</si>
  <si>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</si>
  <si>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</si>
  <si>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Data from Donohue (2002)</t>
  </si>
  <si>
    <t>A</t>
  </si>
  <si>
    <t>B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</si>
  <si>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</si>
  <si>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</si>
  <si>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</si>
  <si>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</si>
  <si>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</si>
  <si>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</si>
  <si>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</si>
  <si>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</si>
  <si>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</si>
  <si>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</si>
  <si>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</si>
  <si>
    <t>This is the summary data from Donohue (2002) as used in Chap. 14 of Cumming and Calin-Jageman (2016) to demonstrate Repeated-Measures designs.</t>
  </si>
  <si>
    <t>http://cwendorf.github.io</t>
  </si>
  <si>
    <t>Wendorf, C. A. (2020).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</si>
</sst>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3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5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hidden="1"/>
    </xf>
    <xf numFmtId="0" fontId="16" fillId="0" borderId="0" xfId="0" applyFont="1" applyProtection="1">
      <protection hidden="1"/>
    </xf>
    <xf numFmtId="164" fontId="8" fillId="0" borderId="0" xfId="0" applyNumberFormat="1" applyFont="1"/>
    <xf numFmtId="164" fontId="9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/>
    <xf numFmtId="166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25.560354500034347</c:v>
                </c:pt>
                <c:pt idx="1">
                  <c:v>23.4</c:v>
                </c:pt>
                <c:pt idx="2">
                  <c:v>21.239645499965651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-0.113821138211382</c:v>
                </c:pt>
                <c:pt idx="1">
                  <c:v>0.72574548509029846</c:v>
                </c:pt>
                <c:pt idx="2">
                  <c:v>0</c:v>
                </c:pt>
                <c:pt idx="3">
                  <c:v>0.70710571923743482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1.2251744196493937</c:v>
                </c:pt>
                <c:pt idx="1">
                  <c:v>0.70710571923743482</c:v>
                </c:pt>
                <c:pt idx="2">
                  <c:v>0.23285389386374797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CF76B5-6A48-47D2-8860-44D02553D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A677D42-48D6-4A80-BF33-3EC756228D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FEC0D4-7CC1-4DD0-A379-BAE9241D4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2D2E12-1CA5-4E74-B80E-B489DA7C32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03CB500-B806-439A-B3DB-CFF96FFE1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4FD05504-761B-4219-869F-963C5D7C6D12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1C6725-FB5D-4B51-BD5B-D98F2D496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21.855402368824418</c:v>
                </c:pt>
                <c:pt idx="1">
                  <c:v>19.3</c:v>
                </c:pt>
                <c:pt idx="2">
                  <c:v>16.744597631175584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-0.113821138211382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03BE52-FFA6-4496-A3AE-C64B9388D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9019EF-8AF6-4FD6-9A56-33DE04AE5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C41CA0-A356-479C-A9E7-85115DB4B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144704-74D8-41F4-9BD6-B0BE72E9B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50E63E-5412-441E-821F-7F06D4BAC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CA01C13-5016-495A-9138-97F3CC719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1.7257454850902985</c:v>
                </c:pt>
                <c:pt idx="4">
                  <c:v>1.2257454850902985</c:v>
                </c:pt>
                <c:pt idx="5">
                  <c:v>0.72574548509029846</c:v>
                </c:pt>
                <c:pt idx="6">
                  <c:v>0.22574548509029846</c:v>
                </c:pt>
                <c:pt idx="7">
                  <c:v>-0.27425451490970154</c:v>
                </c:pt>
                <c:pt idx="8">
                  <c:v>-0.77425451490970154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0.72574548509029846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-0.113821138211382</c:v>
                </c:pt>
                <c:pt idx="1">
                  <c:v>-0.113821138211382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50DE2A6-D7E3-4D1E-8863-F43EE482F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F11A37D5-D517-4029-BCA2-4DB50D6E0373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CC93F0-B0F9-4E6C-AC57-D8686DB4B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0.38249477920722225</c:v>
                </c:pt>
                <c:pt idx="1">
                  <c:v>-0.113821138211382</c:v>
                </c:pt>
                <c:pt idx="2">
                  <c:v>-0.62532353292022624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-1.7445976311755844</c:v>
                </c:pt>
                <c:pt idx="1">
                  <c:v>-4.3000000000000007</c:v>
                </c:pt>
                <c:pt idx="2">
                  <c:v>-6.855402368824417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-1.6703965368936373</c:v>
                </c:pt>
                <c:pt idx="1">
                  <c:v>-4.0999999999999979</c:v>
                </c:pt>
                <c:pt idx="2">
                  <c:v>-6.5296034631063584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1.7746269057832165</c:v>
                </c:pt>
                <c:pt idx="1">
                  <c:v>0.20000000000000284</c:v>
                </c:pt>
                <c:pt idx="2">
                  <c:v>-1.3746269057832108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-0.76964939148327915</c:v>
                </c:pt>
                <c:pt idx="1">
                  <c:v>0</c:v>
                </c:pt>
                <c:pt idx="2">
                  <c:v>0</c:v>
                </c:pt>
                <c:pt idx="3">
                  <c:v>-0.74274284032493221</c:v>
                </c:pt>
                <c:pt idx="4">
                  <c:v>4.0941935672069239E-2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-0.2733334740646749</c:v>
                </c:pt>
                <c:pt idx="1">
                  <c:v>-0.76964939148327915</c:v>
                </c:pt>
                <c:pt idx="2">
                  <c:v>-1.2811517861921233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-0.27520343190880298</c:v>
                </c:pt>
                <c:pt idx="1">
                  <c:v>-0.74274284032493221</c:v>
                </c:pt>
                <c:pt idx="2">
                  <c:v>-1.2837240193073953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0.49733092655662292</c:v>
                </c:pt>
                <c:pt idx="1">
                  <c:v>4.0941935672069239E-2</c:v>
                </c:pt>
                <c:pt idx="2">
                  <c:v>-0.37999533329460128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31" sqref="K31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22" t="s">
        <v>119</v>
      </c>
      <c r="C2" s="122"/>
      <c r="D2" s="122"/>
      <c r="E2" s="122"/>
      <c r="F2" s="122"/>
      <c r="G2" s="122"/>
      <c r="H2" s="122"/>
      <c r="I2" s="85"/>
      <c r="J2" s="85"/>
      <c r="K2" s="123" t="s">
        <v>79</v>
      </c>
      <c r="L2" s="123"/>
      <c r="M2" s="123"/>
      <c r="N2" s="123"/>
      <c r="O2" s="123"/>
      <c r="P2" s="123"/>
      <c r="Q2" s="123"/>
    </row>
    <row r="3" spans="2:17" ht="18" customHeight="1" x14ac:dyDescent="0.35">
      <c r="B3" s="124" t="s">
        <v>61</v>
      </c>
      <c r="C3" s="124"/>
      <c r="D3" s="124"/>
      <c r="E3" s="124"/>
      <c r="F3" s="124"/>
      <c r="G3" s="124"/>
      <c r="H3" s="124"/>
      <c r="I3" s="87"/>
      <c r="J3" s="87"/>
      <c r="K3" s="124" t="s">
        <v>134</v>
      </c>
      <c r="L3" s="124"/>
      <c r="M3" s="124"/>
      <c r="N3" s="124"/>
      <c r="O3" s="124"/>
      <c r="P3" s="124"/>
      <c r="Q3" s="124"/>
    </row>
    <row r="4" spans="2:17" s="87" customFormat="1" ht="18" customHeight="1" x14ac:dyDescent="0.35">
      <c r="B4" s="124" t="s">
        <v>120</v>
      </c>
      <c r="C4" s="124"/>
      <c r="D4" s="124"/>
      <c r="E4" s="124"/>
      <c r="F4" s="124"/>
      <c r="G4" s="124"/>
      <c r="H4" s="124"/>
      <c r="K4" s="125" t="s">
        <v>135</v>
      </c>
      <c r="L4" s="124"/>
      <c r="M4" s="124"/>
      <c r="N4" s="124"/>
      <c r="O4" s="124"/>
      <c r="P4" s="124"/>
      <c r="Q4" s="124"/>
    </row>
    <row r="6" spans="2:17" ht="15" customHeight="1" x14ac:dyDescent="0.3">
      <c r="B6" s="6" t="s">
        <v>80</v>
      </c>
      <c r="K6" s="6" t="s">
        <v>81</v>
      </c>
    </row>
    <row r="8" spans="2:17" ht="15" customHeight="1" x14ac:dyDescent="0.3">
      <c r="B8" s="3" t="s">
        <v>95</v>
      </c>
      <c r="K8" s="3" t="s">
        <v>22</v>
      </c>
    </row>
    <row r="9" spans="2:17" ht="15" customHeight="1" x14ac:dyDescent="0.3">
      <c r="B9" s="3" t="s">
        <v>96</v>
      </c>
      <c r="K9" s="3" t="s">
        <v>30</v>
      </c>
    </row>
    <row r="10" spans="2:17" ht="15" customHeight="1" x14ac:dyDescent="0.3">
      <c r="B10" s="3" t="s">
        <v>109</v>
      </c>
      <c r="K10" s="3" t="s">
        <v>29</v>
      </c>
    </row>
    <row r="11" spans="2:17" ht="15" customHeight="1" x14ac:dyDescent="0.3">
      <c r="B11" s="3" t="s">
        <v>110</v>
      </c>
    </row>
    <row r="13" spans="2:17" ht="15" customHeight="1" x14ac:dyDescent="0.3">
      <c r="B13" s="6" t="s">
        <v>82</v>
      </c>
      <c r="K13" s="6" t="s">
        <v>83</v>
      </c>
    </row>
    <row r="14" spans="2:17" ht="15" customHeight="1" x14ac:dyDescent="0.3">
      <c r="K14"/>
    </row>
    <row r="15" spans="2:17" ht="15" customHeight="1" x14ac:dyDescent="0.3">
      <c r="B15" s="3" t="s">
        <v>62</v>
      </c>
      <c r="K15" t="s">
        <v>98</v>
      </c>
    </row>
    <row r="16" spans="2:17" ht="15" customHeight="1" x14ac:dyDescent="0.3">
      <c r="B16" s="3" t="s">
        <v>121</v>
      </c>
      <c r="K16" t="s">
        <v>42</v>
      </c>
    </row>
    <row r="17" spans="2:17" ht="15" customHeight="1" x14ac:dyDescent="0.3">
      <c r="B17" s="3" t="s">
        <v>93</v>
      </c>
      <c r="K17" t="s">
        <v>84</v>
      </c>
    </row>
    <row r="18" spans="2:17" ht="15" customHeight="1" x14ac:dyDescent="0.3">
      <c r="B18" s="3" t="s">
        <v>94</v>
      </c>
      <c r="K18" s="86" t="s">
        <v>97</v>
      </c>
    </row>
    <row r="20" spans="2:17" ht="15" customHeight="1" x14ac:dyDescent="0.3">
      <c r="B20" s="6" t="s">
        <v>85</v>
      </c>
      <c r="K20" s="6" t="s">
        <v>4</v>
      </c>
    </row>
    <row r="22" spans="2:17" ht="15" customHeight="1" x14ac:dyDescent="0.3">
      <c r="B22" s="3" t="s">
        <v>86</v>
      </c>
      <c r="C22" s="3" t="s">
        <v>7</v>
      </c>
      <c r="K22" s="3" t="s">
        <v>66</v>
      </c>
      <c r="L22"/>
      <c r="M22"/>
      <c r="N22"/>
      <c r="O22"/>
      <c r="P22"/>
      <c r="Q22"/>
    </row>
    <row r="23" spans="2:17" ht="15" customHeight="1" x14ac:dyDescent="0.3">
      <c r="B23" s="3" t="s">
        <v>87</v>
      </c>
      <c r="C23" s="3" t="s">
        <v>38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88</v>
      </c>
      <c r="C24" s="3" t="s">
        <v>39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118</v>
      </c>
      <c r="C25" s="3" t="s">
        <v>105</v>
      </c>
      <c r="K25" s="119" t="s">
        <v>131</v>
      </c>
      <c r="L25"/>
      <c r="M25"/>
      <c r="N25"/>
      <c r="O25"/>
      <c r="P25"/>
      <c r="Q25"/>
    </row>
    <row r="26" spans="2:17" ht="15" customHeight="1" x14ac:dyDescent="0.3">
      <c r="B26" s="3" t="s">
        <v>89</v>
      </c>
      <c r="C26" s="3" t="s">
        <v>8</v>
      </c>
      <c r="K26" s="119" t="s">
        <v>137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6" t="s">
        <v>115</v>
      </c>
      <c r="K28" s="6" t="s">
        <v>132</v>
      </c>
      <c r="L28"/>
      <c r="M28"/>
      <c r="N28"/>
      <c r="O28"/>
      <c r="P28"/>
      <c r="Q28"/>
    </row>
    <row r="29" spans="2:17" ht="15" customHeight="1" x14ac:dyDescent="0.3">
      <c r="B29" s="23"/>
      <c r="L29"/>
      <c r="M29"/>
      <c r="N29"/>
      <c r="O29"/>
      <c r="P29"/>
      <c r="Q29"/>
    </row>
    <row r="30" spans="2:17" ht="15" customHeight="1" x14ac:dyDescent="0.3">
      <c r="B30" s="23" t="s">
        <v>90</v>
      </c>
      <c r="K30" s="3" t="s">
        <v>138</v>
      </c>
      <c r="L30"/>
      <c r="M30"/>
      <c r="N30"/>
      <c r="O30"/>
      <c r="P30"/>
      <c r="Q30"/>
    </row>
    <row r="31" spans="2:17" ht="15" customHeight="1" x14ac:dyDescent="0.3">
      <c r="B31" s="23" t="s">
        <v>91</v>
      </c>
      <c r="K31" s="3" t="s">
        <v>133</v>
      </c>
      <c r="L31"/>
      <c r="M31"/>
      <c r="N31"/>
      <c r="O31"/>
      <c r="P31"/>
      <c r="Q31"/>
    </row>
    <row r="32" spans="2:17" ht="15" customHeight="1" x14ac:dyDescent="0.3">
      <c r="B32" s="23" t="s">
        <v>92</v>
      </c>
      <c r="K32" s="3" t="s">
        <v>135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9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B22" sqref="B22:C22"/>
    </sheetView>
  </sheetViews>
  <sheetFormatPr defaultColWidth="11.109375" defaultRowHeight="14.4" x14ac:dyDescent="0.3"/>
  <cols>
    <col min="1" max="1" width="4.5546875" customWidth="1"/>
    <col min="6" max="6" width="11.109375" style="11"/>
    <col min="9" max="10" width="4.5546875" customWidth="1"/>
    <col min="11" max="15" width="11.109375" style="116"/>
    <col min="16" max="16" width="11.109375" style="39"/>
    <col min="18" max="18" width="4.5546875" customWidth="1"/>
    <col min="19" max="19" width="4.5546875" hidden="1" customWidth="1"/>
    <col min="20" max="26" width="11.109375" hidden="1" customWidth="1"/>
    <col min="27" max="27" width="5.5546875" hidden="1" customWidth="1"/>
    <col min="28" max="28" width="0" hidden="1" customWidth="1"/>
  </cols>
  <sheetData>
    <row r="1" spans="2:28" x14ac:dyDescent="0.3">
      <c r="F1"/>
      <c r="K1" s="11"/>
      <c r="L1"/>
      <c r="M1"/>
      <c r="N1"/>
      <c r="O1"/>
    </row>
    <row r="2" spans="2:28" ht="15" customHeight="1" x14ac:dyDescent="0.3">
      <c r="B2" s="130" t="s">
        <v>28</v>
      </c>
      <c r="C2" s="130"/>
      <c r="D2" s="130"/>
      <c r="E2" s="130"/>
      <c r="F2" s="130"/>
      <c r="G2" s="130"/>
      <c r="H2" s="130"/>
      <c r="K2" s="130" t="s">
        <v>117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2:28" ht="18" x14ac:dyDescent="0.35">
      <c r="E3" s="1"/>
      <c r="K3"/>
      <c r="L3"/>
      <c r="M3"/>
      <c r="N3"/>
      <c r="O3"/>
    </row>
    <row r="4" spans="2:28" ht="15.6" x14ac:dyDescent="0.3">
      <c r="B4" s="6" t="s">
        <v>28</v>
      </c>
      <c r="F4"/>
      <c r="K4" s="45" t="s">
        <v>53</v>
      </c>
      <c r="L4"/>
      <c r="M4"/>
      <c r="N4"/>
      <c r="O4"/>
      <c r="P4"/>
      <c r="T4" s="45" t="s">
        <v>53</v>
      </c>
    </row>
    <row r="5" spans="2:28" ht="15" thickBot="1" x14ac:dyDescent="0.35">
      <c r="K5"/>
      <c r="L5"/>
      <c r="M5"/>
      <c r="N5"/>
      <c r="O5"/>
      <c r="P5"/>
    </row>
    <row r="6" spans="2:28" ht="15" thickBot="1" x14ac:dyDescent="0.35">
      <c r="B6" s="129" t="s">
        <v>26</v>
      </c>
      <c r="C6" s="129"/>
      <c r="D6" s="129"/>
      <c r="E6" s="129"/>
      <c r="F6" s="129"/>
      <c r="G6" s="129"/>
      <c r="H6" s="129"/>
      <c r="K6" s="65" t="s">
        <v>54</v>
      </c>
      <c r="L6" s="52"/>
      <c r="M6" s="65" t="s">
        <v>60</v>
      </c>
      <c r="N6" s="65" t="s">
        <v>111</v>
      </c>
      <c r="O6" s="65" t="s">
        <v>1</v>
      </c>
      <c r="P6" s="65" t="s">
        <v>11</v>
      </c>
      <c r="Q6" s="65" t="s">
        <v>68</v>
      </c>
      <c r="T6" s="65" t="s">
        <v>54</v>
      </c>
      <c r="U6" s="65" t="s">
        <v>60</v>
      </c>
      <c r="V6" s="65" t="s">
        <v>1</v>
      </c>
      <c r="W6" s="65" t="s">
        <v>11</v>
      </c>
      <c r="X6" s="65" t="s">
        <v>68</v>
      </c>
      <c r="Y6" s="65" t="s">
        <v>2</v>
      </c>
      <c r="Z6" s="65" t="s">
        <v>75</v>
      </c>
      <c r="AA6" s="109" t="s">
        <v>116</v>
      </c>
    </row>
    <row r="7" spans="2:28" x14ac:dyDescent="0.3">
      <c r="B7" s="135" t="s">
        <v>122</v>
      </c>
      <c r="C7" s="135"/>
      <c r="D7" s="135"/>
      <c r="E7" s="135"/>
      <c r="F7" s="135"/>
      <c r="G7" s="135"/>
      <c r="H7" s="135"/>
      <c r="K7" s="54" t="str">
        <f>IF($B$22="","",$B$22)</f>
        <v>Pretest</v>
      </c>
      <c r="L7" s="53"/>
      <c r="M7" s="54">
        <v>1</v>
      </c>
      <c r="N7" s="110" t="s">
        <v>123</v>
      </c>
      <c r="O7" s="110">
        <v>20</v>
      </c>
      <c r="P7" s="91">
        <v>19.3</v>
      </c>
      <c r="Q7" s="91">
        <v>5.9039999999999999</v>
      </c>
      <c r="T7" s="54" t="str">
        <f>IF($B$22="","",$B$22)</f>
        <v>Pretest</v>
      </c>
      <c r="U7" s="54">
        <v>1</v>
      </c>
      <c r="V7" s="111">
        <f t="shared" ref="V7:X11" si="0">IF(O7="","",O7)</f>
        <v>20</v>
      </c>
      <c r="W7" s="63">
        <f t="shared" si="0"/>
        <v>19.3</v>
      </c>
      <c r="X7" s="63">
        <f t="shared" si="0"/>
        <v>5.9039999999999999</v>
      </c>
      <c r="Y7" s="17">
        <f>IFERROR(V7-1,"")</f>
        <v>19</v>
      </c>
      <c r="Z7" s="26">
        <f>IFERROR(X7/SQRT(V7),"")</f>
        <v>1.3201745339158757</v>
      </c>
      <c r="AA7">
        <f>IFERROR(X7^2*(V7-1),"")</f>
        <v>662.287104</v>
      </c>
    </row>
    <row r="8" spans="2:28" ht="15" thickBot="1" x14ac:dyDescent="0.35">
      <c r="B8" s="136"/>
      <c r="C8" s="136"/>
      <c r="D8" s="136"/>
      <c r="E8" s="136"/>
      <c r="F8" s="136"/>
      <c r="G8" s="136"/>
      <c r="H8" s="136"/>
      <c r="K8" s="56" t="str">
        <f>IF($B$23="","",$B$23)</f>
        <v>Posttest</v>
      </c>
      <c r="L8" s="55"/>
      <c r="M8" s="56">
        <v>2</v>
      </c>
      <c r="N8" s="112" t="s">
        <v>123</v>
      </c>
      <c r="O8" s="112">
        <v>20</v>
      </c>
      <c r="P8" s="92">
        <v>23.6</v>
      </c>
      <c r="Q8" s="92">
        <v>4.7619999999999996</v>
      </c>
      <c r="T8" s="56" t="str">
        <f>IF($B$23="","",$B$23)</f>
        <v>Posttest</v>
      </c>
      <c r="U8" s="56">
        <v>2</v>
      </c>
      <c r="V8" s="113">
        <f t="shared" si="0"/>
        <v>20</v>
      </c>
      <c r="W8" s="64">
        <f t="shared" si="0"/>
        <v>23.6</v>
      </c>
      <c r="X8" s="64">
        <f t="shared" si="0"/>
        <v>4.7619999999999996</v>
      </c>
      <c r="Y8" s="19">
        <f>IFERROR(V8-1,"")</f>
        <v>19</v>
      </c>
      <c r="Z8" s="28">
        <f>IFERROR(X8/SQRT(V8),"")</f>
        <v>1.0648155708853997</v>
      </c>
      <c r="AA8">
        <f>IFERROR(X8^2*(V8-1),"")</f>
        <v>430.85623599999991</v>
      </c>
    </row>
    <row r="9" spans="2:28" ht="15" thickBot="1" x14ac:dyDescent="0.35">
      <c r="B9" s="7"/>
      <c r="C9" s="7"/>
      <c r="D9" s="7"/>
      <c r="E9" s="7"/>
      <c r="F9" s="32"/>
      <c r="G9" s="7"/>
      <c r="H9" s="7"/>
      <c r="K9" s="56" t="str">
        <f>IF($B$24="","",$B$24)</f>
        <v/>
      </c>
      <c r="L9" s="55"/>
      <c r="M9" s="56">
        <v>3</v>
      </c>
      <c r="N9" s="112"/>
      <c r="O9" s="112"/>
      <c r="P9" s="92"/>
      <c r="Q9" s="92"/>
      <c r="T9" s="56" t="str">
        <f>IF($B$24="","",$B$24)</f>
        <v/>
      </c>
      <c r="U9" s="56">
        <v>3</v>
      </c>
      <c r="V9" s="113" t="str">
        <f t="shared" si="0"/>
        <v/>
      </c>
      <c r="W9" s="64" t="str">
        <f t="shared" si="0"/>
        <v/>
      </c>
      <c r="X9" s="64" t="str">
        <f t="shared" si="0"/>
        <v/>
      </c>
      <c r="Y9" s="19" t="str">
        <f>IFERROR(V9-1,"")</f>
        <v/>
      </c>
      <c r="Z9" s="28" t="str">
        <f>IFERROR(X9/SQRT(V9),"")</f>
        <v/>
      </c>
      <c r="AA9" t="str">
        <f>IFERROR(Y9^2*(W9-1),"")</f>
        <v/>
      </c>
    </row>
    <row r="10" spans="2:28" ht="15" thickBot="1" x14ac:dyDescent="0.35">
      <c r="B10" s="134" t="s">
        <v>27</v>
      </c>
      <c r="C10" s="134"/>
      <c r="D10" s="134"/>
      <c r="E10" s="134"/>
      <c r="F10" s="134"/>
      <c r="G10" s="134"/>
      <c r="H10" s="134"/>
      <c r="K10" s="56" t="str">
        <f>IF($B$25="","",$B$25)</f>
        <v>Followup</v>
      </c>
      <c r="L10" s="55"/>
      <c r="M10" s="56">
        <v>4</v>
      </c>
      <c r="N10" s="112" t="s">
        <v>124</v>
      </c>
      <c r="O10" s="112">
        <v>20</v>
      </c>
      <c r="P10" s="92">
        <v>23.4</v>
      </c>
      <c r="Q10" s="92">
        <v>4.6159999999999997</v>
      </c>
      <c r="T10" s="56" t="str">
        <f>IF($B$25="","",$B$25)</f>
        <v>Followup</v>
      </c>
      <c r="U10" s="56">
        <v>4</v>
      </c>
      <c r="V10" s="113">
        <f t="shared" si="0"/>
        <v>20</v>
      </c>
      <c r="W10" s="64">
        <f t="shared" si="0"/>
        <v>23.4</v>
      </c>
      <c r="X10" s="64">
        <f t="shared" si="0"/>
        <v>4.6159999999999997</v>
      </c>
      <c r="Y10" s="19">
        <f>IFERROR(V10-1,"")</f>
        <v>19</v>
      </c>
      <c r="Z10" s="28">
        <f>IFERROR(X10/SQRT(V10),"")</f>
        <v>1.0321689784139028</v>
      </c>
      <c r="AA10">
        <f>IFERROR(X10^2*(V10-1),"")</f>
        <v>404.84166399999998</v>
      </c>
    </row>
    <row r="11" spans="2:28" ht="15" thickBot="1" x14ac:dyDescent="0.35">
      <c r="B11" s="131" t="s">
        <v>136</v>
      </c>
      <c r="C11" s="131"/>
      <c r="D11" s="131"/>
      <c r="E11" s="131"/>
      <c r="F11" s="131"/>
      <c r="G11" s="131"/>
      <c r="H11" s="131"/>
      <c r="K11" s="58" t="s">
        <v>45</v>
      </c>
      <c r="L11" s="114"/>
      <c r="M11" s="58" t="s">
        <v>45</v>
      </c>
      <c r="N11" s="114"/>
      <c r="O11" s="21">
        <f>IFERROR(SUM(O7:O10),"")</f>
        <v>60</v>
      </c>
      <c r="P11" s="22">
        <f>IFERROR(SUMPRODUCT(O7:O10,P7:P10)/O11,"")</f>
        <v>22.1</v>
      </c>
      <c r="Q11" s="93">
        <v>5.42</v>
      </c>
      <c r="T11" s="58" t="s">
        <v>45</v>
      </c>
      <c r="U11" s="58" t="s">
        <v>45</v>
      </c>
      <c r="V11" s="117">
        <f t="shared" si="0"/>
        <v>60</v>
      </c>
      <c r="W11" s="118">
        <f t="shared" si="0"/>
        <v>22.1</v>
      </c>
      <c r="X11" s="118">
        <f t="shared" si="0"/>
        <v>5.42</v>
      </c>
      <c r="Y11" s="21">
        <f>IFERROR(V11-1,"")</f>
        <v>59</v>
      </c>
      <c r="Z11" s="29">
        <f>IFERROR(X11/SQRT(V11),"")</f>
        <v>0.69971899121480663</v>
      </c>
      <c r="AA11">
        <f>SUM(AA7:AA10)</f>
        <v>1497.9850039999999</v>
      </c>
      <c r="AB11" s="115">
        <f>(X11^2)*(V11-1)</f>
        <v>1733.2076</v>
      </c>
    </row>
    <row r="12" spans="2:28" x14ac:dyDescent="0.3">
      <c r="B12" s="132"/>
      <c r="C12" s="132"/>
      <c r="D12" s="132"/>
      <c r="E12" s="132"/>
      <c r="F12" s="132"/>
      <c r="G12" s="132"/>
      <c r="H12" s="132"/>
      <c r="K12" s="8"/>
      <c r="L12" s="8"/>
      <c r="M12" s="8"/>
      <c r="N12" s="8"/>
      <c r="O12" s="8"/>
      <c r="P12" s="8"/>
      <c r="Q12" s="8"/>
      <c r="T12" s="8"/>
      <c r="U12" s="8"/>
      <c r="V12" s="8"/>
      <c r="W12" s="8"/>
      <c r="X12" s="8"/>
      <c r="Y12" s="8"/>
      <c r="Z12" s="8"/>
    </row>
    <row r="13" spans="2:28" x14ac:dyDescent="0.3">
      <c r="B13" s="132"/>
      <c r="C13" s="132"/>
      <c r="D13" s="132"/>
      <c r="E13" s="132"/>
      <c r="F13" s="132"/>
      <c r="G13" s="132"/>
      <c r="H13" s="132"/>
      <c r="K13"/>
      <c r="L13"/>
      <c r="M13"/>
      <c r="N13"/>
      <c r="O13"/>
      <c r="P13"/>
      <c r="T13" t="s">
        <v>55</v>
      </c>
    </row>
    <row r="14" spans="2:28" ht="15" thickBot="1" x14ac:dyDescent="0.35">
      <c r="B14" s="133"/>
      <c r="C14" s="133"/>
      <c r="D14" s="133"/>
      <c r="E14" s="133"/>
      <c r="F14" s="133"/>
      <c r="G14" s="133"/>
      <c r="H14" s="133"/>
      <c r="K14"/>
      <c r="L14"/>
      <c r="M14"/>
      <c r="N14"/>
      <c r="O14"/>
      <c r="P14"/>
    </row>
    <row r="15" spans="2:28" x14ac:dyDescent="0.3">
      <c r="K15"/>
      <c r="L15"/>
      <c r="M15"/>
      <c r="N15"/>
      <c r="O15"/>
      <c r="P15"/>
    </row>
    <row r="16" spans="2:28" x14ac:dyDescent="0.3">
      <c r="K16"/>
      <c r="L16"/>
      <c r="M16"/>
      <c r="N16"/>
      <c r="O16"/>
      <c r="P16"/>
    </row>
    <row r="17" spans="2:26" x14ac:dyDescent="0.3">
      <c r="K17"/>
      <c r="L17"/>
      <c r="M17"/>
      <c r="N17"/>
      <c r="O17"/>
      <c r="P17"/>
    </row>
    <row r="18" spans="2:26" x14ac:dyDescent="0.3">
      <c r="K18"/>
      <c r="L18"/>
      <c r="M18"/>
      <c r="N18"/>
      <c r="O18"/>
      <c r="P18"/>
    </row>
    <row r="19" spans="2:26" ht="15.6" x14ac:dyDescent="0.3">
      <c r="B19" s="6" t="s">
        <v>35</v>
      </c>
      <c r="C19" s="10"/>
      <c r="D19" s="11"/>
      <c r="E19" s="11"/>
      <c r="G19" s="11"/>
      <c r="H19" s="12"/>
      <c r="K19" s="45" t="s">
        <v>56</v>
      </c>
      <c r="L19"/>
      <c r="M19"/>
      <c r="N19"/>
      <c r="O19"/>
      <c r="P19" s="11"/>
      <c r="Q19" s="27"/>
      <c r="T19" s="45" t="s">
        <v>56</v>
      </c>
      <c r="Y19" s="11"/>
      <c r="Z19" s="27"/>
    </row>
    <row r="20" spans="2:26" ht="15" thickBot="1" x14ac:dyDescent="0.35">
      <c r="B20" s="10"/>
      <c r="C20" s="10"/>
      <c r="D20" s="11"/>
      <c r="E20" s="11"/>
      <c r="G20" s="11"/>
      <c r="H20" s="11"/>
      <c r="K20"/>
      <c r="L20"/>
      <c r="M20"/>
      <c r="N20"/>
      <c r="O20"/>
      <c r="P20"/>
    </row>
    <row r="21" spans="2:26" ht="15" thickBot="1" x14ac:dyDescent="0.35">
      <c r="B21" s="129" t="s">
        <v>60</v>
      </c>
      <c r="C21" s="129"/>
      <c r="D21" s="129" t="s">
        <v>24</v>
      </c>
      <c r="E21" s="129"/>
      <c r="F21" s="129"/>
      <c r="G21" s="129"/>
      <c r="H21" s="9" t="s">
        <v>25</v>
      </c>
      <c r="K21" s="65" t="s">
        <v>54</v>
      </c>
      <c r="L21" s="52"/>
      <c r="M21" s="65" t="s">
        <v>60</v>
      </c>
      <c r="N21" s="65">
        <v>1</v>
      </c>
      <c r="O21" s="65">
        <v>2</v>
      </c>
      <c r="P21" s="65">
        <v>3</v>
      </c>
      <c r="Q21" s="65">
        <v>4</v>
      </c>
      <c r="T21" s="65" t="s">
        <v>54</v>
      </c>
      <c r="U21" s="52"/>
      <c r="V21" s="65" t="s">
        <v>60</v>
      </c>
      <c r="W21" s="65">
        <v>1</v>
      </c>
      <c r="X21" s="65">
        <v>2</v>
      </c>
      <c r="Y21" s="65">
        <v>3</v>
      </c>
      <c r="Z21" s="65">
        <v>4</v>
      </c>
    </row>
    <row r="22" spans="2:26" x14ac:dyDescent="0.3">
      <c r="B22" s="127" t="s">
        <v>125</v>
      </c>
      <c r="C22" s="127"/>
      <c r="D22" s="127" t="s">
        <v>126</v>
      </c>
      <c r="E22" s="127"/>
      <c r="F22" s="127"/>
      <c r="G22" s="127"/>
      <c r="H22" s="80">
        <v>1</v>
      </c>
      <c r="K22" s="54" t="str">
        <f>IF($B$22="","",$B$22)</f>
        <v>Pretest</v>
      </c>
      <c r="L22" s="53"/>
      <c r="M22" s="54">
        <v>1</v>
      </c>
      <c r="N22" s="26">
        <v>1</v>
      </c>
      <c r="O22" s="91">
        <v>0.49299999999999999</v>
      </c>
      <c r="P22" s="91"/>
      <c r="Q22" s="91">
        <v>0.53600000000000003</v>
      </c>
      <c r="T22" s="54" t="str">
        <f>IF($B$22="","",$B$22)</f>
        <v>Pretest</v>
      </c>
      <c r="U22" s="53"/>
      <c r="V22" s="54">
        <v>1</v>
      </c>
      <c r="W22" s="26">
        <v>1</v>
      </c>
      <c r="X22" s="63">
        <f>IF(O22="","",O22)</f>
        <v>0.49299999999999999</v>
      </c>
      <c r="Y22" s="63" t="str">
        <f>IF(P22="","",P22)</f>
        <v/>
      </c>
      <c r="Z22" s="63">
        <f>IF(Q22="","",Q22)</f>
        <v>0.53600000000000003</v>
      </c>
    </row>
    <row r="23" spans="2:26" x14ac:dyDescent="0.3">
      <c r="B23" s="128" t="s">
        <v>127</v>
      </c>
      <c r="C23" s="128"/>
      <c r="D23" s="128" t="s">
        <v>128</v>
      </c>
      <c r="E23" s="128"/>
      <c r="F23" s="128"/>
      <c r="G23" s="128"/>
      <c r="H23" s="40">
        <v>2</v>
      </c>
      <c r="K23" s="56" t="str">
        <f>IF($B$23="","",$B$23)</f>
        <v>Posttest</v>
      </c>
      <c r="L23" s="55"/>
      <c r="M23" s="56">
        <v>2</v>
      </c>
      <c r="N23" s="28"/>
      <c r="O23" s="28">
        <v>1</v>
      </c>
      <c r="P23" s="92"/>
      <c r="Q23" s="92">
        <v>0.74299999999999999</v>
      </c>
      <c r="T23" s="56" t="str">
        <f>IF($B$23="","",$B$23)</f>
        <v>Posttest</v>
      </c>
      <c r="U23" s="55"/>
      <c r="V23" s="56">
        <v>2</v>
      </c>
      <c r="W23" s="28"/>
      <c r="X23" s="28">
        <v>1</v>
      </c>
      <c r="Y23" s="64" t="str">
        <f>IF(P23="","",P23)</f>
        <v/>
      </c>
      <c r="Z23" s="64">
        <f>IF(Q23="","",Q23)</f>
        <v>0.74299999999999999</v>
      </c>
    </row>
    <row r="24" spans="2:26" x14ac:dyDescent="0.3">
      <c r="B24" s="128"/>
      <c r="C24" s="128"/>
      <c r="D24" s="128"/>
      <c r="E24" s="128"/>
      <c r="F24" s="128"/>
      <c r="G24" s="128"/>
      <c r="H24" s="40"/>
      <c r="K24" s="56" t="str">
        <f>IF($B$24="","",$B$24)</f>
        <v/>
      </c>
      <c r="L24" s="55"/>
      <c r="M24" s="56">
        <v>3</v>
      </c>
      <c r="N24" s="28"/>
      <c r="O24" s="28"/>
      <c r="P24" s="28">
        <v>1</v>
      </c>
      <c r="Q24" s="92"/>
      <c r="T24" s="56" t="str">
        <f>IF($B$24="","",$B$24)</f>
        <v/>
      </c>
      <c r="U24" s="55"/>
      <c r="V24" s="56">
        <v>3</v>
      </c>
      <c r="W24" s="28"/>
      <c r="X24" s="28"/>
      <c r="Y24" s="28">
        <v>1</v>
      </c>
      <c r="Z24" s="64" t="str">
        <f>IF(Q24="","",Q24)</f>
        <v/>
      </c>
    </row>
    <row r="25" spans="2:26" ht="15" thickBot="1" x14ac:dyDescent="0.35">
      <c r="B25" s="126" t="s">
        <v>129</v>
      </c>
      <c r="C25" s="126"/>
      <c r="D25" s="126" t="s">
        <v>130</v>
      </c>
      <c r="E25" s="126"/>
      <c r="F25" s="126"/>
      <c r="G25" s="126"/>
      <c r="H25" s="81">
        <v>4</v>
      </c>
      <c r="K25" s="58" t="str">
        <f>IF($B$25="","",$B$25)</f>
        <v>Followup</v>
      </c>
      <c r="L25" s="57"/>
      <c r="M25" s="58">
        <v>4</v>
      </c>
      <c r="N25" s="29"/>
      <c r="O25" s="29"/>
      <c r="P25" s="29"/>
      <c r="Q25" s="29">
        <v>1</v>
      </c>
      <c r="T25" s="56" t="str">
        <f>IF($B$25="","",$B$25)</f>
        <v>Followup</v>
      </c>
      <c r="U25" s="57"/>
      <c r="V25" s="58">
        <v>4</v>
      </c>
      <c r="W25" s="29"/>
      <c r="X25" s="29"/>
      <c r="Y25" s="29"/>
      <c r="Z25" s="29">
        <v>1</v>
      </c>
    </row>
    <row r="26" spans="2:26" x14ac:dyDescent="0.3">
      <c r="B26" s="8"/>
      <c r="C26" s="8"/>
      <c r="D26" s="8"/>
      <c r="E26" s="8"/>
      <c r="F26" s="8"/>
      <c r="G26" s="8"/>
      <c r="H26" s="8"/>
      <c r="K26" s="8"/>
      <c r="L26" s="8"/>
      <c r="M26" s="8"/>
      <c r="N26" s="8"/>
      <c r="O26" s="8"/>
      <c r="P26" s="8"/>
      <c r="Q26" s="8"/>
      <c r="T26" s="8"/>
      <c r="U26" s="8"/>
      <c r="V26" s="8"/>
      <c r="W26" s="8"/>
      <c r="X26" s="8"/>
      <c r="Y26" s="8"/>
      <c r="Z26" s="8"/>
    </row>
    <row r="27" spans="2:26" x14ac:dyDescent="0.3">
      <c r="T27" t="s">
        <v>57</v>
      </c>
    </row>
    <row r="28" spans="2:26" x14ac:dyDescent="0.3">
      <c r="B28" s="33"/>
      <c r="C28" s="33"/>
      <c r="E28" s="5"/>
      <c r="F28"/>
    </row>
    <row r="29" spans="2:26" ht="15.6" x14ac:dyDescent="0.3">
      <c r="B29" s="33"/>
      <c r="C29" s="33"/>
      <c r="E29" s="33"/>
      <c r="F29" s="33"/>
      <c r="T29" s="46" t="s">
        <v>48</v>
      </c>
      <c r="U29" s="44"/>
      <c r="V29" s="44"/>
      <c r="W29" s="44"/>
      <c r="X29" s="44"/>
      <c r="Y29" s="44"/>
      <c r="Z29" s="3"/>
    </row>
    <row r="30" spans="2:26" ht="15" thickBot="1" x14ac:dyDescent="0.35">
      <c r="B30" s="33"/>
      <c r="C30" s="33"/>
      <c r="E30" s="33"/>
      <c r="F30" s="33"/>
      <c r="S30" s="3"/>
      <c r="T30" s="44"/>
      <c r="U30" s="44"/>
      <c r="V30" s="44"/>
      <c r="W30" s="44"/>
      <c r="X30" s="44"/>
      <c r="Y30" s="44"/>
      <c r="Z30" s="3"/>
    </row>
    <row r="31" spans="2:26" ht="15" thickBot="1" x14ac:dyDescent="0.35">
      <c r="B31" s="33"/>
      <c r="C31" s="33"/>
      <c r="E31" s="33"/>
      <c r="F31" s="33"/>
      <c r="S31" s="3"/>
      <c r="T31" s="62" t="s">
        <v>49</v>
      </c>
      <c r="U31" s="62" t="s">
        <v>50</v>
      </c>
      <c r="V31" s="62" t="s">
        <v>2</v>
      </c>
      <c r="W31" s="62" t="s">
        <v>51</v>
      </c>
      <c r="X31" s="62" t="s">
        <v>44</v>
      </c>
      <c r="Y31" s="62" t="s">
        <v>46</v>
      </c>
      <c r="Z31" s="62" t="s">
        <v>52</v>
      </c>
    </row>
    <row r="32" spans="2:26" x14ac:dyDescent="0.3">
      <c r="B32" s="33"/>
      <c r="C32" s="33"/>
      <c r="E32" s="33"/>
      <c r="F32" s="33"/>
      <c r="S32" s="3"/>
      <c r="T32" s="17" t="s">
        <v>64</v>
      </c>
      <c r="U32" s="66"/>
      <c r="V32" s="67">
        <f>IFERROR(V7-1,"")</f>
        <v>19</v>
      </c>
      <c r="W32" s="66">
        <f>IFERROR(U32/V32,"")</f>
        <v>0</v>
      </c>
      <c r="X32" s="68"/>
      <c r="Y32" s="68"/>
      <c r="Z32" s="67"/>
    </row>
    <row r="33" spans="2:26" x14ac:dyDescent="0.3">
      <c r="B33" s="33"/>
      <c r="C33" s="33"/>
      <c r="E33" s="33"/>
      <c r="F33" s="33"/>
      <c r="S33" s="3"/>
      <c r="T33" s="88" t="s">
        <v>63</v>
      </c>
      <c r="U33" s="69">
        <f>IFERROR(DEVSQ(W7:W10)*(V32+1),"")</f>
        <v>235.59999999999997</v>
      </c>
      <c r="V33" s="70">
        <f>IFERROR(COUNT(X7:X10)-1,"")</f>
        <v>2</v>
      </c>
      <c r="W33" s="69">
        <f>IFERROR(U33/V33,"")</f>
        <v>117.79999999999998</v>
      </c>
      <c r="X33" s="69" t="str">
        <f>IFERROR(W33/W34,"")</f>
        <v/>
      </c>
      <c r="Y33" s="69" t="str">
        <f>IFERROR(IF(FDIST(X33,V33,V34)&lt;0.001,"&lt; 0.001",FDIST(X33,V33,V34)),"")</f>
        <v/>
      </c>
      <c r="Z33" s="20">
        <f>IFERROR(U33/(U33+U34),"")</f>
        <v>1</v>
      </c>
    </row>
    <row r="34" spans="2:26" x14ac:dyDescent="0.3">
      <c r="B34" s="33"/>
      <c r="C34" s="33"/>
      <c r="E34" s="33"/>
      <c r="F34" s="33"/>
      <c r="S34" s="3"/>
      <c r="T34" s="88" t="s">
        <v>65</v>
      </c>
      <c r="U34" s="71"/>
      <c r="V34" s="72">
        <f>IFERROR(V35-V33-V32,"")</f>
        <v>38</v>
      </c>
      <c r="W34" s="71">
        <f>IFERROR(U34/V34,"")</f>
        <v>0</v>
      </c>
      <c r="X34" s="69"/>
      <c r="Y34" s="73"/>
      <c r="Z34" s="19"/>
    </row>
    <row r="35" spans="2:26" ht="15" thickBot="1" x14ac:dyDescent="0.35">
      <c r="B35" s="33"/>
      <c r="C35" s="33"/>
      <c r="E35" s="33"/>
      <c r="F35" s="33"/>
      <c r="S35" s="3"/>
      <c r="T35" s="89" t="s">
        <v>43</v>
      </c>
      <c r="U35" s="74">
        <f>IFERROR(X11^2*V35,"")</f>
        <v>1733.2076</v>
      </c>
      <c r="V35" s="75">
        <f>IFERROR(V11-1,"")</f>
        <v>59</v>
      </c>
      <c r="W35" s="74">
        <f>IFERROR(U35/V35,"")</f>
        <v>29.3764</v>
      </c>
      <c r="X35" s="74"/>
      <c r="Y35" s="74"/>
      <c r="Z35" s="21"/>
    </row>
    <row r="36" spans="2:26" x14ac:dyDescent="0.3">
      <c r="B36" s="33"/>
      <c r="C36" s="33"/>
      <c r="E36" s="33"/>
      <c r="F36" s="33"/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3"/>
      <c r="C37" s="33"/>
      <c r="E37" s="33"/>
      <c r="F37" s="33"/>
    </row>
    <row r="38" spans="2:26" x14ac:dyDescent="0.3">
      <c r="B38" s="33"/>
      <c r="C38" s="33"/>
    </row>
    <row r="39" spans="2:26" x14ac:dyDescent="0.3">
      <c r="B39" s="33"/>
      <c r="C39" s="33"/>
    </row>
    <row r="40" spans="2:26" x14ac:dyDescent="0.3">
      <c r="B40" s="33"/>
      <c r="C40" s="33"/>
    </row>
    <row r="41" spans="2:26" x14ac:dyDescent="0.3">
      <c r="B41" s="33"/>
      <c r="C41" s="33"/>
    </row>
    <row r="42" spans="2:26" x14ac:dyDescent="0.3">
      <c r="B42" s="33"/>
      <c r="C42" s="33"/>
    </row>
    <row r="43" spans="2:26" x14ac:dyDescent="0.3">
      <c r="B43" s="33"/>
      <c r="C43" s="33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zoomScaleNormal="100" workbookViewId="0">
      <selection activeCell="Q4" sqref="Q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30" t="s">
        <v>36</v>
      </c>
      <c r="C2" s="130"/>
      <c r="D2" s="130"/>
      <c r="E2" s="130"/>
      <c r="F2" s="130"/>
      <c r="G2" s="130"/>
      <c r="H2" s="130"/>
      <c r="K2" s="130" t="s">
        <v>37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6" t="s">
        <v>106</v>
      </c>
      <c r="C4" s="3"/>
      <c r="D4" s="3"/>
      <c r="E4" s="3"/>
      <c r="F4" s="3"/>
      <c r="G4" s="24" t="s">
        <v>33</v>
      </c>
      <c r="H4" s="30">
        <v>95</v>
      </c>
      <c r="I4" s="3"/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7" t="s">
        <v>60</v>
      </c>
      <c r="C6" s="47" t="s">
        <v>1</v>
      </c>
      <c r="D6" s="47" t="s">
        <v>11</v>
      </c>
      <c r="E6" s="47" t="s">
        <v>68</v>
      </c>
      <c r="F6" s="65" t="s">
        <v>75</v>
      </c>
      <c r="G6" s="137" t="s">
        <v>78</v>
      </c>
      <c r="H6" s="137"/>
      <c r="J6" s="3"/>
      <c r="K6" s="47" t="s">
        <v>60</v>
      </c>
      <c r="L6" s="47" t="s">
        <v>3</v>
      </c>
      <c r="M6" s="47" t="s">
        <v>23</v>
      </c>
      <c r="N6" s="47" t="s">
        <v>2</v>
      </c>
      <c r="O6" s="47" t="s">
        <v>75</v>
      </c>
      <c r="P6" s="137" t="s">
        <v>59</v>
      </c>
      <c r="Q6" s="137"/>
    </row>
    <row r="7" spans="1:26" x14ac:dyDescent="0.3">
      <c r="A7" s="3"/>
      <c r="B7" s="17" t="str">
        <f>Data!T7</f>
        <v>Pretest</v>
      </c>
      <c r="C7" s="59">
        <f>Data!V7</f>
        <v>20</v>
      </c>
      <c r="D7" s="26">
        <f>Data!W7</f>
        <v>19.3</v>
      </c>
      <c r="E7" s="26">
        <f>Data!X7</f>
        <v>5.9039999999999999</v>
      </c>
      <c r="F7" s="26">
        <f>Data!Z7</f>
        <v>1.3201745339158757</v>
      </c>
      <c r="G7" s="18">
        <f>IFERROR(D7-TINV(1-$H$4/100,Data!Y7)*Data!Z7,"")</f>
        <v>16.536842944496797</v>
      </c>
      <c r="H7" s="18">
        <f>IFERROR(D7+TINV(1-$H$4/100,Data!Y7)*Data!Z7,"")</f>
        <v>22.063157055503204</v>
      </c>
      <c r="J7" s="3"/>
      <c r="K7" s="17" t="str">
        <f t="shared" ref="K7:K10" si="0">B7</f>
        <v>Pretest</v>
      </c>
      <c r="L7" s="18">
        <f>IFERROR((D7-C40)/E7,"")</f>
        <v>-0.11856368563685625</v>
      </c>
      <c r="M7" s="18">
        <f>IFERROR((1-3/(4*G40-1))*L7,"")</f>
        <v>-0.113821138211382</v>
      </c>
      <c r="N7" s="41">
        <f>Data!Y7</f>
        <v>19</v>
      </c>
      <c r="O7" s="18">
        <f>IFERROR(SQRT((N7+2)/(Data!V7*Data!V7)+((L7^2)/(2*(N7+2)))),"")</f>
        <v>0.22985799692687053</v>
      </c>
      <c r="P7" s="26">
        <f>IFERROR(Y17*SQRT(1/C7),"")</f>
        <v>-0.5568723143781652</v>
      </c>
      <c r="Q7" s="26">
        <f>IFERROR(Z17*SQRT(1/C7),"")</f>
        <v>0.32284318590009647</v>
      </c>
    </row>
    <row r="8" spans="1:26" x14ac:dyDescent="0.3">
      <c r="A8" s="3"/>
      <c r="B8" s="19" t="str">
        <f>Data!T8</f>
        <v>Posttest</v>
      </c>
      <c r="C8" s="60">
        <f>Data!V8</f>
        <v>20</v>
      </c>
      <c r="D8" s="28">
        <f>Data!W8</f>
        <v>23.6</v>
      </c>
      <c r="E8" s="28">
        <f>Data!X8</f>
        <v>4.7619999999999996</v>
      </c>
      <c r="F8" s="28">
        <f>Data!Z8</f>
        <v>1.0648155708853997</v>
      </c>
      <c r="G8" s="20">
        <f>IFERROR(D8-TINV(1-$H$4/100,Data!Y8)*Data!Z8,"")</f>
        <v>21.371315396628344</v>
      </c>
      <c r="H8" s="20">
        <f>IFERROR(D8+TINV(1-$H$4/100,Data!Y8)*Data!Z8,"")</f>
        <v>25.828684603371659</v>
      </c>
      <c r="J8" s="3"/>
      <c r="K8" s="19" t="str">
        <f t="shared" si="0"/>
        <v>Posttest</v>
      </c>
      <c r="L8" s="20">
        <f>IFERROR((D8-C41)/E8,"")</f>
        <v>0.7559848803023943</v>
      </c>
      <c r="M8" s="20">
        <f>IFERROR((1-3/(4*G41-1))*L8,"")</f>
        <v>0.72574548509029846</v>
      </c>
      <c r="N8" s="42">
        <f>Data!Y8</f>
        <v>19</v>
      </c>
      <c r="O8" s="20">
        <f>IFERROR(SQRT((G41+2)/(Data!V8*Data!V8)+((L8^2)/(2*(G41+2)))),"")</f>
        <v>0.25711370188367866</v>
      </c>
      <c r="P8" s="28">
        <f>IFERROR(Y18*SQRT(1/C8),"")</f>
        <v>0.24925516679792026</v>
      </c>
      <c r="Q8" s="28">
        <f>IFERROR(Z18*SQRT(1/C8),"")</f>
        <v>1.2473827082194537</v>
      </c>
    </row>
    <row r="9" spans="1:26" x14ac:dyDescent="0.3">
      <c r="A9" s="3"/>
      <c r="B9" s="19" t="str">
        <f>Data!T9</f>
        <v/>
      </c>
      <c r="C9" s="60" t="str">
        <f>Data!V9</f>
        <v/>
      </c>
      <c r="D9" s="28" t="str">
        <f>Data!W9</f>
        <v/>
      </c>
      <c r="E9" s="28" t="str">
        <f>Data!X9</f>
        <v/>
      </c>
      <c r="F9" s="28" t="str">
        <f>Data!Z9</f>
        <v/>
      </c>
      <c r="G9" s="20" t="str">
        <f>IFERROR(D9-TINV(1-$H$4/100,Data!Y9)*Data!Z9,"")</f>
        <v/>
      </c>
      <c r="H9" s="20" t="str">
        <f>IFERROR(D9+TINV(1-$H$4/100,Data!Y9)*Data!Z9,"")</f>
        <v/>
      </c>
      <c r="J9" s="3"/>
      <c r="K9" s="19" t="str">
        <f t="shared" si="0"/>
        <v/>
      </c>
      <c r="L9" s="20" t="str">
        <f>IFERROR((D9-C42)/E9,"")</f>
        <v/>
      </c>
      <c r="M9" s="20" t="str">
        <f>IFERROR((1-3/(4*G42-1))*L9,"")</f>
        <v/>
      </c>
      <c r="N9" s="42" t="str">
        <f>Data!Y9</f>
        <v/>
      </c>
      <c r="O9" s="20" t="str">
        <f>IFERROR(SQRT((G42+2)/(Data!V9*Data!V9)+((L9^2)/(2*(G42+2)))),"")</f>
        <v/>
      </c>
      <c r="P9" s="28" t="str">
        <f>IFERROR(Y19*SQRT(1/C9),"")</f>
        <v/>
      </c>
      <c r="Q9" s="28" t="str">
        <f>IFERROR(Z19*SQRT(1/C9),"")</f>
        <v/>
      </c>
    </row>
    <row r="10" spans="1:26" ht="15" thickBot="1" x14ac:dyDescent="0.35">
      <c r="A10" s="3"/>
      <c r="B10" s="19" t="str">
        <f>Data!T10</f>
        <v>Followup</v>
      </c>
      <c r="C10" s="60">
        <f>Data!V10</f>
        <v>20</v>
      </c>
      <c r="D10" s="28">
        <f>Data!W10</f>
        <v>23.4</v>
      </c>
      <c r="E10" s="28">
        <f>Data!X10</f>
        <v>4.6159999999999997</v>
      </c>
      <c r="F10" s="51">
        <f>Data!Z10</f>
        <v>1.0321689784139028</v>
      </c>
      <c r="G10" s="20">
        <f>IFERROR(D10-TINV(1-$H$4/100,Data!Y10)*Data!Z10,"")</f>
        <v>21.239645499965651</v>
      </c>
      <c r="H10" s="20">
        <f>IFERROR(D10+TINV(1-$H$4/100,Data!Y10)*Data!Z10,"")</f>
        <v>25.560354500034347</v>
      </c>
      <c r="J10" s="3"/>
      <c r="K10" s="90" t="str">
        <f t="shared" si="0"/>
        <v>Followup</v>
      </c>
      <c r="L10" s="48">
        <f>IFERROR((D10-C43)/E10,"")</f>
        <v>0.73656845753899458</v>
      </c>
      <c r="M10" s="48">
        <f>IFERROR((1-3/(4*G43-1))*L10,"")</f>
        <v>0.70710571923743482</v>
      </c>
      <c r="N10" s="42">
        <f>Data!Y10</f>
        <v>19</v>
      </c>
      <c r="O10" s="20">
        <f>IFERROR(SQRT((G43+2)/(Data!V10*Data!V10)+((L10^2)/(2*(G43+2)))),"")</f>
        <v>0.25576836119172242</v>
      </c>
      <c r="P10" s="28">
        <f>IFERROR(Y20*SQRT(1/C10),"")</f>
        <v>0.23285389386374797</v>
      </c>
      <c r="Q10" s="28">
        <f>IFERROR(Z20*SQRT(1/C10),"")</f>
        <v>1.2251744196493937</v>
      </c>
    </row>
    <row r="11" spans="1:26" x14ac:dyDescent="0.3">
      <c r="A11" s="3"/>
      <c r="B11" s="2"/>
      <c r="C11" s="2"/>
      <c r="D11" s="2"/>
      <c r="E11" s="2"/>
      <c r="F11" s="8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7"/>
      <c r="U12" s="27"/>
      <c r="V12" s="27"/>
    </row>
    <row r="13" spans="1:26" x14ac:dyDescent="0.3">
      <c r="A13" s="3"/>
      <c r="T13" s="27"/>
      <c r="U13" s="27"/>
      <c r="V13" s="27"/>
    </row>
    <row r="14" spans="1:26" ht="15.6" x14ac:dyDescent="0.3">
      <c r="B14" s="6" t="s">
        <v>108</v>
      </c>
      <c r="C14" s="3"/>
      <c r="D14" s="3"/>
      <c r="E14" s="3"/>
      <c r="F14" s="3"/>
      <c r="G14" s="3"/>
      <c r="H14" s="3"/>
      <c r="I14" s="3"/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3"/>
      <c r="B16" s="84" t="s">
        <v>73</v>
      </c>
      <c r="C16" s="39"/>
      <c r="D16" s="39"/>
      <c r="E16" s="39"/>
      <c r="F16" s="39"/>
      <c r="G16" s="39" t="s">
        <v>71</v>
      </c>
      <c r="H16" s="39"/>
      <c r="I16" s="23"/>
      <c r="J16" s="3"/>
      <c r="K16" s="84" t="s">
        <v>73</v>
      </c>
      <c r="L16" s="39"/>
      <c r="M16" s="39"/>
      <c r="N16" s="34"/>
      <c r="O16" s="38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1:26" ht="15.6" x14ac:dyDescent="0.3">
      <c r="A17" s="23"/>
      <c r="B17" s="34" t="s">
        <v>0</v>
      </c>
      <c r="C17" s="35" t="s">
        <v>72</v>
      </c>
      <c r="D17" s="34" t="s">
        <v>74</v>
      </c>
      <c r="E17" s="34"/>
      <c r="F17" s="34"/>
      <c r="G17" s="35" t="s">
        <v>31</v>
      </c>
      <c r="H17" s="35" t="s">
        <v>72</v>
      </c>
      <c r="I17" s="23"/>
      <c r="J17" s="3"/>
      <c r="K17" s="35" t="s">
        <v>0</v>
      </c>
      <c r="L17" s="35" t="s">
        <v>72</v>
      </c>
      <c r="M17" s="35" t="s">
        <v>74</v>
      </c>
      <c r="N17" s="39"/>
      <c r="O17" s="38"/>
      <c r="P17" s="35" t="s">
        <v>31</v>
      </c>
      <c r="Q17" s="35" t="s">
        <v>72</v>
      </c>
      <c r="S17" s="4"/>
      <c r="T17" s="26">
        <f>EXP(((LN(2)-LN(G40))/2)+GAMMALN((G40+1)/2)-GAMMALN(G40/2))</f>
        <v>0.98693426752465663</v>
      </c>
      <c r="U17" s="26">
        <f>T17*F40</f>
        <v>-0.52330503999199363</v>
      </c>
      <c r="V17" s="26">
        <f>1+(F40^2)*(1-T17^2)</f>
        <v>1.0072987861548834</v>
      </c>
      <c r="W17" s="26">
        <f>(2*U17^3)-((2*G40-1)/G40)*(F40^2*U17)</f>
        <v>-1.0447033630778257E-4</v>
      </c>
      <c r="X17" s="11">
        <f>W17/SQRT(V17)^3</f>
        <v>-1.0333692328221801E-4</v>
      </c>
      <c r="Y17" s="27">
        <f t="shared" ref="Y17:Z20" si="1">IF($X17&lt;0.001,Y29,Y23)</f>
        <v>-2.4904086994744219</v>
      </c>
      <c r="Z17" s="27">
        <f t="shared" si="1"/>
        <v>1.4437986194904346</v>
      </c>
    </row>
    <row r="18" spans="1:26" x14ac:dyDescent="0.3">
      <c r="A18" s="23"/>
      <c r="B18" s="34">
        <v>1.1000000000000001</v>
      </c>
      <c r="C18" s="37">
        <f>IF(H7="",NA(),H7)</f>
        <v>22.063157055503204</v>
      </c>
      <c r="D18" s="37">
        <f t="shared" ref="D18:D29" si="2">C18</f>
        <v>22.063157055503204</v>
      </c>
      <c r="E18" s="37"/>
      <c r="F18" s="37"/>
      <c r="G18" s="36">
        <v>0.5</v>
      </c>
      <c r="H18" s="36">
        <f>$C$40</f>
        <v>20</v>
      </c>
      <c r="I18" s="23"/>
      <c r="J18" s="3"/>
      <c r="K18" s="34">
        <v>1.1000000000000001</v>
      </c>
      <c r="L18" s="37">
        <f>IF(Q7="",NA(),Q7)</f>
        <v>0.32284318590009647</v>
      </c>
      <c r="M18" s="37">
        <f t="shared" ref="M18:M29" si="3">L18</f>
        <v>0.32284318590009647</v>
      </c>
      <c r="N18" s="39"/>
      <c r="O18" s="38"/>
      <c r="P18" s="36">
        <v>0.5</v>
      </c>
      <c r="Q18" s="36">
        <f>L$40</f>
        <v>0.2</v>
      </c>
      <c r="T18" s="28">
        <f>EXP(((LN(2)-LN(G41))/2)+GAMMALN((G41+1)/2)-GAMMALN(G41/2))</f>
        <v>0.98693426752465663</v>
      </c>
      <c r="U18" s="28">
        <f>T18*F41</f>
        <v>3.3366936587285791</v>
      </c>
      <c r="V18" s="28">
        <f>1+(F41^2)*(1-T18^2)</f>
        <v>1.2967382127169977</v>
      </c>
      <c r="W18" s="28">
        <f>(2*U18^3)-((2*G41-1)/G41)*(F41^2*U18)</f>
        <v>2.708178265118022E-2</v>
      </c>
      <c r="X18" s="11">
        <f>W18/SQRT(V18)^3</f>
        <v>1.8339976921029566E-2</v>
      </c>
      <c r="Y18" s="27">
        <f t="shared" si="1"/>
        <v>1.1147029934063966</v>
      </c>
      <c r="Z18" s="27">
        <f t="shared" si="1"/>
        <v>5.5784650590729683</v>
      </c>
    </row>
    <row r="19" spans="1:26" x14ac:dyDescent="0.3">
      <c r="A19" s="23"/>
      <c r="B19" s="34">
        <v>1.1000000000000001</v>
      </c>
      <c r="C19" s="36">
        <f>IF(D7="",NA(),D7)</f>
        <v>19.3</v>
      </c>
      <c r="D19" s="37">
        <f t="shared" si="2"/>
        <v>19.3</v>
      </c>
      <c r="E19" s="37"/>
      <c r="F19" s="37"/>
      <c r="G19" s="36">
        <v>1</v>
      </c>
      <c r="H19" s="36">
        <f>$C$40</f>
        <v>20</v>
      </c>
      <c r="I19" s="23"/>
      <c r="J19" s="3"/>
      <c r="K19" s="34">
        <v>1.1000000000000001</v>
      </c>
      <c r="L19" s="36">
        <f>IF(M7="",NA(),M7)</f>
        <v>-0.113821138211382</v>
      </c>
      <c r="M19" s="37">
        <f t="shared" si="3"/>
        <v>-0.113821138211382</v>
      </c>
      <c r="N19" s="39"/>
      <c r="O19" s="38"/>
      <c r="P19" s="36">
        <v>1</v>
      </c>
      <c r="Q19" s="36">
        <f>L$40</f>
        <v>0.2</v>
      </c>
      <c r="T19" s="28" t="e">
        <f>EXP(((LN(2)-LN(G42))/2)+GAMMALN((G42+1)/2)-GAMMALN(G42/2))</f>
        <v>#VALUE!</v>
      </c>
      <c r="U19" s="28" t="e">
        <f>T19*F42</f>
        <v>#VALUE!</v>
      </c>
      <c r="V19" s="28" t="e">
        <f>1+(F42^2)*(1-T19^2)</f>
        <v>#VALUE!</v>
      </c>
      <c r="W19" s="28" t="e">
        <f>(2*U19^3)-((2*G42-1)/G42)*(F42^2*U19)</f>
        <v>#VALUE!</v>
      </c>
      <c r="X19" s="11" t="e">
        <f>W19/SQRT(V19)^3</f>
        <v>#VALUE!</v>
      </c>
      <c r="Y19" s="27" t="e">
        <f t="shared" si="1"/>
        <v>#VALUE!</v>
      </c>
      <c r="Z19" s="27" t="e">
        <f t="shared" si="1"/>
        <v>#VALUE!</v>
      </c>
    </row>
    <row r="20" spans="1:26" ht="15" thickBot="1" x14ac:dyDescent="0.35">
      <c r="A20" s="23"/>
      <c r="B20" s="34">
        <v>1.1000000000000001</v>
      </c>
      <c r="C20" s="37">
        <f>IF(G7="",NA(),G7)</f>
        <v>16.536842944496797</v>
      </c>
      <c r="D20" s="37">
        <f t="shared" si="2"/>
        <v>16.536842944496797</v>
      </c>
      <c r="E20" s="37"/>
      <c r="F20" s="37"/>
      <c r="G20" s="36">
        <v>1.5</v>
      </c>
      <c r="H20" s="36">
        <f>$C$40</f>
        <v>20</v>
      </c>
      <c r="I20" s="23"/>
      <c r="J20" s="3"/>
      <c r="K20" s="34">
        <v>1.1000000000000001</v>
      </c>
      <c r="L20" s="37">
        <f>IF(P7="",NA(),P7)</f>
        <v>-0.5568723143781652</v>
      </c>
      <c r="M20" s="37">
        <f t="shared" si="3"/>
        <v>-0.5568723143781652</v>
      </c>
      <c r="N20" s="39"/>
      <c r="O20" s="38"/>
      <c r="P20" s="36">
        <v>1.5</v>
      </c>
      <c r="Q20" s="36">
        <f>L$40</f>
        <v>0.2</v>
      </c>
      <c r="T20" s="28">
        <f>EXP(((LN(2)-LN(G43))/2)+GAMMALN((G43+1)/2)-GAMMALN(G43/2))</f>
        <v>0.98693426752465663</v>
      </c>
      <c r="U20" s="28">
        <f>T20*F43</f>
        <v>3.2509953115818555</v>
      </c>
      <c r="V20" s="28">
        <f>1+(F43^2)*(1-T20^2)</f>
        <v>1.2816913369002698</v>
      </c>
      <c r="W20" s="28">
        <f>(2*U20^3)-((2*G43-1)/G43)*(F43^2*U20)</f>
        <v>2.5048243116529534E-2</v>
      </c>
      <c r="X20" s="11">
        <f>W20/SQRT(V20)^3</f>
        <v>1.7262436599712626E-2</v>
      </c>
      <c r="Y20" s="27">
        <f t="shared" si="1"/>
        <v>1.0413542710097232</v>
      </c>
      <c r="Z20" s="27">
        <f t="shared" si="1"/>
        <v>5.479146573259797</v>
      </c>
    </row>
    <row r="21" spans="1:26" ht="15" thickBot="1" x14ac:dyDescent="0.35">
      <c r="A21" s="23"/>
      <c r="B21" s="34">
        <v>2.1</v>
      </c>
      <c r="C21" s="37">
        <f>IF(H8="",NA(),H8)</f>
        <v>25.828684603371659</v>
      </c>
      <c r="D21" s="37">
        <f t="shared" si="2"/>
        <v>25.828684603371659</v>
      </c>
      <c r="E21" s="37"/>
      <c r="F21" s="37"/>
      <c r="G21" s="36">
        <v>1.5</v>
      </c>
      <c r="H21" s="36">
        <f>$C$41</f>
        <v>20</v>
      </c>
      <c r="I21" s="23"/>
      <c r="J21" s="3"/>
      <c r="K21" s="34">
        <v>2.1</v>
      </c>
      <c r="L21" s="37">
        <f>IF(Q8="",NA(),Q8)</f>
        <v>1.2473827082194537</v>
      </c>
      <c r="M21" s="37">
        <f t="shared" si="3"/>
        <v>1.2473827082194537</v>
      </c>
      <c r="N21" s="38"/>
      <c r="O21" s="38"/>
      <c r="P21" s="36">
        <v>1.5</v>
      </c>
      <c r="Q21" s="36">
        <f>L$41</f>
        <v>0.5</v>
      </c>
      <c r="T21" s="77"/>
      <c r="U21" s="77"/>
      <c r="V21" s="77"/>
      <c r="W21" s="77"/>
      <c r="X21" s="77"/>
      <c r="Y21" s="77"/>
      <c r="Z21" s="77"/>
    </row>
    <row r="22" spans="1:26" ht="15" thickBot="1" x14ac:dyDescent="0.35">
      <c r="A22" s="23"/>
      <c r="B22" s="34">
        <v>2.1</v>
      </c>
      <c r="C22" s="36">
        <f>IF(D8="",NA(),D8)</f>
        <v>23.6</v>
      </c>
      <c r="D22" s="37">
        <f t="shared" si="2"/>
        <v>23.6</v>
      </c>
      <c r="E22" s="37"/>
      <c r="F22" s="37"/>
      <c r="G22" s="36">
        <v>2</v>
      </c>
      <c r="H22" s="36">
        <f>$C$41</f>
        <v>20</v>
      </c>
      <c r="I22" s="23"/>
      <c r="J22" s="3"/>
      <c r="K22" s="34">
        <v>2.1</v>
      </c>
      <c r="L22" s="36">
        <f>IF(M8="",NA(),M8)</f>
        <v>0.72574548509029846</v>
      </c>
      <c r="M22" s="37">
        <f t="shared" si="3"/>
        <v>0.72574548509029846</v>
      </c>
      <c r="N22" s="38"/>
      <c r="O22" s="38"/>
      <c r="P22" s="36">
        <v>2</v>
      </c>
      <c r="Q22" s="36">
        <f>L$41</f>
        <v>0.5</v>
      </c>
      <c r="T22" s="61" t="s">
        <v>14</v>
      </c>
      <c r="U22" s="61" t="s">
        <v>15</v>
      </c>
      <c r="V22" s="61" t="s">
        <v>16</v>
      </c>
      <c r="W22" s="61" t="s">
        <v>17</v>
      </c>
      <c r="X22" s="61" t="s">
        <v>18</v>
      </c>
      <c r="Y22" s="61" t="s">
        <v>19</v>
      </c>
      <c r="Z22" s="61" t="s">
        <v>20</v>
      </c>
    </row>
    <row r="23" spans="1:26" x14ac:dyDescent="0.3">
      <c r="A23" s="23"/>
      <c r="B23" s="34">
        <v>2.1</v>
      </c>
      <c r="C23" s="37">
        <f>IF(G8="",NA(),G8)</f>
        <v>21.371315396628344</v>
      </c>
      <c r="D23" s="37">
        <f t="shared" si="2"/>
        <v>21.371315396628344</v>
      </c>
      <c r="E23" s="37"/>
      <c r="F23" s="37"/>
      <c r="G23" s="36">
        <v>2.5</v>
      </c>
      <c r="H23" s="36">
        <f>$C$41</f>
        <v>20</v>
      </c>
      <c r="I23" s="23"/>
      <c r="J23" s="3"/>
      <c r="K23" s="34">
        <v>2.1</v>
      </c>
      <c r="L23" s="37">
        <f>IF(P8="",NA(),P8)</f>
        <v>0.24925516679792026</v>
      </c>
      <c r="M23" s="37">
        <f t="shared" si="3"/>
        <v>0.24925516679792026</v>
      </c>
      <c r="N23" s="38"/>
      <c r="O23" s="38"/>
      <c r="P23" s="36">
        <v>2.5</v>
      </c>
      <c r="Q23" s="36">
        <f>L$41</f>
        <v>0.5</v>
      </c>
      <c r="T23" s="26">
        <f>W17/(4*V17)</f>
        <v>-2.5928338677586545E-5</v>
      </c>
      <c r="U23" s="26">
        <f>V17/(2*T23^2)</f>
        <v>749167507.73376596</v>
      </c>
      <c r="V23" s="26">
        <f>U17-(U23*T23)</f>
        <v>19424.14556172453</v>
      </c>
      <c r="W23" s="26">
        <f>2*GAMMAINV((1-$Q$4/100)/2,U23/2,1)</f>
        <v>749091642.69022119</v>
      </c>
      <c r="X23" s="26">
        <f>2*GAMMAINV(1-(1-$Q$4/100)/2,U23/2,1)</f>
        <v>749243376.56592238</v>
      </c>
      <c r="Y23" s="26">
        <f>IF(F40&gt;0,V23+(T23*W23),V23+(T23*X23))</f>
        <v>-2.4904578152163594</v>
      </c>
      <c r="Z23" s="26">
        <f>IF(F40&gt;0,V23+(T23*X23),V23+(T23*W23))</f>
        <v>1.4437495028287231</v>
      </c>
    </row>
    <row r="24" spans="1:26" x14ac:dyDescent="0.3">
      <c r="A24" s="23"/>
      <c r="B24" s="34">
        <v>3.1</v>
      </c>
      <c r="C24" s="37" t="e">
        <f>IF(H9="",NA(),H9)</f>
        <v>#N/A</v>
      </c>
      <c r="D24" s="37" t="e">
        <f t="shared" si="2"/>
        <v>#N/A</v>
      </c>
      <c r="E24" s="37"/>
      <c r="F24" s="37"/>
      <c r="G24" s="36">
        <v>2.5</v>
      </c>
      <c r="H24" s="36">
        <f>$C$42</f>
        <v>0</v>
      </c>
      <c r="I24" s="23"/>
      <c r="J24" s="3"/>
      <c r="K24" s="34">
        <v>3.1</v>
      </c>
      <c r="L24" s="37" t="e">
        <f>IF(Q9="",NA(),Q9)</f>
        <v>#N/A</v>
      </c>
      <c r="M24" s="37" t="e">
        <f t="shared" si="3"/>
        <v>#N/A</v>
      </c>
      <c r="N24" s="38"/>
      <c r="O24" s="38"/>
      <c r="P24" s="36">
        <v>2.5</v>
      </c>
      <c r="Q24" s="36">
        <f>L$42</f>
        <v>0</v>
      </c>
      <c r="T24" s="28">
        <f>W18/(4*V18)</f>
        <v>5.2211353042563944E-3</v>
      </c>
      <c r="U24" s="28">
        <f>V18/(2*T24^2)</f>
        <v>23784.41189729964</v>
      </c>
      <c r="V24" s="28">
        <f>U18-(U24*T24)</f>
        <v>-120.84493898923839</v>
      </c>
      <c r="W24" s="28">
        <f>2*GAMMAINV((1-$Q$4/100)/2,U24/2,1)</f>
        <v>23358.835746551209</v>
      </c>
      <c r="X24" s="28">
        <f>2*GAMMAINV(1-(1-$Q$4/100)/2,U24/2,1)</f>
        <v>24213.776636902701</v>
      </c>
      <c r="Y24" s="28">
        <f>IF(F41&gt;0,V24+(T24*W24),V24+(T24*X24))</f>
        <v>1.1147029934063966</v>
      </c>
      <c r="Z24" s="28">
        <f>IF(F41&gt;0,V24+(T24*X24),V24+(T24*W24))</f>
        <v>5.5784650590729683</v>
      </c>
    </row>
    <row r="25" spans="1:26" x14ac:dyDescent="0.3">
      <c r="A25" s="23"/>
      <c r="B25" s="34">
        <v>3.1</v>
      </c>
      <c r="C25" s="36" t="e">
        <f>IF(D9="",NA(),D9)</f>
        <v>#N/A</v>
      </c>
      <c r="D25" s="37" t="e">
        <f t="shared" si="2"/>
        <v>#N/A</v>
      </c>
      <c r="E25" s="37"/>
      <c r="F25" s="37"/>
      <c r="G25" s="36">
        <v>3</v>
      </c>
      <c r="H25" s="36">
        <f>$C$42</f>
        <v>0</v>
      </c>
      <c r="I25" s="23"/>
      <c r="J25" s="3"/>
      <c r="K25" s="34">
        <v>3.1</v>
      </c>
      <c r="L25" s="36" t="e">
        <f>IF(M9="",NA(),M9)</f>
        <v>#N/A</v>
      </c>
      <c r="M25" s="37" t="e">
        <f t="shared" si="3"/>
        <v>#N/A</v>
      </c>
      <c r="N25" s="38"/>
      <c r="O25" s="38"/>
      <c r="P25" s="36">
        <v>3</v>
      </c>
      <c r="Q25" s="36">
        <f>L$42</f>
        <v>0</v>
      </c>
      <c r="T25" s="28" t="e">
        <f>W19/(4*V19)</f>
        <v>#VALUE!</v>
      </c>
      <c r="U25" s="28" t="e">
        <f>V19/(2*T25^2)</f>
        <v>#VALUE!</v>
      </c>
      <c r="V25" s="28" t="e">
        <f>U19-(U25*T25)</f>
        <v>#VALUE!</v>
      </c>
      <c r="W25" s="28" t="e">
        <f>2*GAMMAINV((1-$Q$4/100)/2,U25/2,1)</f>
        <v>#VALUE!</v>
      </c>
      <c r="X25" s="28" t="e">
        <f>2*GAMMAINV(1-(1-$Q$4/100)/2,U25/2,1)</f>
        <v>#VALUE!</v>
      </c>
      <c r="Y25" s="28" t="e">
        <f>IF(F42&gt;0,V25+(T25*W25),V25+(T25*X25))</f>
        <v>#VALUE!</v>
      </c>
      <c r="Z25" s="28" t="e">
        <f>IF(F42&gt;0,V25+(T25*X25),V25+(T25*W25))</f>
        <v>#VALUE!</v>
      </c>
    </row>
    <row r="26" spans="1:26" ht="15" thickBot="1" x14ac:dyDescent="0.35">
      <c r="A26" s="23"/>
      <c r="B26" s="34">
        <v>3.1</v>
      </c>
      <c r="C26" s="37" t="e">
        <f>IF(G9="",NA(),G9)</f>
        <v>#N/A</v>
      </c>
      <c r="D26" s="37" t="e">
        <f t="shared" si="2"/>
        <v>#N/A</v>
      </c>
      <c r="E26" s="37"/>
      <c r="F26" s="37"/>
      <c r="G26" s="36">
        <v>3.5</v>
      </c>
      <c r="H26" s="36">
        <f>$C$42</f>
        <v>0</v>
      </c>
      <c r="I26" s="23"/>
      <c r="J26" s="3"/>
      <c r="K26" s="34">
        <v>3.1</v>
      </c>
      <c r="L26" s="37" t="e">
        <f>IF(P9="",NA(),P9)</f>
        <v>#N/A</v>
      </c>
      <c r="M26" s="37" t="e">
        <f t="shared" si="3"/>
        <v>#N/A</v>
      </c>
      <c r="N26" s="38"/>
      <c r="O26" s="38"/>
      <c r="P26" s="36">
        <v>3.5</v>
      </c>
      <c r="Q26" s="36">
        <f>L$42</f>
        <v>0</v>
      </c>
      <c r="T26" s="51">
        <f>W20/(4*V20)</f>
        <v>4.8857791254772621E-3</v>
      </c>
      <c r="U26" s="51">
        <f>V20/(2*T26^2)</f>
        <v>26846.383754886432</v>
      </c>
      <c r="V26" s="51">
        <f>U20-(U26*T26)</f>
        <v>-127.91450603259416</v>
      </c>
      <c r="W26" s="51">
        <f>2*GAMMAINV((1-$Q$4/100)/2,U26/2,1)</f>
        <v>26394.124046900495</v>
      </c>
      <c r="X26" s="51">
        <f>2*GAMMAINV(1-(1-$Q$4/100)/2,U26/2,1)</f>
        <v>27302.432054339653</v>
      </c>
      <c r="Y26" s="51">
        <f>IF(F43&gt;0,V26+(T26*W26),V26+(T26*X26))</f>
        <v>1.0413542710097232</v>
      </c>
      <c r="Z26" s="51">
        <f>IF(F43&gt;0,V26+(T26*X26),V26+(T26*W26))</f>
        <v>5.479146573259797</v>
      </c>
    </row>
    <row r="27" spans="1:26" ht="15" thickBot="1" x14ac:dyDescent="0.35">
      <c r="A27" s="23"/>
      <c r="B27" s="34">
        <v>4.0999999999999996</v>
      </c>
      <c r="C27" s="37">
        <f>IF(H10="",NA(),H10)</f>
        <v>25.560354500034347</v>
      </c>
      <c r="D27" s="37">
        <f t="shared" si="2"/>
        <v>25.560354500034347</v>
      </c>
      <c r="E27" s="37"/>
      <c r="F27" s="37"/>
      <c r="G27" s="36">
        <v>3.5</v>
      </c>
      <c r="H27" s="36">
        <f>$C$43</f>
        <v>20</v>
      </c>
      <c r="I27" s="23"/>
      <c r="J27" s="3"/>
      <c r="K27" s="34">
        <v>4.0999999999999996</v>
      </c>
      <c r="L27" s="37">
        <f>IF(Q10="",NA(),Q10)</f>
        <v>1.2251744196493937</v>
      </c>
      <c r="M27" s="37">
        <f t="shared" si="3"/>
        <v>1.2251744196493937</v>
      </c>
      <c r="N27" s="38"/>
      <c r="O27" s="38"/>
      <c r="P27" s="36">
        <v>3.5</v>
      </c>
      <c r="Q27" s="36">
        <f>L$43</f>
        <v>0.5</v>
      </c>
      <c r="T27" s="8"/>
      <c r="U27" s="8"/>
      <c r="V27" s="8"/>
      <c r="W27" s="8"/>
      <c r="X27" s="8"/>
      <c r="Y27" s="8"/>
      <c r="Z27" s="8"/>
    </row>
    <row r="28" spans="1:26" ht="15" thickBot="1" x14ac:dyDescent="0.35">
      <c r="A28" s="23"/>
      <c r="B28" s="35">
        <v>4.0999999999999996</v>
      </c>
      <c r="C28" s="36">
        <f>IF(D10="",NA(),D10)</f>
        <v>23.4</v>
      </c>
      <c r="D28" s="37">
        <f t="shared" si="2"/>
        <v>23.4</v>
      </c>
      <c r="E28" s="37"/>
      <c r="F28" s="37"/>
      <c r="G28" s="36">
        <v>4</v>
      </c>
      <c r="H28" s="36">
        <f>$C$43</f>
        <v>20</v>
      </c>
      <c r="I28" s="23"/>
      <c r="J28" s="3"/>
      <c r="K28" s="35">
        <v>4.0999999999999996</v>
      </c>
      <c r="L28" s="36">
        <f>IF(M10="",NA(),M10)</f>
        <v>0.70710571923743482</v>
      </c>
      <c r="M28" s="37">
        <f t="shared" si="3"/>
        <v>0.70710571923743482</v>
      </c>
      <c r="N28" s="38"/>
      <c r="O28" s="38"/>
      <c r="P28" s="36">
        <v>4</v>
      </c>
      <c r="Q28" s="36">
        <f>L$43</f>
        <v>0.5</v>
      </c>
      <c r="V28" s="61" t="s">
        <v>68</v>
      </c>
      <c r="W28" s="61" t="s">
        <v>69</v>
      </c>
      <c r="X28" s="61" t="s">
        <v>70</v>
      </c>
      <c r="Y28" s="61" t="s">
        <v>19</v>
      </c>
      <c r="Z28" s="61" t="s">
        <v>20</v>
      </c>
    </row>
    <row r="29" spans="1:26" x14ac:dyDescent="0.3">
      <c r="A29" s="23"/>
      <c r="B29" s="35">
        <v>4.0999999999999996</v>
      </c>
      <c r="C29" s="37">
        <f>IF(G10="",NA(),G10)</f>
        <v>21.239645499965651</v>
      </c>
      <c r="D29" s="37">
        <f t="shared" si="2"/>
        <v>21.239645499965651</v>
      </c>
      <c r="E29" s="37"/>
      <c r="F29" s="37"/>
      <c r="G29" s="36">
        <v>4.5</v>
      </c>
      <c r="H29" s="36">
        <f>$C$43</f>
        <v>20</v>
      </c>
      <c r="I29" s="23"/>
      <c r="J29" s="3"/>
      <c r="K29" s="35">
        <v>4.0999999999999996</v>
      </c>
      <c r="L29" s="37">
        <f>IF(P10="",NA(),P10)</f>
        <v>0.23285389386374797</v>
      </c>
      <c r="M29" s="36">
        <f t="shared" si="3"/>
        <v>0.23285389386374797</v>
      </c>
      <c r="N29" s="38"/>
      <c r="O29" s="38"/>
      <c r="P29" s="36">
        <v>4.5</v>
      </c>
      <c r="Q29" s="36">
        <f>L$43</f>
        <v>0.5</v>
      </c>
      <c r="V29" s="27">
        <f>SQRT(V17)</f>
        <v>1.0036427582336673</v>
      </c>
      <c r="W29" s="27">
        <f>NORMINV((1-$Q$4/100)/2,0,1)</f>
        <v>-1.9599639845400536</v>
      </c>
      <c r="X29" s="27">
        <f>NORMINV(1-(1-$Q$4/100)/2,0,1)</f>
        <v>1.9599639845400536</v>
      </c>
      <c r="Y29" s="27">
        <f>U17+W29*V29</f>
        <v>-2.4904086994744219</v>
      </c>
      <c r="Z29" s="27">
        <f>U17+X29*V29</f>
        <v>1.4437986194904346</v>
      </c>
    </row>
    <row r="30" spans="1:26" x14ac:dyDescent="0.3">
      <c r="A30" s="23"/>
      <c r="B30" s="34"/>
      <c r="C30" s="34"/>
      <c r="D30" s="34"/>
      <c r="E30" s="34"/>
      <c r="F30" s="34"/>
      <c r="G30" s="34"/>
      <c r="H30" s="34"/>
      <c r="I30" s="23"/>
      <c r="J30" s="3"/>
      <c r="K30" s="23"/>
      <c r="L30" s="23"/>
      <c r="M30" s="23"/>
      <c r="N30" s="23"/>
      <c r="O30" s="23"/>
      <c r="P30" s="23"/>
      <c r="Q30" s="23"/>
      <c r="V30" s="27">
        <f>SQRT(V18)</f>
        <v>1.1387441383897428</v>
      </c>
      <c r="W30" s="27">
        <f>NORMINV((1-$Q$4/100)/2,0,1)</f>
        <v>-1.9599639845400536</v>
      </c>
      <c r="X30" s="27">
        <f>NORMINV(1-(1-$Q$4/100)/2,0,1)</f>
        <v>1.9599639845400536</v>
      </c>
      <c r="Y30" s="27">
        <f>U18+W30*V30</f>
        <v>1.1047961598785889</v>
      </c>
      <c r="Z30" s="27">
        <f>U18+X30*V30</f>
        <v>5.5685911575785694</v>
      </c>
    </row>
    <row r="31" spans="1:26" x14ac:dyDescent="0.3">
      <c r="A31" s="23"/>
      <c r="B31" s="25"/>
      <c r="C31" s="25"/>
      <c r="D31" s="25"/>
      <c r="E31" s="25"/>
      <c r="F31" s="25"/>
      <c r="G31" s="25"/>
      <c r="H31" s="25"/>
      <c r="I31" s="23"/>
      <c r="J31" s="3"/>
      <c r="K31" s="23"/>
      <c r="L31" s="23"/>
      <c r="M31" s="23"/>
      <c r="N31" s="23"/>
      <c r="O31" s="23"/>
      <c r="P31" s="23"/>
      <c r="Q31" s="23"/>
      <c r="V31" s="27" t="e">
        <f>SQRT(V19)</f>
        <v>#VALUE!</v>
      </c>
      <c r="W31" s="27">
        <f>NORMINV((1-$Q$4/100)/2,0,1)</f>
        <v>-1.9599639845400536</v>
      </c>
      <c r="X31" s="27">
        <f>NORMINV(1-(1-$Q$4/100)/2,0,1)</f>
        <v>1.9599639845400536</v>
      </c>
      <c r="Y31" s="27" t="e">
        <f>U19+W31*V31</f>
        <v>#VALUE!</v>
      </c>
      <c r="Z31" s="27" t="e">
        <f>U19+X31*V31</f>
        <v>#VALUE!</v>
      </c>
    </row>
    <row r="32" spans="1:26" ht="15" thickBot="1" x14ac:dyDescent="0.35">
      <c r="A32" s="23"/>
      <c r="B32" s="31"/>
      <c r="C32" s="25"/>
      <c r="D32" s="25"/>
      <c r="E32" s="25"/>
      <c r="F32" s="25"/>
      <c r="G32" s="25"/>
      <c r="H32" s="25"/>
      <c r="I32" s="23"/>
      <c r="K32" s="82"/>
      <c r="L32" s="82"/>
      <c r="M32" s="82"/>
      <c r="N32" s="82"/>
      <c r="O32" s="82"/>
      <c r="P32" s="82"/>
      <c r="Q32" s="82"/>
      <c r="V32" s="27">
        <f>SQRT(V20)</f>
        <v>1.13211807551168</v>
      </c>
      <c r="W32" s="27">
        <f>NORMINV((1-$Q$4/100)/2,0,1)</f>
        <v>-1.9599639845400536</v>
      </c>
      <c r="X32" s="27">
        <f>NORMINV(1-(1-$Q$4/100)/2,0,1)</f>
        <v>1.9599639845400536</v>
      </c>
      <c r="Y32" s="27">
        <f>U20+W32*V32</f>
        <v>1.0320846573321658</v>
      </c>
      <c r="Z32" s="27">
        <f>U20+X32*V32</f>
        <v>5.4699059658315452</v>
      </c>
    </row>
    <row r="33" spans="1:26" ht="15.6" x14ac:dyDescent="0.3">
      <c r="A33" s="4"/>
      <c r="B33" s="31"/>
      <c r="C33" s="25"/>
      <c r="D33" s="25"/>
      <c r="E33" s="25"/>
      <c r="F33" s="25"/>
      <c r="G33" s="25"/>
      <c r="H33" s="25"/>
      <c r="I33" s="3"/>
      <c r="J33" s="4"/>
      <c r="K33" s="82"/>
      <c r="L33" s="82"/>
      <c r="M33" s="82"/>
      <c r="N33" s="82"/>
      <c r="O33" s="82"/>
      <c r="P33" s="82"/>
      <c r="Q33" s="82"/>
      <c r="V33" s="8"/>
      <c r="W33" s="8"/>
      <c r="X33" s="8"/>
      <c r="Y33" s="8"/>
      <c r="Z33" s="8"/>
    </row>
    <row r="34" spans="1:26" x14ac:dyDescent="0.3">
      <c r="A34" s="3"/>
      <c r="B34" s="82"/>
      <c r="C34" s="23"/>
      <c r="D34" s="23"/>
      <c r="E34" s="23"/>
      <c r="F34" s="23"/>
      <c r="G34" s="23"/>
      <c r="H34" s="23"/>
      <c r="I34" s="3"/>
      <c r="K34" s="39"/>
      <c r="L34" s="39"/>
      <c r="M34" s="39"/>
      <c r="N34" s="39"/>
      <c r="O34" s="39"/>
      <c r="P34" s="39"/>
      <c r="Q34" s="39"/>
    </row>
    <row r="35" spans="1:26" x14ac:dyDescent="0.3">
      <c r="A35" s="3"/>
      <c r="B35" s="82"/>
      <c r="C35" s="23"/>
      <c r="D35" s="23"/>
      <c r="E35" s="23"/>
      <c r="F35" s="23"/>
      <c r="G35" s="23"/>
      <c r="H35" s="23"/>
      <c r="I35" s="3"/>
      <c r="K35" s="39"/>
      <c r="L35" s="39"/>
      <c r="M35" s="39"/>
      <c r="N35" s="39"/>
      <c r="O35" s="39"/>
      <c r="P35" s="39"/>
      <c r="Q35" s="39"/>
    </row>
    <row r="37" spans="1:26" ht="15.6" x14ac:dyDescent="0.3">
      <c r="B37" s="45" t="s">
        <v>107</v>
      </c>
      <c r="I37" s="3"/>
      <c r="J37" s="3"/>
      <c r="K37" s="45" t="s">
        <v>112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65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I39" s="3"/>
      <c r="J39" s="3"/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1:26" x14ac:dyDescent="0.3">
      <c r="B40" s="17" t="str">
        <f>B7</f>
        <v>Pretest</v>
      </c>
      <c r="C40" s="13">
        <v>20</v>
      </c>
      <c r="D40" s="26">
        <f>IFERROR(D7-C40,"")</f>
        <v>-0.69999999999999929</v>
      </c>
      <c r="E40" s="26">
        <f>Data!Z7</f>
        <v>1.3201745339158757</v>
      </c>
      <c r="F40" s="26">
        <f>IFERROR(D40/E40,"")</f>
        <v>-0.53023292149385204</v>
      </c>
      <c r="G40" s="41">
        <f>Data!Y7</f>
        <v>19</v>
      </c>
      <c r="H40" s="26">
        <f>IFERROR(IF(TDIST(ABS(F40),G40,2)&lt;0.001,"&lt; 0.001",TDIST(ABS(F40),G40,2)),"")</f>
        <v>0.60209292242601187</v>
      </c>
      <c r="I40" s="3"/>
      <c r="J40" s="3"/>
      <c r="K40" s="17" t="str">
        <f>K7</f>
        <v>Pretest</v>
      </c>
      <c r="L40" s="13">
        <v>0.2</v>
      </c>
      <c r="M40" s="3"/>
      <c r="N40" s="3"/>
      <c r="O40" s="3"/>
      <c r="P40" s="3"/>
      <c r="Q40" s="3"/>
    </row>
    <row r="41" spans="1:26" x14ac:dyDescent="0.3">
      <c r="B41" s="19" t="str">
        <f>B8</f>
        <v>Posttest</v>
      </c>
      <c r="C41" s="14">
        <v>20</v>
      </c>
      <c r="D41" s="28">
        <f>IFERROR(D8-C41,"")</f>
        <v>3.6000000000000014</v>
      </c>
      <c r="E41" s="28">
        <f>Data!Z8</f>
        <v>1.0648155708853997</v>
      </c>
      <c r="F41" s="28">
        <f>IFERROR(D41/E41,"")</f>
        <v>3.380867164636391</v>
      </c>
      <c r="G41" s="42">
        <f>Data!Y8</f>
        <v>19</v>
      </c>
      <c r="H41" s="28">
        <f>IFERROR(IF(TDIST(ABS(F41),G41,2)&lt;0.001,"&lt; 0.001",TDIST(ABS(F41),G41,2)),"")</f>
        <v>3.1372928643839228E-3</v>
      </c>
      <c r="I41" s="3"/>
      <c r="J41" s="3"/>
      <c r="K41" s="19" t="str">
        <f>K8</f>
        <v>Posttest</v>
      </c>
      <c r="L41" s="14">
        <v>0.5</v>
      </c>
      <c r="M41" s="3"/>
      <c r="N41" s="3"/>
      <c r="O41" s="3"/>
      <c r="P41" s="3"/>
      <c r="Q41" s="3"/>
    </row>
    <row r="42" spans="1:26" x14ac:dyDescent="0.3">
      <c r="B42" s="19" t="str">
        <f>B9</f>
        <v/>
      </c>
      <c r="C42" s="14"/>
      <c r="D42" s="28" t="str">
        <f>IFERROR(D9-C42,"")</f>
        <v/>
      </c>
      <c r="E42" s="28" t="str">
        <f>Data!Z9</f>
        <v/>
      </c>
      <c r="F42" s="28" t="str">
        <f>IFERROR(D42/E42,"")</f>
        <v/>
      </c>
      <c r="G42" s="42" t="str">
        <f>Data!Y9</f>
        <v/>
      </c>
      <c r="H42" s="28" t="str">
        <f>IFERROR(IF(TDIST(ABS(F42),G42,2)&lt;0.001,"&lt; 0.001",TDIST(ABS(F42),G42,2)),"")</f>
        <v/>
      </c>
      <c r="I42" s="3"/>
      <c r="J42" s="3"/>
      <c r="K42" s="19" t="str">
        <f>K9</f>
        <v/>
      </c>
      <c r="L42" s="14"/>
      <c r="M42" s="3"/>
      <c r="N42" s="3"/>
      <c r="O42" s="3"/>
      <c r="P42" s="3"/>
      <c r="Q42" s="3"/>
    </row>
    <row r="43" spans="1:26" ht="15" thickBot="1" x14ac:dyDescent="0.35">
      <c r="B43" s="90" t="str">
        <f>B10</f>
        <v>Followup</v>
      </c>
      <c r="C43" s="14">
        <v>20</v>
      </c>
      <c r="D43" s="51">
        <f>IFERROR(D10-C43,"")</f>
        <v>3.3999999999999986</v>
      </c>
      <c r="E43" s="51">
        <f>Data!Z10</f>
        <v>1.0321689784139028</v>
      </c>
      <c r="F43" s="51">
        <f>IFERROR(D43/E43,"")</f>
        <v>3.294034282278719</v>
      </c>
      <c r="G43" s="50">
        <f>Data!Y10</f>
        <v>19</v>
      </c>
      <c r="H43" s="51">
        <f>IFERROR(IF(TDIST(ABS(F43),G43,2)&lt;0.001,"&lt; 0.001",TDIST(ABS(F43),G43,2)),"")</f>
        <v>3.8162875962535286E-3</v>
      </c>
      <c r="I43" s="3"/>
      <c r="J43" s="3"/>
      <c r="K43" s="90" t="str">
        <f>K10</f>
        <v>Followup</v>
      </c>
      <c r="L43" s="49">
        <v>0.5</v>
      </c>
      <c r="M43" s="3"/>
      <c r="N43" s="3"/>
      <c r="O43" s="3"/>
      <c r="P43" s="3"/>
      <c r="Q43" s="3"/>
    </row>
    <row r="44" spans="1:26" x14ac:dyDescent="0.3">
      <c r="B44" s="77"/>
      <c r="C44" s="2"/>
      <c r="D44" s="77"/>
      <c r="E44" s="8"/>
      <c r="F44" s="8"/>
      <c r="G44" s="8"/>
      <c r="H44" s="8"/>
      <c r="I44" s="3"/>
      <c r="J44" s="3"/>
      <c r="K44" s="7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0" zoomScaleNormal="100" workbookViewId="0">
      <selection activeCell="C40" sqref="C40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30" t="s">
        <v>99</v>
      </c>
      <c r="C2" s="130"/>
      <c r="D2" s="130"/>
      <c r="E2" s="130"/>
      <c r="F2" s="130"/>
      <c r="G2" s="130"/>
      <c r="H2" s="130"/>
      <c r="K2" s="130" t="s">
        <v>113</v>
      </c>
      <c r="L2" s="130"/>
      <c r="M2" s="130"/>
      <c r="N2" s="130"/>
      <c r="O2" s="130"/>
      <c r="P2" s="130"/>
      <c r="Q2" s="130"/>
    </row>
    <row r="4" spans="2:26" ht="15.6" x14ac:dyDescent="0.3">
      <c r="B4" s="45" t="s">
        <v>106</v>
      </c>
      <c r="G4" s="11" t="s">
        <v>33</v>
      </c>
      <c r="H4" s="16">
        <v>95</v>
      </c>
      <c r="K4" s="45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65" t="s">
        <v>60</v>
      </c>
      <c r="C6" s="65" t="s">
        <v>1</v>
      </c>
      <c r="D6" s="65" t="s">
        <v>11</v>
      </c>
      <c r="E6" s="65" t="s">
        <v>68</v>
      </c>
      <c r="F6" s="65" t="s">
        <v>75</v>
      </c>
      <c r="G6" s="138" t="s">
        <v>78</v>
      </c>
      <c r="H6" s="138"/>
      <c r="K6" s="47" t="s">
        <v>60</v>
      </c>
      <c r="L6" s="47" t="s">
        <v>3</v>
      </c>
      <c r="M6" s="47" t="s">
        <v>23</v>
      </c>
      <c r="N6" s="47" t="str">
        <f t="shared" ref="N6:N8" si="0">G39</f>
        <v>df</v>
      </c>
      <c r="O6" s="47" t="s">
        <v>75</v>
      </c>
      <c r="P6" s="137" t="s">
        <v>59</v>
      </c>
      <c r="Q6" s="137"/>
    </row>
    <row r="7" spans="2:26" x14ac:dyDescent="0.3">
      <c r="B7" s="80">
        <v>2</v>
      </c>
      <c r="C7" s="54">
        <f>IF(B7="","",VLOOKUP($B7,Data!$U$7:$X$10,2,FALSE))</f>
        <v>20</v>
      </c>
      <c r="D7" s="26">
        <f>IF(B7="","",VLOOKUP($B7,Data!$U$7:$X$10,3,FALSE))</f>
        <v>23.6</v>
      </c>
      <c r="E7" s="26">
        <f>IF(B7="","",VLOOKUP($B7,Data!$U$7:$X$10,4,FALSE))</f>
        <v>4.7619999999999996</v>
      </c>
      <c r="F7" s="26">
        <f>IFERROR(E7/SQRT(C7),"")</f>
        <v>1.0648155708853997</v>
      </c>
      <c r="G7" s="26">
        <f>IFERROR(D7-TINV(1-$H$4/100,C7-1)*F7,"")</f>
        <v>21.371315396628344</v>
      </c>
      <c r="H7" s="26">
        <f>IFERROR(D7+TINV(1-$H$4/100,C7-1)*F7,"")</f>
        <v>25.828684603371659</v>
      </c>
      <c r="K7" s="17">
        <f>IF(B7="","",B7)</f>
        <v>2</v>
      </c>
      <c r="L7" s="18">
        <f>IFERROR((D7-C40)/E7,"")</f>
        <v>0.7559848803023943</v>
      </c>
      <c r="M7" s="18">
        <f>IFERROR((1-3/(4*G40-1))*L7,"")</f>
        <v>0.72574548509029846</v>
      </c>
      <c r="N7" s="41">
        <f t="shared" si="0"/>
        <v>19</v>
      </c>
      <c r="O7" s="18">
        <f>IFERROR(SQRT((N7+2)/(Data!V7*Data!V7)+((L7^2)/(2*(N7+2)))),"")</f>
        <v>0.25711370188367866</v>
      </c>
      <c r="P7" s="26">
        <f>IFERROR(Y17*SQRT(1/C7),"")</f>
        <v>0.24925516679792026</v>
      </c>
      <c r="Q7" s="26">
        <f>IFERROR(Z17*SQRT(1/C7),"")</f>
        <v>1.2473827082194537</v>
      </c>
    </row>
    <row r="8" spans="2:26" ht="15" thickBot="1" x14ac:dyDescent="0.35">
      <c r="B8" s="120">
        <v>1</v>
      </c>
      <c r="C8" s="58">
        <f>IF(B8="","",VLOOKUP($B8,Data!$U$7:$X$10,2,FALSE))</f>
        <v>20</v>
      </c>
      <c r="D8" s="29">
        <f>IF(B8="","",VLOOKUP($B8,Data!$U$7:$X$10,3,FALSE))</f>
        <v>19.3</v>
      </c>
      <c r="E8" s="29">
        <f>IF(B8="","",VLOOKUP($B8,Data!$U$7:$X$10,4,FALSE))</f>
        <v>5.9039999999999999</v>
      </c>
      <c r="F8" s="51">
        <f>IFERROR(E8/SQRT(C8),"")</f>
        <v>1.3201745339158757</v>
      </c>
      <c r="G8" s="51">
        <f>IFERROR(D8-TINV(1-$H$4/100,C8-1)*F8,"")</f>
        <v>16.536842944496797</v>
      </c>
      <c r="H8" s="51">
        <f>IFERROR(D8+TINV(1-$H$4/100,C8-1)*F8,"")</f>
        <v>22.063157055503204</v>
      </c>
      <c r="K8" s="90">
        <f>IF(B8="","",B8)</f>
        <v>1</v>
      </c>
      <c r="L8" s="48">
        <f>IFERROR((D8-C41)/E8,"")</f>
        <v>-0.11856368563685625</v>
      </c>
      <c r="M8" s="48">
        <f>IFERROR((1-3/(4*G41-1))*L8,"")</f>
        <v>-0.113821138211382</v>
      </c>
      <c r="N8" s="50">
        <f t="shared" si="0"/>
        <v>19</v>
      </c>
      <c r="O8" s="48">
        <f>IFERROR(SQRT((N8+2)/(Data!V8*Data!V8)+((L8^2)/(2*(N8+2)))),"")</f>
        <v>0.22985799692687053</v>
      </c>
      <c r="P8" s="51">
        <f>IFERROR(Y18*SQRT(1/C8),"")</f>
        <v>-0.5568723143781652</v>
      </c>
      <c r="Q8" s="51">
        <f>IFERROR(Z18*SQRT(1/C8),"")</f>
        <v>0.32284318590009647</v>
      </c>
    </row>
    <row r="9" spans="2:26" ht="15" thickBot="1" x14ac:dyDescent="0.35"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</row>
    <row r="10" spans="2:26" ht="15" thickBot="1" x14ac:dyDescent="0.35">
      <c r="B10" s="47" t="s">
        <v>111</v>
      </c>
      <c r="C10" s="47"/>
      <c r="D10" s="47" t="s">
        <v>76</v>
      </c>
      <c r="E10" s="65" t="s">
        <v>68</v>
      </c>
      <c r="F10" s="47" t="s">
        <v>75</v>
      </c>
      <c r="G10" s="137" t="s">
        <v>77</v>
      </c>
      <c r="H10" s="137"/>
      <c r="K10" s="47" t="s">
        <v>111</v>
      </c>
      <c r="L10" s="47" t="s">
        <v>3</v>
      </c>
      <c r="M10" s="47" t="s">
        <v>23</v>
      </c>
      <c r="N10" s="47" t="str">
        <f t="shared" ref="N10" si="1">G43</f>
        <v>df</v>
      </c>
      <c r="O10" s="47" t="s">
        <v>75</v>
      </c>
      <c r="P10" s="137" t="s">
        <v>59</v>
      </c>
      <c r="Q10" s="137"/>
    </row>
    <row r="11" spans="2:26" ht="15" thickBot="1" x14ac:dyDescent="0.35">
      <c r="B11" s="97" t="s">
        <v>100</v>
      </c>
      <c r="C11" s="108">
        <f>VLOOKUP(SMALL(B7:B8,1),Data!V22:Z25,MATCH(LARGE(B7:B8,1),Data!V21:Z21,0),FALSE)</f>
        <v>0.49299999999999999</v>
      </c>
      <c r="D11" s="98">
        <f>IFERROR(D8-D7,"")</f>
        <v>-4.3000000000000007</v>
      </c>
      <c r="E11" s="98">
        <f>IFERROR(F11*SQRT(C7),"")</f>
        <v>5.4600933940730361</v>
      </c>
      <c r="F11" s="98">
        <f>IFERROR(SQRT(F7^2+F8^2-2*C11*F7*F8),"")</f>
        <v>1.2209139992644855</v>
      </c>
      <c r="G11" s="98">
        <f>IFERROR(D11-TINV(1-$H$4/100,G44)*F11,"")</f>
        <v>-6.855402368824417</v>
      </c>
      <c r="H11" s="98">
        <f>IFERROR(D11+TINV(1-$H$4/100,G44)*F11,"")</f>
        <v>-1.7445976311755844</v>
      </c>
      <c r="K11" s="105" t="str">
        <f>B11</f>
        <v>Difference</v>
      </c>
      <c r="L11" s="20">
        <f>IFERROR(D11/SQRT((E7^2+E8^2)/2),"")</f>
        <v>-0.80171811612841581</v>
      </c>
      <c r="M11" s="20">
        <f>IFERROR((1-3/(4*N11-1))*L11,"")</f>
        <v>-0.76964939148327915</v>
      </c>
      <c r="N11" s="42">
        <f>G44</f>
        <v>19</v>
      </c>
      <c r="O11" s="28">
        <f>IFERROR(SQRT((1/C7)+((L11^2)/(2*C7))*2*(1-C11)),"")</f>
        <v>0.2574757495792902</v>
      </c>
      <c r="P11" s="28">
        <f>IFERROR(Y19*SQRT(1/C7),"")</f>
        <v>-1.2811517861921233</v>
      </c>
      <c r="Q11" s="28">
        <f>IFERROR(Z19*SQRT(1/C7),"")</f>
        <v>-0.2733334740646749</v>
      </c>
    </row>
    <row r="12" spans="2:26" x14ac:dyDescent="0.3">
      <c r="B12" s="8"/>
      <c r="C12" s="8"/>
      <c r="D12" s="8"/>
      <c r="E12" s="8"/>
      <c r="F12" s="8"/>
      <c r="G12" s="8"/>
      <c r="H12" s="8"/>
      <c r="K12" s="2"/>
      <c r="L12" s="2"/>
      <c r="M12" s="2"/>
      <c r="N12" s="2"/>
      <c r="O12" s="2"/>
      <c r="P12" s="2"/>
      <c r="Q12" s="2"/>
    </row>
    <row r="14" spans="2:26" ht="15.6" x14ac:dyDescent="0.3">
      <c r="B14" s="45" t="s">
        <v>108</v>
      </c>
      <c r="G14" s="11" t="s">
        <v>104</v>
      </c>
      <c r="H14" s="104">
        <v>5</v>
      </c>
      <c r="K14" s="45" t="s">
        <v>108</v>
      </c>
      <c r="P14" s="11" t="s">
        <v>104</v>
      </c>
      <c r="Q14" s="104">
        <v>0.5</v>
      </c>
      <c r="T14" s="6" t="s">
        <v>21</v>
      </c>
    </row>
    <row r="15" spans="2:26" ht="15" thickBot="1" x14ac:dyDescent="0.35">
      <c r="B15" s="27"/>
      <c r="C15" s="27"/>
      <c r="D15" s="27"/>
      <c r="E15" s="27"/>
      <c r="K15" s="27"/>
      <c r="L15" s="27"/>
      <c r="M15" s="27"/>
      <c r="N15" s="27"/>
    </row>
    <row r="16" spans="2:26" ht="15" thickBot="1" x14ac:dyDescent="0.35">
      <c r="B16" s="95" t="s">
        <v>73</v>
      </c>
      <c r="C16" s="82"/>
      <c r="D16" s="82"/>
      <c r="E16" s="82"/>
      <c r="F16" s="95" t="s">
        <v>101</v>
      </c>
      <c r="G16" s="82"/>
      <c r="H16" s="94">
        <f>IF(H14="",H32,H14)</f>
        <v>5</v>
      </c>
      <c r="J16" s="94"/>
      <c r="K16" s="95" t="s">
        <v>73</v>
      </c>
      <c r="L16" s="82"/>
      <c r="M16" s="82"/>
      <c r="N16" s="82"/>
      <c r="O16" s="95" t="s">
        <v>101</v>
      </c>
      <c r="P16" s="82"/>
      <c r="Q16" s="94">
        <f>IF(Q14="",Q32,Q14)</f>
        <v>0.5</v>
      </c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1" t="s">
        <v>0</v>
      </c>
      <c r="C17" s="31" t="s">
        <v>72</v>
      </c>
      <c r="D17" s="31" t="s">
        <v>74</v>
      </c>
      <c r="E17" s="82"/>
      <c r="F17" s="94" t="s">
        <v>31</v>
      </c>
      <c r="G17" s="94" t="s">
        <v>72</v>
      </c>
      <c r="H17" s="94" t="s">
        <v>74</v>
      </c>
      <c r="J17" s="94"/>
      <c r="K17" s="31" t="s">
        <v>0</v>
      </c>
      <c r="L17" s="31" t="s">
        <v>72</v>
      </c>
      <c r="M17" s="31" t="s">
        <v>74</v>
      </c>
      <c r="N17" s="82"/>
      <c r="O17" s="94" t="s">
        <v>31</v>
      </c>
      <c r="P17" s="94" t="s">
        <v>72</v>
      </c>
      <c r="Q17" s="94" t="s">
        <v>74</v>
      </c>
      <c r="S17" s="106"/>
      <c r="T17" s="26">
        <f>EXP(((LN(2)-LN(G40))/2)+GAMMALN((G40+1)/2)-GAMMALN(G40/2))</f>
        <v>0.98693426752465663</v>
      </c>
      <c r="U17" s="26">
        <f>T17*F40</f>
        <v>3.3366936587285791</v>
      </c>
      <c r="V17" s="26">
        <f>1+(F40^2)*(1-T17^2)</f>
        <v>1.2967382127169977</v>
      </c>
      <c r="W17" s="26">
        <f>(2*U17^3)-((2*G40-1)/G40)*(F40^2*U17)</f>
        <v>2.708178265118022E-2</v>
      </c>
      <c r="X17" s="11">
        <f>W17/SQRT(V17)^3</f>
        <v>1.8339976921029566E-2</v>
      </c>
      <c r="Y17" s="27">
        <f t="shared" ref="Y17:Z19" si="2">IF($X17&lt;0.001,Y27,Y22)</f>
        <v>1.1147029934063966</v>
      </c>
      <c r="Z17" s="27">
        <f t="shared" si="2"/>
        <v>5.5784650590729683</v>
      </c>
    </row>
    <row r="18" spans="2:26" x14ac:dyDescent="0.3">
      <c r="B18" s="31">
        <v>1.1000000000000001</v>
      </c>
      <c r="C18" s="94">
        <f>IF(H7="",NA(),H7)</f>
        <v>25.828684603371659</v>
      </c>
      <c r="D18" s="94">
        <f t="shared" ref="D18:D23" si="3">C18</f>
        <v>25.828684603371659</v>
      </c>
      <c r="E18" s="82"/>
      <c r="F18" s="94">
        <v>3.15</v>
      </c>
      <c r="G18" s="94" t="e">
        <f>IF(G19&gt;$F$31,NA(),G19+$H$16)</f>
        <v>#N/A</v>
      </c>
      <c r="H18" s="94" t="e">
        <f t="shared" ref="H18:H21" si="4">G18-$G$23</f>
        <v>#N/A</v>
      </c>
      <c r="I18" s="99"/>
      <c r="J18" s="94"/>
      <c r="K18" s="31">
        <v>1.1000000000000001</v>
      </c>
      <c r="L18" s="94">
        <f>IF(Q7="",NA(),Q7)</f>
        <v>1.2473827082194537</v>
      </c>
      <c r="M18" s="94">
        <f t="shared" ref="M18:M23" si="5">L18</f>
        <v>1.2473827082194537</v>
      </c>
      <c r="N18" s="82"/>
      <c r="O18" s="94">
        <v>3.15</v>
      </c>
      <c r="P18" s="94" t="e">
        <f>IF(P19&gt;$O$31,NA(),P19+$Q$16)</f>
        <v>#N/A</v>
      </c>
      <c r="Q18" s="94" t="e">
        <f t="shared" ref="Q18:Q28" si="6">P18-$P$23</f>
        <v>#N/A</v>
      </c>
      <c r="R18" s="99"/>
      <c r="T18" s="28">
        <f>EXP(((LN(2)-LN(G41))/2)+GAMMALN((G41+1)/2)-GAMMALN(G41/2))</f>
        <v>0.98693426752465663</v>
      </c>
      <c r="U18" s="28">
        <f>T18*F41</f>
        <v>-0.52330503999199363</v>
      </c>
      <c r="V18" s="28">
        <f>1+(F41^2)*(1-T18^2)</f>
        <v>1.0072987861548834</v>
      </c>
      <c r="W18" s="28">
        <f>(2*U18^3)-((2*G41-1)/G41)*(F41^2*U18)</f>
        <v>-1.0447033630778257E-4</v>
      </c>
      <c r="X18" s="11">
        <f>W18/SQRT(V18)^3</f>
        <v>-1.0333692328221801E-4</v>
      </c>
      <c r="Y18" s="27">
        <f t="shared" si="2"/>
        <v>-2.4904086994744219</v>
      </c>
      <c r="Z18" s="27">
        <f t="shared" si="2"/>
        <v>1.4437986194904346</v>
      </c>
    </row>
    <row r="19" spans="2:26" ht="15" thickBot="1" x14ac:dyDescent="0.35">
      <c r="B19" s="31">
        <v>1.1000000000000001</v>
      </c>
      <c r="C19" s="94">
        <f>IF(D7="",NA(),D7)</f>
        <v>23.6</v>
      </c>
      <c r="D19" s="94">
        <f t="shared" si="3"/>
        <v>23.6</v>
      </c>
      <c r="E19" s="82"/>
      <c r="F19" s="94">
        <v>3.15</v>
      </c>
      <c r="G19" s="94" t="e">
        <f>IF(G20&gt;$F$31,NA(),G20+$H$16)</f>
        <v>#N/A</v>
      </c>
      <c r="H19" s="94" t="e">
        <f t="shared" si="4"/>
        <v>#N/A</v>
      </c>
      <c r="I19" s="99"/>
      <c r="J19" s="94"/>
      <c r="K19" s="31">
        <v>1.1000000000000001</v>
      </c>
      <c r="L19" s="94">
        <f>IF(M7="",NA(),M7)</f>
        <v>0.72574548509029846</v>
      </c>
      <c r="M19" s="94">
        <f t="shared" si="5"/>
        <v>0.72574548509029846</v>
      </c>
      <c r="N19" s="82"/>
      <c r="O19" s="94">
        <v>3.15</v>
      </c>
      <c r="P19" s="94" t="e">
        <f>IF(P20&gt;$O$31,NA(),P20+$Q$16)</f>
        <v>#N/A</v>
      </c>
      <c r="Q19" s="94" t="e">
        <f t="shared" si="6"/>
        <v>#N/A</v>
      </c>
      <c r="R19" s="99"/>
      <c r="T19" s="28">
        <f>EXP(((LN(2)-LN(G44))/2)+GAMMALN((G44+1)/2)-GAMMALN(G44/2))</f>
        <v>0.98693426752465663</v>
      </c>
      <c r="U19" s="28">
        <f>T19*F44</f>
        <v>-3.4759347119556532</v>
      </c>
      <c r="V19" s="28">
        <f>1+(F44^2)*(1-T19^2)</f>
        <v>1.3220208749704752</v>
      </c>
      <c r="W19" s="28">
        <f>(2*U19^3)-((2*G44-1)/G44)*(F44^2*U19)</f>
        <v>-3.0615620929523857E-2</v>
      </c>
      <c r="X19" s="11">
        <f>W19/SQRT(V19)^3</f>
        <v>-2.0141212095488033E-2</v>
      </c>
      <c r="Y19" s="27">
        <f t="shared" si="2"/>
        <v>-5.7294849668417287</v>
      </c>
      <c r="Z19" s="27">
        <f t="shared" si="2"/>
        <v>-1.2223844570695777</v>
      </c>
    </row>
    <row r="20" spans="2:26" ht="15" thickBot="1" x14ac:dyDescent="0.35">
      <c r="B20" s="31">
        <v>1.1000000000000001</v>
      </c>
      <c r="C20" s="94">
        <f>IF(G7="",NA(),G7)</f>
        <v>21.371315396628344</v>
      </c>
      <c r="D20" s="94">
        <f t="shared" si="3"/>
        <v>21.371315396628344</v>
      </c>
      <c r="E20" s="82"/>
      <c r="F20" s="94">
        <v>3.15</v>
      </c>
      <c r="G20" s="94" t="e">
        <f t="shared" ref="G20:G22" si="7">IF(G21&gt;$F$31,NA(),G21+$H$16)</f>
        <v>#N/A</v>
      </c>
      <c r="H20" s="94" t="e">
        <f t="shared" si="4"/>
        <v>#N/A</v>
      </c>
      <c r="I20" s="94"/>
      <c r="J20" s="94"/>
      <c r="K20" s="31">
        <v>1.1000000000000001</v>
      </c>
      <c r="L20" s="94">
        <f>IF(P7="",NA(),P7)</f>
        <v>0.24925516679792026</v>
      </c>
      <c r="M20" s="94">
        <f t="shared" si="5"/>
        <v>0.24925516679792026</v>
      </c>
      <c r="N20" s="82"/>
      <c r="O20" s="94">
        <v>3.15</v>
      </c>
      <c r="P20" s="94" t="e">
        <f>IF(P21&gt;$O$31,NA(),P21+$Q$16)</f>
        <v>#N/A</v>
      </c>
      <c r="Q20" s="94" t="e">
        <f t="shared" si="6"/>
        <v>#N/A</v>
      </c>
      <c r="R20" s="94"/>
      <c r="T20" s="77"/>
      <c r="U20" s="77"/>
      <c r="V20" s="77"/>
      <c r="W20" s="77"/>
      <c r="X20" s="77"/>
      <c r="Y20" s="77"/>
      <c r="Z20" s="77"/>
    </row>
    <row r="21" spans="2:26" ht="15" thickBot="1" x14ac:dyDescent="0.35">
      <c r="B21" s="31">
        <v>2.1</v>
      </c>
      <c r="C21" s="94">
        <f>IF(H8="",NA(),H8)</f>
        <v>22.063157055503204</v>
      </c>
      <c r="D21" s="94">
        <f t="shared" si="3"/>
        <v>22.063157055503204</v>
      </c>
      <c r="E21" s="82"/>
      <c r="F21" s="94">
        <v>3.15</v>
      </c>
      <c r="G21" s="94" t="e">
        <f t="shared" si="7"/>
        <v>#N/A</v>
      </c>
      <c r="H21" s="94" t="e">
        <f t="shared" si="4"/>
        <v>#N/A</v>
      </c>
      <c r="I21" s="94"/>
      <c r="J21" s="94"/>
      <c r="K21" s="31">
        <v>2.1</v>
      </c>
      <c r="L21" s="94">
        <f>IF(Q8="",NA(),Q8)</f>
        <v>0.32284318590009647</v>
      </c>
      <c r="M21" s="94">
        <f t="shared" si="5"/>
        <v>0.32284318590009647</v>
      </c>
      <c r="N21" s="82"/>
      <c r="O21" s="94">
        <v>3.15</v>
      </c>
      <c r="P21" s="94">
        <f>IF(P22&gt;$O$31,NA(),P22+$Q$16)</f>
        <v>1.7257454850902985</v>
      </c>
      <c r="Q21" s="94">
        <f t="shared" si="6"/>
        <v>1</v>
      </c>
      <c r="R21" s="94"/>
      <c r="T21" s="61" t="s">
        <v>14</v>
      </c>
      <c r="U21" s="61" t="s">
        <v>15</v>
      </c>
      <c r="V21" s="61" t="s">
        <v>16</v>
      </c>
      <c r="W21" s="61" t="s">
        <v>17</v>
      </c>
      <c r="X21" s="61" t="s">
        <v>18</v>
      </c>
      <c r="Y21" s="61" t="s">
        <v>19</v>
      </c>
      <c r="Z21" s="61" t="s">
        <v>20</v>
      </c>
    </row>
    <row r="22" spans="2:26" x14ac:dyDescent="0.3">
      <c r="B22" s="31">
        <v>2.1</v>
      </c>
      <c r="C22" s="94">
        <f>IF(D8="",NA(),D8)</f>
        <v>19.3</v>
      </c>
      <c r="D22" s="94">
        <f t="shared" si="3"/>
        <v>19.3</v>
      </c>
      <c r="E22" s="82"/>
      <c r="F22" s="94">
        <v>3.15</v>
      </c>
      <c r="G22" s="94">
        <f t="shared" si="7"/>
        <v>28.6</v>
      </c>
      <c r="H22" s="94">
        <f>G22-$G$23</f>
        <v>5</v>
      </c>
      <c r="I22" s="94"/>
      <c r="J22" s="94"/>
      <c r="K22" s="31">
        <v>2.1</v>
      </c>
      <c r="L22" s="94">
        <f>IF(M8="",NA(),M8)</f>
        <v>-0.113821138211382</v>
      </c>
      <c r="M22" s="94">
        <f t="shared" si="5"/>
        <v>-0.113821138211382</v>
      </c>
      <c r="N22" s="82"/>
      <c r="O22" s="94">
        <v>3.15</v>
      </c>
      <c r="P22" s="94">
        <f>IF(P23&gt;$O$31,NA(),P23+$Q$16)</f>
        <v>1.2257454850902985</v>
      </c>
      <c r="Q22" s="94">
        <f t="shared" si="6"/>
        <v>0.5</v>
      </c>
      <c r="R22" s="94"/>
      <c r="T22" s="26">
        <f>W17/(4*V17)</f>
        <v>5.2211353042563944E-3</v>
      </c>
      <c r="U22" s="26">
        <f>V17/(2*T22^2)</f>
        <v>23784.41189729964</v>
      </c>
      <c r="V22" s="26">
        <f>U17-(U22*T22)</f>
        <v>-120.84493898923839</v>
      </c>
      <c r="W22" s="26">
        <f>2*GAMMAINV((1-$Q$4/100)/2,U22/2,1)</f>
        <v>23358.835746551209</v>
      </c>
      <c r="X22" s="26">
        <f>2*GAMMAINV(1-(1-$Q$4/100)/2,U22/2,1)</f>
        <v>24213.776636902701</v>
      </c>
      <c r="Y22" s="26">
        <f>IF(F40&gt;0,V22+(T22*W22),V22+(T22*X22))</f>
        <v>1.1147029934063966</v>
      </c>
      <c r="Z22" s="26">
        <f>IF(F40&gt;0,V22+(T22*X22),V22+(T22*W22))</f>
        <v>5.5784650590729683</v>
      </c>
    </row>
    <row r="23" spans="2:26" x14ac:dyDescent="0.3">
      <c r="B23" s="31">
        <v>2.1</v>
      </c>
      <c r="C23" s="94">
        <f>IF(G8="",NA(),G8)</f>
        <v>16.536842944496797</v>
      </c>
      <c r="D23" s="94">
        <f t="shared" si="3"/>
        <v>16.536842944496797</v>
      </c>
      <c r="E23" s="82"/>
      <c r="F23" s="94">
        <v>3.15</v>
      </c>
      <c r="G23" s="94">
        <f>C19</f>
        <v>23.6</v>
      </c>
      <c r="H23" s="94">
        <f>G23-$G$23</f>
        <v>0</v>
      </c>
      <c r="K23" s="31">
        <v>2.1</v>
      </c>
      <c r="L23" s="94">
        <f>IF(P8="",NA(),P8)</f>
        <v>-0.5568723143781652</v>
      </c>
      <c r="M23" s="94">
        <f t="shared" si="5"/>
        <v>-0.5568723143781652</v>
      </c>
      <c r="N23" s="82"/>
      <c r="O23" s="94">
        <v>3.15</v>
      </c>
      <c r="P23" s="94">
        <f>L19</f>
        <v>0.72574548509029846</v>
      </c>
      <c r="Q23" s="94">
        <f t="shared" si="6"/>
        <v>0</v>
      </c>
      <c r="T23" s="28">
        <f>W18/(4*V18)</f>
        <v>-2.5928338677586545E-5</v>
      </c>
      <c r="U23" s="28">
        <f>V18/(2*T23^2)</f>
        <v>749167507.73376596</v>
      </c>
      <c r="V23" s="28">
        <f>U18-(U23*T23)</f>
        <v>19424.14556172453</v>
      </c>
      <c r="W23" s="28">
        <f>2*GAMMAINV((1-$Q$4/100)/2,U23/2,1)</f>
        <v>749091642.69022119</v>
      </c>
      <c r="X23" s="28">
        <f>2*GAMMAINV(1-(1-$Q$4/100)/2,U23/2,1)</f>
        <v>749243376.56592238</v>
      </c>
      <c r="Y23" s="28">
        <f>IF(F41&gt;0,V23+(T23*W23),V23+(T23*X23))</f>
        <v>-2.4904578152163594</v>
      </c>
      <c r="Z23" s="28">
        <f>IF(F41&gt;0,V23+(T23*X23),V23+(T23*W23))</f>
        <v>1.4437495028287231</v>
      </c>
    </row>
    <row r="24" spans="2:26" ht="15" thickBot="1" x14ac:dyDescent="0.35">
      <c r="B24" s="31">
        <v>2.75</v>
      </c>
      <c r="C24" s="94">
        <f>IF(H11="",NA(),H11+C25-$D$11)</f>
        <v>21.855402368824418</v>
      </c>
      <c r="D24" s="94">
        <f>H11</f>
        <v>-1.7445976311755844</v>
      </c>
      <c r="E24" s="82"/>
      <c r="F24" s="94">
        <v>3.15</v>
      </c>
      <c r="G24" s="94">
        <f>IF(G23&lt;$F$32,NA(),G23-$H$16)</f>
        <v>18.600000000000001</v>
      </c>
      <c r="H24" s="94">
        <f>G24-$G$23</f>
        <v>-5</v>
      </c>
      <c r="K24" s="31">
        <v>2.75</v>
      </c>
      <c r="L24" s="94">
        <f>IF(Q11="",NA(),Q11+L25-M11)</f>
        <v>0.38249477920722225</v>
      </c>
      <c r="M24" s="94">
        <f>Q11</f>
        <v>-0.2733334740646749</v>
      </c>
      <c r="N24" s="107"/>
      <c r="O24" s="94">
        <v>3.15</v>
      </c>
      <c r="P24" s="94">
        <f>IF(P23&lt;$O$32,NA(),P23-$Q$16)</f>
        <v>0.22574548509029846</v>
      </c>
      <c r="Q24" s="94">
        <f t="shared" si="6"/>
        <v>-0.5</v>
      </c>
      <c r="T24" s="28">
        <f>W19/(4*V19)</f>
        <v>-5.7895494521233637E-3</v>
      </c>
      <c r="U24" s="28">
        <f>V19/(2*T24^2)</f>
        <v>19720.53902494537</v>
      </c>
      <c r="V24" s="28">
        <f>U19-(U24*T24)</f>
        <v>110.69710119549423</v>
      </c>
      <c r="W24" s="28">
        <f>2*GAMMAINV((1-$Q$4/100)/2,U24/2,1)</f>
        <v>19333.192285096728</v>
      </c>
      <c r="X24" s="28">
        <f>2*GAMMAINV(1-(1-$Q$4/100)/2,U24/2,1)</f>
        <v>20111.6743489281</v>
      </c>
      <c r="Y24" s="28">
        <f>IF(F44&gt;0,V24+(T24*W24),V24+(T24*X24))</f>
        <v>-5.7404320126259591</v>
      </c>
      <c r="Z24" s="28">
        <f>IF(F44&gt;0,V24+(T24*X24),V24+(T24*W24))</f>
        <v>-1.2333716064831748</v>
      </c>
    </row>
    <row r="25" spans="2:26" ht="15" thickBot="1" x14ac:dyDescent="0.35">
      <c r="B25" s="31">
        <v>2.75</v>
      </c>
      <c r="C25" s="94">
        <f>IF(D11="",NA(),C22)</f>
        <v>19.3</v>
      </c>
      <c r="D25" s="94">
        <f>D11</f>
        <v>-4.3000000000000007</v>
      </c>
      <c r="E25" s="82"/>
      <c r="F25" s="94">
        <v>3.15</v>
      </c>
      <c r="G25" s="94">
        <f t="shared" ref="G25:G28" si="8">IF(G24&lt;$F$32,NA(),G24-$H$16)</f>
        <v>13.600000000000001</v>
      </c>
      <c r="H25" s="94">
        <f t="shared" ref="H25:H28" si="9">G25-$G$23</f>
        <v>-10</v>
      </c>
      <c r="K25" s="31">
        <v>2.75</v>
      </c>
      <c r="L25" s="94">
        <f>IF(M11="",NA(),L22)</f>
        <v>-0.113821138211382</v>
      </c>
      <c r="M25" s="94">
        <f>M11</f>
        <v>-0.76964939148327915</v>
      </c>
      <c r="N25" s="107"/>
      <c r="O25" s="94">
        <v>3.15</v>
      </c>
      <c r="P25" s="94">
        <f>IF(P24&lt;$O$32,NA(),P24-$Q$16)</f>
        <v>-0.27425451490970154</v>
      </c>
      <c r="Q25" s="94">
        <f t="shared" si="6"/>
        <v>-1</v>
      </c>
      <c r="T25" s="8"/>
      <c r="U25" s="8"/>
      <c r="V25" s="8"/>
      <c r="W25" s="8"/>
      <c r="X25" s="8"/>
      <c r="Y25" s="8"/>
      <c r="Z25" s="8"/>
    </row>
    <row r="26" spans="2:26" ht="15" thickBot="1" x14ac:dyDescent="0.35">
      <c r="B26" s="31">
        <v>2.75</v>
      </c>
      <c r="C26" s="94">
        <f>IF(G11="",NA(),G11+C25-$D$11)</f>
        <v>16.744597631175584</v>
      </c>
      <c r="D26" s="94">
        <f>G11</f>
        <v>-6.855402368824417</v>
      </c>
      <c r="E26" s="82"/>
      <c r="F26" s="94">
        <v>3.15</v>
      </c>
      <c r="G26" s="94" t="e">
        <f t="shared" si="8"/>
        <v>#N/A</v>
      </c>
      <c r="H26" s="94" t="e">
        <f t="shared" si="9"/>
        <v>#N/A</v>
      </c>
      <c r="K26" s="31">
        <v>2.75</v>
      </c>
      <c r="L26" s="94">
        <f>IF(P11="",NA(),P11+L25-M11)</f>
        <v>-0.62532353292022624</v>
      </c>
      <c r="M26" s="94">
        <f>P11</f>
        <v>-1.2811517861921233</v>
      </c>
      <c r="N26" s="82"/>
      <c r="O26" s="94">
        <v>3.15</v>
      </c>
      <c r="P26" s="94">
        <f>IF(P25&lt;$O$32,NA(),P25-$Q$16)</f>
        <v>-0.77425451490970154</v>
      </c>
      <c r="Q26" s="94">
        <f t="shared" si="6"/>
        <v>-1.5</v>
      </c>
      <c r="V26" s="61" t="s">
        <v>68</v>
      </c>
      <c r="W26" s="61" t="s">
        <v>69</v>
      </c>
      <c r="X26" s="61" t="s">
        <v>70</v>
      </c>
      <c r="Y26" s="61" t="s">
        <v>19</v>
      </c>
      <c r="Z26" s="61" t="s">
        <v>20</v>
      </c>
    </row>
    <row r="27" spans="2:26" x14ac:dyDescent="0.3">
      <c r="B27" s="82"/>
      <c r="C27" s="94"/>
      <c r="D27" s="94"/>
      <c r="E27" s="82"/>
      <c r="F27" s="94">
        <v>3.15</v>
      </c>
      <c r="G27" s="94" t="e">
        <f t="shared" si="8"/>
        <v>#N/A</v>
      </c>
      <c r="H27" s="94" t="e">
        <f t="shared" si="9"/>
        <v>#N/A</v>
      </c>
      <c r="K27" s="82"/>
      <c r="L27" s="94"/>
      <c r="M27" s="94"/>
      <c r="N27" s="82"/>
      <c r="O27" s="94">
        <v>3.15</v>
      </c>
      <c r="P27" s="94" t="e">
        <f>IF(P26&lt;$O$32,NA(),P26-$Q$16)</f>
        <v>#N/A</v>
      </c>
      <c r="Q27" s="94" t="e">
        <f t="shared" si="6"/>
        <v>#N/A</v>
      </c>
      <c r="V27" s="27">
        <f>SQRT(V17)</f>
        <v>1.1387441383897428</v>
      </c>
      <c r="W27" s="27">
        <f>NORMINV((1-$Q$4/100)/2,0,1)</f>
        <v>-1.9599639845400536</v>
      </c>
      <c r="X27" s="27">
        <f>NORMINV(1-(1-$Q$4/100)/2,0,1)</f>
        <v>1.9599639845400536</v>
      </c>
      <c r="Y27" s="27">
        <f>U17+W27*V27</f>
        <v>1.1047961598785889</v>
      </c>
      <c r="Z27" s="27">
        <f>U17+X27*V27</f>
        <v>5.5685911575785694</v>
      </c>
    </row>
    <row r="28" spans="2:26" x14ac:dyDescent="0.3">
      <c r="B28" s="82"/>
      <c r="C28" s="82"/>
      <c r="D28" s="94"/>
      <c r="E28" s="82"/>
      <c r="F28" s="94">
        <v>3.15</v>
      </c>
      <c r="G28" s="94" t="e">
        <f t="shared" si="8"/>
        <v>#N/A</v>
      </c>
      <c r="H28" s="94" t="e">
        <f t="shared" si="9"/>
        <v>#N/A</v>
      </c>
      <c r="I28" s="94"/>
      <c r="J28" s="94"/>
      <c r="K28" s="82"/>
      <c r="L28" s="82"/>
      <c r="M28" s="94"/>
      <c r="N28" s="82"/>
      <c r="O28" s="94">
        <v>3.15</v>
      </c>
      <c r="P28" s="94" t="e">
        <f>IF(P27&lt;$O$32,NA(),P27-$Q$16)</f>
        <v>#N/A</v>
      </c>
      <c r="Q28" s="94" t="e">
        <f t="shared" si="6"/>
        <v>#N/A</v>
      </c>
      <c r="R28" s="94"/>
      <c r="V28" s="27">
        <f>SQRT(V18)</f>
        <v>1.0036427582336673</v>
      </c>
      <c r="W28" s="27">
        <f>NORMINV((1-$Q$4/100)/2,0,1)</f>
        <v>-1.9599639845400536</v>
      </c>
      <c r="X28" s="27">
        <f>NORMINV(1-(1-$Q$4/100)/2,0,1)</f>
        <v>1.9599639845400536</v>
      </c>
      <c r="Y28" s="27">
        <f>U18+W28*V28</f>
        <v>-2.4904086994744219</v>
      </c>
      <c r="Z28" s="27">
        <f>U18+X28*V28</f>
        <v>1.4437986194904346</v>
      </c>
    </row>
    <row r="29" spans="2:26" ht="15" thickBot="1" x14ac:dyDescent="0.35">
      <c r="B29" s="82"/>
      <c r="C29" s="82"/>
      <c r="D29" s="94"/>
      <c r="E29" s="82"/>
      <c r="F29" s="82"/>
      <c r="G29" s="82"/>
      <c r="H29" s="82"/>
      <c r="K29" s="82"/>
      <c r="L29" s="82"/>
      <c r="M29" s="94"/>
      <c r="N29" s="82"/>
      <c r="O29" s="82"/>
      <c r="P29" s="82"/>
      <c r="Q29" s="82"/>
      <c r="V29" s="27">
        <f>SQRT(V19)</f>
        <v>1.1497916658988598</v>
      </c>
      <c r="W29" s="27">
        <f>NORMINV((1-$Q$4/100)/2,0,1)</f>
        <v>-1.9599639845400536</v>
      </c>
      <c r="X29" s="27">
        <f>NORMINV(1-(1-$Q$4/100)/2,0,1)</f>
        <v>1.9599639845400536</v>
      </c>
      <c r="Y29" s="27">
        <f>U19+W29*V29</f>
        <v>-5.7294849668417287</v>
      </c>
      <c r="Z29" s="27">
        <f>U19+X29*V29</f>
        <v>-1.2223844570695777</v>
      </c>
    </row>
    <row r="30" spans="2:26" x14ac:dyDescent="0.3">
      <c r="B30" s="103" t="s">
        <v>102</v>
      </c>
      <c r="C30" s="82"/>
      <c r="D30" s="82"/>
      <c r="E30" s="82"/>
      <c r="F30" s="82" t="s">
        <v>103</v>
      </c>
      <c r="G30" s="82"/>
      <c r="H30" s="82"/>
      <c r="K30" s="103" t="s">
        <v>102</v>
      </c>
      <c r="L30" s="82"/>
      <c r="M30" s="82"/>
      <c r="N30" s="82"/>
      <c r="O30" s="82" t="s">
        <v>103</v>
      </c>
      <c r="P30" s="82"/>
      <c r="Q30" s="82"/>
      <c r="V30" s="8"/>
      <c r="W30" s="8"/>
      <c r="X30" s="8"/>
      <c r="Y30" s="8"/>
      <c r="Z30" s="8"/>
    </row>
    <row r="31" spans="2:26" x14ac:dyDescent="0.3">
      <c r="B31" s="31">
        <v>1.1000000000000001</v>
      </c>
      <c r="C31" s="94">
        <f>C19</f>
        <v>23.6</v>
      </c>
      <c r="D31" s="31">
        <v>2.1</v>
      </c>
      <c r="E31" s="94">
        <f>C22</f>
        <v>19.3</v>
      </c>
      <c r="F31" s="94">
        <f>MAX(C18:C26)</f>
        <v>25.828684603371659</v>
      </c>
      <c r="G31" s="94">
        <f>IF(F31-F32=0,1,F31-F32)</f>
        <v>9.291841658874862</v>
      </c>
      <c r="H31" s="94">
        <f>ROUNDUP(G31/G32,0)</f>
        <v>10</v>
      </c>
      <c r="K31" s="31">
        <v>1.1000000000000001</v>
      </c>
      <c r="L31" s="94">
        <f>L19</f>
        <v>0.72574548509029846</v>
      </c>
      <c r="M31" s="31">
        <v>2.1</v>
      </c>
      <c r="N31" s="94">
        <f>L22</f>
        <v>-0.113821138211382</v>
      </c>
      <c r="O31" s="94">
        <f>MAX(L$18:L$26)</f>
        <v>1.2473827082194537</v>
      </c>
      <c r="P31" s="94">
        <f>IF(O31-O32=0,1,O31-O32)</f>
        <v>1.87270624113968</v>
      </c>
      <c r="Q31" s="94">
        <f>ROUNDUP(P31/P32,0)</f>
        <v>2</v>
      </c>
    </row>
    <row r="32" spans="2:26" x14ac:dyDescent="0.3">
      <c r="B32" s="31">
        <v>3.15</v>
      </c>
      <c r="C32" s="94">
        <f>C19</f>
        <v>23.6</v>
      </c>
      <c r="D32" s="31">
        <v>3.15</v>
      </c>
      <c r="E32" s="94">
        <f>C22</f>
        <v>19.3</v>
      </c>
      <c r="F32" s="94">
        <f>MIN(C18:C26)</f>
        <v>16.536842944496797</v>
      </c>
      <c r="G32" s="94">
        <f>POWER(10,INT(LOG10(G31)))</f>
        <v>1</v>
      </c>
      <c r="H32" s="94">
        <f>CHOOSE(H31,10,5,5,2,2,2,2,1,1,1)</f>
        <v>1</v>
      </c>
      <c r="K32" s="31">
        <v>3.15</v>
      </c>
      <c r="L32" s="94">
        <f>L19</f>
        <v>0.72574548509029846</v>
      </c>
      <c r="M32" s="31">
        <v>3.15</v>
      </c>
      <c r="N32" s="94">
        <f>L22</f>
        <v>-0.113821138211382</v>
      </c>
      <c r="O32" s="94">
        <f>MIN(L$18:L$26)</f>
        <v>-0.62532353292022624</v>
      </c>
      <c r="P32" s="94">
        <f>POWER(10,INT(LOG10(P31)))</f>
        <v>1</v>
      </c>
      <c r="Q32" s="94">
        <f>CHOOSE(Q31,1,0.5,0.5,0.2,0.2,0.2,0.2,0.1,0.1,0.1)</f>
        <v>0.5</v>
      </c>
    </row>
    <row r="33" spans="2:17" x14ac:dyDescent="0.3">
      <c r="B33" s="31"/>
      <c r="C33" s="94"/>
      <c r="D33" s="31"/>
      <c r="E33" s="94"/>
      <c r="F33" s="82"/>
      <c r="G33" s="82"/>
      <c r="H33" s="82"/>
      <c r="K33" s="31"/>
      <c r="L33" s="94"/>
      <c r="M33" s="31"/>
      <c r="N33" s="94"/>
      <c r="O33" s="82"/>
      <c r="P33" s="82"/>
      <c r="Q33" s="82"/>
    </row>
    <row r="34" spans="2:17" x14ac:dyDescent="0.3">
      <c r="B34" s="31"/>
      <c r="C34" s="94"/>
      <c r="D34" s="31"/>
      <c r="E34" s="94"/>
      <c r="F34" s="82"/>
      <c r="G34" s="82"/>
      <c r="H34" s="82"/>
      <c r="K34" s="31"/>
      <c r="L34" s="94"/>
      <c r="M34" s="31"/>
      <c r="N34" s="94"/>
      <c r="O34" s="94">
        <f>MAX($C$18:$C$26)</f>
        <v>25.828684603371659</v>
      </c>
      <c r="P34" s="94">
        <f>IF(O34-O35=0,1,O34-O35)</f>
        <v>9.291841658874862</v>
      </c>
      <c r="Q34" s="27">
        <f>P34/9</f>
        <v>1.0324268509860959</v>
      </c>
    </row>
    <row r="35" spans="2:17" x14ac:dyDescent="0.3">
      <c r="B35" s="31"/>
      <c r="C35" s="94"/>
      <c r="D35" s="31"/>
      <c r="E35" s="94"/>
      <c r="F35" s="82"/>
      <c r="G35" s="82"/>
      <c r="H35" s="82"/>
      <c r="K35" s="31"/>
      <c r="L35" s="94"/>
      <c r="M35" s="31"/>
      <c r="N35" s="94"/>
      <c r="O35" s="94">
        <f>MIN($C$18:$C$26)</f>
        <v>16.536842944496797</v>
      </c>
      <c r="P35" s="27">
        <f>O34+P34/20</f>
        <v>26.293276686315401</v>
      </c>
      <c r="Q35" s="27">
        <f>ROUNDUP(Q34,0)</f>
        <v>2</v>
      </c>
    </row>
    <row r="36" spans="2:17" x14ac:dyDescent="0.3">
      <c r="B36" s="31"/>
      <c r="C36" s="94"/>
      <c r="D36" s="31"/>
      <c r="E36" s="94"/>
      <c r="F36" s="82"/>
      <c r="G36" s="82"/>
      <c r="H36" s="82"/>
      <c r="K36" s="31"/>
      <c r="L36" s="94"/>
      <c r="M36" s="31"/>
      <c r="N36" s="94"/>
      <c r="O36" s="94"/>
      <c r="P36" s="27"/>
      <c r="Q36" s="27"/>
    </row>
    <row r="37" spans="2:17" ht="15.6" x14ac:dyDescent="0.3">
      <c r="B37" s="45" t="s">
        <v>107</v>
      </c>
      <c r="K37" s="45" t="s">
        <v>112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65" t="s">
        <v>60</v>
      </c>
      <c r="C39" s="65" t="s">
        <v>32</v>
      </c>
      <c r="D39" s="65" t="s">
        <v>47</v>
      </c>
      <c r="E39" s="65" t="str">
        <f>F6</f>
        <v>SE</v>
      </c>
      <c r="F39" s="65" t="s">
        <v>9</v>
      </c>
      <c r="G39" s="65" t="s">
        <v>2</v>
      </c>
      <c r="H39" s="65" t="s">
        <v>46</v>
      </c>
      <c r="K39" s="65" t="s">
        <v>60</v>
      </c>
      <c r="L39" s="47" t="s">
        <v>34</v>
      </c>
      <c r="M39" s="3"/>
      <c r="N39" s="3"/>
      <c r="O39" s="3"/>
      <c r="P39" s="3"/>
      <c r="Q39" s="3"/>
    </row>
    <row r="40" spans="2:17" x14ac:dyDescent="0.3">
      <c r="B40" s="54">
        <f>IF(B7="","",B7)</f>
        <v>2</v>
      </c>
      <c r="C40" s="91">
        <v>20</v>
      </c>
      <c r="D40" s="26">
        <f>IFERROR(D7-C40,"")</f>
        <v>3.6000000000000014</v>
      </c>
      <c r="E40" s="26">
        <f>F7</f>
        <v>1.0648155708853997</v>
      </c>
      <c r="F40" s="26">
        <f>IFERROR(D40/F7,"")</f>
        <v>3.380867164636391</v>
      </c>
      <c r="G40" s="59">
        <f>IF(C7&lt;&gt;"",C7-1,"")</f>
        <v>19</v>
      </c>
      <c r="H40" s="26">
        <f>IFERROR(IF(TDIST(ABS(F40),G40,2)&lt;0.001,"&lt; 0.001",TDIST(ABS(F40),G40,2)),"")</f>
        <v>3.1372928643839228E-3</v>
      </c>
      <c r="K40" s="54">
        <f>K7</f>
        <v>2</v>
      </c>
      <c r="L40" s="63" t="s">
        <v>114</v>
      </c>
      <c r="M40" s="3"/>
      <c r="N40" s="3"/>
      <c r="O40" s="3"/>
      <c r="P40" s="3"/>
      <c r="Q40" s="3"/>
    </row>
    <row r="41" spans="2:17" ht="15" thickBot="1" x14ac:dyDescent="0.35">
      <c r="B41" s="96">
        <f>IF(B8="","",B8)</f>
        <v>1</v>
      </c>
      <c r="C41" s="100">
        <v>20</v>
      </c>
      <c r="D41" s="51">
        <f>IFERROR(D8-C41,"")</f>
        <v>-0.69999999999999929</v>
      </c>
      <c r="E41" s="51">
        <f>F8</f>
        <v>1.3201745339158757</v>
      </c>
      <c r="F41" s="51">
        <f>IFERROR(D41/F8,"")</f>
        <v>-0.53023292149385204</v>
      </c>
      <c r="G41" s="101">
        <f>IF(C8&lt;&gt;"",C8-1,"")</f>
        <v>19</v>
      </c>
      <c r="H41" s="51">
        <f>IFERROR(IF(TDIST(ABS(F41),G41,2)&lt;0.001,"&lt; 0.001",TDIST(ABS(F41),G41,2)),"")</f>
        <v>0.60209292242601187</v>
      </c>
      <c r="K41" s="96">
        <f>K8</f>
        <v>1</v>
      </c>
      <c r="L41" s="64" t="s">
        <v>114</v>
      </c>
      <c r="M41" s="3"/>
      <c r="N41" s="3"/>
      <c r="O41" s="3"/>
      <c r="P41" s="3"/>
      <c r="Q41" s="3"/>
    </row>
    <row r="42" spans="2:17" ht="15" thickBot="1" x14ac:dyDescent="0.35">
      <c r="B42" s="8"/>
      <c r="C42" s="8"/>
      <c r="D42" s="8"/>
      <c r="E42" s="8"/>
      <c r="F42" s="8"/>
      <c r="G42" s="8"/>
      <c r="H42" s="8"/>
      <c r="K42" s="8"/>
      <c r="L42" s="7"/>
      <c r="M42" s="3"/>
      <c r="N42" s="3"/>
      <c r="O42" s="3"/>
      <c r="P42" s="3"/>
      <c r="Q42" s="3"/>
    </row>
    <row r="43" spans="2:17" ht="15" thickBot="1" x14ac:dyDescent="0.35">
      <c r="B43" s="65" t="s">
        <v>111</v>
      </c>
      <c r="C43" s="65" t="s">
        <v>32</v>
      </c>
      <c r="D43" s="65" t="s">
        <v>47</v>
      </c>
      <c r="E43" s="65" t="str">
        <f>F10</f>
        <v>SE</v>
      </c>
      <c r="F43" s="65" t="s">
        <v>9</v>
      </c>
      <c r="G43" s="65" t="s">
        <v>2</v>
      </c>
      <c r="H43" s="65" t="s">
        <v>46</v>
      </c>
      <c r="K43" s="65" t="s">
        <v>111</v>
      </c>
      <c r="L43" s="47" t="s">
        <v>34</v>
      </c>
      <c r="M43" s="3"/>
      <c r="N43" s="3"/>
      <c r="O43" s="3"/>
      <c r="P43" s="3"/>
      <c r="Q43" s="3"/>
    </row>
    <row r="44" spans="2:17" ht="15" thickBot="1" x14ac:dyDescent="0.35">
      <c r="B44" s="97" t="s">
        <v>100</v>
      </c>
      <c r="C44" s="121">
        <v>0</v>
      </c>
      <c r="D44" s="98">
        <f>IFERROR(D11-C44,"")</f>
        <v>-4.3000000000000007</v>
      </c>
      <c r="E44" s="98">
        <f>F11</f>
        <v>1.2209139992644855</v>
      </c>
      <c r="F44" s="98">
        <f>IFERROR(D44/F11,"")</f>
        <v>-3.5219515892113997</v>
      </c>
      <c r="G44" s="102">
        <f>IF(C7&lt;&gt;"",C7-1,"")</f>
        <v>19</v>
      </c>
      <c r="H44" s="98">
        <f>IFERROR(IF(TDIST(ABS(F44),G44,2)&lt;0.001,"&lt; 0.001",TDIST(ABS(F44),G44,2)),"")</f>
        <v>2.2789095284560809E-3</v>
      </c>
      <c r="K44" s="97" t="s">
        <v>100</v>
      </c>
      <c r="L44" s="64" t="s">
        <v>114</v>
      </c>
      <c r="M44" s="3"/>
      <c r="N44" s="3"/>
      <c r="O44" s="3"/>
      <c r="P44" s="3"/>
      <c r="Q44" s="3"/>
    </row>
    <row r="45" spans="2:17" x14ac:dyDescent="0.3">
      <c r="B45" s="8"/>
      <c r="C45" s="8"/>
      <c r="D45" s="8"/>
      <c r="E45" s="8"/>
      <c r="F45" s="8"/>
      <c r="G45" s="8"/>
      <c r="H45" s="8"/>
      <c r="K45" s="8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12" zoomScaleNormal="100" workbookViewId="0">
      <selection activeCell="L45" sqref="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30" t="s">
        <v>40</v>
      </c>
      <c r="C2" s="130"/>
      <c r="D2" s="130"/>
      <c r="E2" s="130"/>
      <c r="F2" s="130"/>
      <c r="G2" s="130"/>
      <c r="H2" s="130"/>
      <c r="I2"/>
      <c r="K2" s="130" t="s">
        <v>41</v>
      </c>
      <c r="L2" s="130"/>
      <c r="M2" s="130"/>
      <c r="N2" s="130"/>
      <c r="O2" s="130"/>
      <c r="P2" s="130"/>
      <c r="Q2" s="130"/>
      <c r="T2" s="130" t="s">
        <v>58</v>
      </c>
      <c r="U2" s="130"/>
      <c r="V2" s="130"/>
      <c r="W2" s="130"/>
      <c r="X2" s="130"/>
      <c r="Y2" s="130"/>
      <c r="Z2" s="130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6" t="s">
        <v>106</v>
      </c>
      <c r="G4" s="24" t="s">
        <v>33</v>
      </c>
      <c r="H4" s="30">
        <v>95</v>
      </c>
      <c r="K4" s="6" t="s">
        <v>106</v>
      </c>
      <c r="L4" s="3"/>
      <c r="M4" s="3"/>
      <c r="N4" s="3"/>
      <c r="O4" s="3"/>
      <c r="P4" s="24" t="s">
        <v>33</v>
      </c>
      <c r="Q4" s="30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7" t="s">
        <v>60</v>
      </c>
      <c r="C6" s="47" t="str">
        <f t="shared" ref="C6:C12" si="0">G39</f>
        <v>df</v>
      </c>
      <c r="D6" s="47" t="s">
        <v>76</v>
      </c>
      <c r="E6" s="47" t="s">
        <v>68</v>
      </c>
      <c r="F6" s="47" t="s">
        <v>75</v>
      </c>
      <c r="G6" s="137" t="s">
        <v>77</v>
      </c>
      <c r="H6" s="137"/>
      <c r="J6" s="3"/>
      <c r="K6" s="47" t="s">
        <v>60</v>
      </c>
      <c r="L6" s="47" t="s">
        <v>3</v>
      </c>
      <c r="M6" s="47" t="s">
        <v>23</v>
      </c>
      <c r="N6" s="47" t="str">
        <f t="shared" ref="N6:N12" si="1">C6</f>
        <v>df</v>
      </c>
      <c r="O6" s="47" t="s">
        <v>75</v>
      </c>
      <c r="P6" s="137" t="s">
        <v>59</v>
      </c>
      <c r="Q6" s="137"/>
    </row>
    <row r="7" spans="1:26" x14ac:dyDescent="0.3">
      <c r="B7" s="17" t="str">
        <f>IF(D7="","","1 vs. 2")</f>
        <v>1 vs. 2</v>
      </c>
      <c r="C7" s="41">
        <f t="shared" si="0"/>
        <v>19</v>
      </c>
      <c r="D7" s="18">
        <f>IFERROR(Data!W7-Data!W8,"")</f>
        <v>-4.3000000000000007</v>
      </c>
      <c r="E7" s="18">
        <f>IFERROR(F7*SQRT(Data!$V$7),"")</f>
        <v>5.4600933940730361</v>
      </c>
      <c r="F7" s="26">
        <f>IFERROR(SQRT(Data!Z7^2+Data!Z8^2-2*Data!X22*Data!Z7*Data!Z8),"")</f>
        <v>1.2209139992644855</v>
      </c>
      <c r="G7" s="18">
        <f>IFERROR(D7-TINV(1-$H$4/100,G40)*F7,"")</f>
        <v>-6.855402368824417</v>
      </c>
      <c r="H7" s="18">
        <f t="shared" ref="H7:H12" si="2">IFERROR(D7+TINV(1-$H$4/100,G40)*F7,"")</f>
        <v>-1.7445976311755844</v>
      </c>
      <c r="J7" s="3"/>
      <c r="K7" s="17" t="str">
        <f t="shared" ref="K7:K12" si="3">B7</f>
        <v>1 vs. 2</v>
      </c>
      <c r="L7" s="18">
        <f>IFERROR(D7/SQRT((Data!X7^2+Data!X8^2)/2),"")</f>
        <v>-0.80171811612841581</v>
      </c>
      <c r="M7" s="18">
        <f t="shared" ref="M7:M12" si="4">IFERROR((1-3/(4*G40-1))*L7,"")</f>
        <v>-0.76964939148327915</v>
      </c>
      <c r="N7" s="41">
        <f t="shared" si="1"/>
        <v>19</v>
      </c>
      <c r="O7" s="26">
        <f>IFERROR(SQRT((1/Data!V7)+((L7^2)/(2*Data!V7))*2*(1-Data!X22)),"")</f>
        <v>0.2574757495792902</v>
      </c>
      <c r="P7" s="26">
        <f>IFERROR(Y17*SQRT(1/Data!V7),"")</f>
        <v>-1.2811517861921233</v>
      </c>
      <c r="Q7" s="26">
        <f>IFERROR(Z17*SQRT(1/Data!V7),"")</f>
        <v>-0.2733334740646749</v>
      </c>
    </row>
    <row r="8" spans="1:26" x14ac:dyDescent="0.3">
      <c r="B8" s="19" t="str">
        <f>IF(D8="","","1 vs. 3")</f>
        <v/>
      </c>
      <c r="C8" s="42" t="str">
        <f t="shared" si="0"/>
        <v/>
      </c>
      <c r="D8" s="20" t="str">
        <f>IFERROR(Data!W7-Data!W9,"")</f>
        <v/>
      </c>
      <c r="E8" s="20" t="str">
        <f>IFERROR(F8*SQRT(Data!$V$7),"")</f>
        <v/>
      </c>
      <c r="F8" s="20" t="str">
        <f>IFERROR(SQRT(Data!Z7^2+Data!Z9^2-2*Data!Y22*Data!Z7*Data!Z9),"")</f>
        <v/>
      </c>
      <c r="G8" s="20" t="str">
        <f t="shared" ref="G8:G12" si="5">IFERROR(D8-TINV(1-$H$4/100,G41)*F8,"")</f>
        <v/>
      </c>
      <c r="H8" s="20" t="str">
        <f t="shared" si="2"/>
        <v/>
      </c>
      <c r="J8" s="3"/>
      <c r="K8" s="19" t="str">
        <f t="shared" si="3"/>
        <v/>
      </c>
      <c r="L8" s="20" t="str">
        <f>IFERROR(D8/SQRT((Data!X7^2+Data!X9^2)/2),"")</f>
        <v/>
      </c>
      <c r="M8" s="20" t="str">
        <f t="shared" si="4"/>
        <v/>
      </c>
      <c r="N8" s="42" t="str">
        <f t="shared" si="1"/>
        <v/>
      </c>
      <c r="O8" s="28" t="str">
        <f>IFERROR(SQRT((1/Data!V7)+((L8^2)/(2*Data!V7))*2*(1-Data!Y22)),"")</f>
        <v/>
      </c>
      <c r="P8" s="28" t="str">
        <f>IFERROR(Y18*SQRT(1/Data!V7),"")</f>
        <v/>
      </c>
      <c r="Q8" s="28" t="str">
        <f>IFERROR(Z18*SQRT(1/Data!V7),"")</f>
        <v/>
      </c>
    </row>
    <row r="9" spans="1:26" x14ac:dyDescent="0.3">
      <c r="B9" s="19" t="str">
        <f>IF(D9="","","2 vs. 3")</f>
        <v/>
      </c>
      <c r="C9" s="42" t="str">
        <f t="shared" si="0"/>
        <v/>
      </c>
      <c r="D9" s="20" t="str">
        <f>IFERROR(Data!W8-Data!W9,"")</f>
        <v/>
      </c>
      <c r="E9" s="20" t="str">
        <f>IFERROR(F9*SQRT(Data!$V$7),"")</f>
        <v/>
      </c>
      <c r="F9" s="20" t="str">
        <f>IFERROR(SQRT(Data!Z8^2+Data!Z9^2-2*Data!Y23*Data!Z8*Data!Z9),"")</f>
        <v/>
      </c>
      <c r="G9" s="20" t="str">
        <f t="shared" si="5"/>
        <v/>
      </c>
      <c r="H9" s="20" t="str">
        <f t="shared" si="2"/>
        <v/>
      </c>
      <c r="J9" s="3"/>
      <c r="K9" s="19" t="str">
        <f t="shared" si="3"/>
        <v/>
      </c>
      <c r="L9" s="20" t="str">
        <f>IFERROR(D9/SQRT((Data!X8^2+Data!X9^2)/2),"")</f>
        <v/>
      </c>
      <c r="M9" s="20" t="str">
        <f t="shared" si="4"/>
        <v/>
      </c>
      <c r="N9" s="42" t="str">
        <f t="shared" si="1"/>
        <v/>
      </c>
      <c r="O9" s="28" t="str">
        <f>IFERROR(SQRT((1/Data!V8)+((L9^2)/(2*Data!V8))*2*(1-Data!Y23)),"")</f>
        <v/>
      </c>
      <c r="P9" s="28" t="str">
        <f>IFERROR(Y19*SQRT(1/Data!V8),"")</f>
        <v/>
      </c>
      <c r="Q9" s="28" t="str">
        <f>IFERROR(Z19*SQRT(1/Data!V8),"")</f>
        <v/>
      </c>
    </row>
    <row r="10" spans="1:26" x14ac:dyDescent="0.3">
      <c r="B10" s="19" t="str">
        <f>IF(D10="","","1 vs. 4")</f>
        <v>1 vs. 4</v>
      </c>
      <c r="C10" s="42">
        <f t="shared" si="0"/>
        <v>19</v>
      </c>
      <c r="D10" s="20">
        <f>IFERROR(Data!W7-Data!W10,"")</f>
        <v>-4.0999999999999979</v>
      </c>
      <c r="E10" s="20">
        <f>IFERROR(F10*SQRT(Data!$V$7),"")</f>
        <v>5.1913005877140268</v>
      </c>
      <c r="F10" s="20">
        <f>IFERROR(SQRT(Data!Z7^2+Data!Z10^2-2*Data!Z22*Data!Z7*Data!Z10),"")</f>
        <v>1.1608101005763174</v>
      </c>
      <c r="G10" s="20">
        <f t="shared" si="5"/>
        <v>-6.5296034631063584</v>
      </c>
      <c r="H10" s="20">
        <f t="shared" si="2"/>
        <v>-1.6703965368936373</v>
      </c>
      <c r="J10" s="3"/>
      <c r="K10" s="19" t="str">
        <f t="shared" si="3"/>
        <v>1 vs. 4</v>
      </c>
      <c r="L10" s="20">
        <f>IFERROR(D10/SQRT((Data!X7^2+Data!X10^2)/2),"")</f>
        <v>-0.77369045867180442</v>
      </c>
      <c r="M10" s="20">
        <f>IFERROR((1-3/(4*N10-1))*L10,"")</f>
        <v>-0.74274284032493221</v>
      </c>
      <c r="N10" s="42">
        <f t="shared" si="1"/>
        <v>19</v>
      </c>
      <c r="O10" s="28">
        <f>IFERROR(SQRT((1/Data!V8)+((L10^2)/(2*Data!V8))*2*(1-Data!Z22)),"")</f>
        <v>0.25275966584778331</v>
      </c>
      <c r="P10" s="28">
        <f>IFERROR(Y20*SQRT(1/Data!V7),"")</f>
        <v>-1.2837240193073953</v>
      </c>
      <c r="Q10" s="28">
        <f>IFERROR(Z20*SQRT(1/Data!V7),"")</f>
        <v>-0.27520343190880298</v>
      </c>
    </row>
    <row r="11" spans="1:26" x14ac:dyDescent="0.3">
      <c r="B11" s="19" t="str">
        <f>IF(D11="","","2 vs. 4")</f>
        <v>2 vs. 4</v>
      </c>
      <c r="C11" s="42">
        <f t="shared" si="0"/>
        <v>19</v>
      </c>
      <c r="D11" s="20">
        <f>IFERROR(Data!W8-Data!W10,"")</f>
        <v>0.20000000000000284</v>
      </c>
      <c r="E11" s="20">
        <f>IFERROR(F11*SQRT(Data!$V$7),"")</f>
        <v>3.3644838367868548</v>
      </c>
      <c r="F11" s="20">
        <f>IFERROR(SQRT(Data!Z8^2+Data!Z10^2-2*Data!Z23*Data!Z8*Data!Z10),"")</f>
        <v>0.75232145682547147</v>
      </c>
      <c r="G11" s="20">
        <f t="shared" si="5"/>
        <v>-1.3746269057832108</v>
      </c>
      <c r="H11" s="20">
        <f t="shared" si="2"/>
        <v>1.7746269057832165</v>
      </c>
      <c r="J11" s="3"/>
      <c r="K11" s="19" t="str">
        <f t="shared" si="3"/>
        <v>2 vs. 4</v>
      </c>
      <c r="L11" s="20">
        <f>IFERROR(D11/SQRT((Data!X8^2+Data!X10^2)/2),"")</f>
        <v>4.2647849658405457E-2</v>
      </c>
      <c r="M11" s="20">
        <f t="shared" si="4"/>
        <v>4.0941935672069239E-2</v>
      </c>
      <c r="N11" s="42">
        <f t="shared" si="1"/>
        <v>19</v>
      </c>
      <c r="O11" s="28">
        <f>IFERROR(SQRT((1/Data!V8)+((L11^2)/(2*Data!V8))*2*(1-Data!Z23)),"")</f>
        <v>0.22365905320863774</v>
      </c>
      <c r="P11" s="28">
        <f>IFERROR(Y21*SQRT(1/Data!V8),"")</f>
        <v>-0.37999533329460128</v>
      </c>
      <c r="Q11" s="28">
        <f>IFERROR(Z21*SQRT(1/Data!V8),"")</f>
        <v>0.49733092655662292</v>
      </c>
    </row>
    <row r="12" spans="1:26" ht="15" thickBot="1" x14ac:dyDescent="0.35">
      <c r="B12" s="21" t="str">
        <f>IF(D12="","","3 vs. 4")</f>
        <v/>
      </c>
      <c r="C12" s="43" t="str">
        <f t="shared" si="0"/>
        <v/>
      </c>
      <c r="D12" s="22" t="str">
        <f>IFERROR(Data!W9-Data!W10,"")</f>
        <v/>
      </c>
      <c r="E12" s="22" t="str">
        <f>IFERROR(F12*SQRT(Data!$V$7),"")</f>
        <v/>
      </c>
      <c r="F12" s="22" t="str">
        <f>IFERROR(SQRT(Data!Z9^2+Data!Z10^2-2*Data!Z24*Data!Z9*Data!Z10),"")</f>
        <v/>
      </c>
      <c r="G12" s="22" t="str">
        <f t="shared" si="5"/>
        <v/>
      </c>
      <c r="H12" s="22" t="str">
        <f t="shared" si="2"/>
        <v/>
      </c>
      <c r="J12" s="3"/>
      <c r="K12" s="21" t="str">
        <f t="shared" si="3"/>
        <v/>
      </c>
      <c r="L12" s="22" t="str">
        <f>IFERROR(D12/SQRT((Data!X9^2+Data!X10^2)/2),"")</f>
        <v/>
      </c>
      <c r="M12" s="22" t="str">
        <f t="shared" si="4"/>
        <v/>
      </c>
      <c r="N12" s="43" t="str">
        <f t="shared" si="1"/>
        <v/>
      </c>
      <c r="O12" s="29" t="str">
        <f>IFERROR(SQRT((1/Data!V9)+((L12^2)/(2*Data!V9))*2*(1-Data!Z24)),"")</f>
        <v/>
      </c>
      <c r="P12" s="29" t="str">
        <f>IFERROR(Y22*SQRT(1/Data!V9),"")</f>
        <v/>
      </c>
      <c r="Q12" s="29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6" t="s">
        <v>108</v>
      </c>
      <c r="K14" s="6" t="s">
        <v>108</v>
      </c>
      <c r="L14" s="3"/>
      <c r="M14" s="3"/>
      <c r="N14" s="3"/>
      <c r="O14" s="3"/>
      <c r="P14" s="3"/>
      <c r="Q14" s="3"/>
      <c r="T14" s="6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3" t="s">
        <v>73</v>
      </c>
      <c r="C16" s="35"/>
      <c r="D16" s="34"/>
      <c r="E16" s="34"/>
      <c r="F16" s="35"/>
      <c r="G16" s="84" t="s">
        <v>71</v>
      </c>
      <c r="H16" s="35"/>
      <c r="J16" s="3"/>
      <c r="K16" s="84" t="s">
        <v>73</v>
      </c>
      <c r="L16" s="39"/>
      <c r="M16" s="39"/>
      <c r="N16" s="36"/>
      <c r="O16" s="36"/>
      <c r="P16" s="84" t="s">
        <v>71</v>
      </c>
      <c r="Q16" s="39"/>
      <c r="T16" s="61" t="s">
        <v>10</v>
      </c>
      <c r="U16" s="61" t="s">
        <v>11</v>
      </c>
      <c r="V16" s="61" t="s">
        <v>12</v>
      </c>
      <c r="W16" s="61" t="s">
        <v>13</v>
      </c>
      <c r="X16" s="61" t="s">
        <v>67</v>
      </c>
      <c r="Y16" s="61" t="s">
        <v>19</v>
      </c>
      <c r="Z16" s="61" t="s">
        <v>20</v>
      </c>
    </row>
    <row r="17" spans="2:26" x14ac:dyDescent="0.3">
      <c r="B17" s="37" t="s">
        <v>0</v>
      </c>
      <c r="C17" s="36" t="s">
        <v>72</v>
      </c>
      <c r="D17" s="37" t="s">
        <v>74</v>
      </c>
      <c r="E17" s="37"/>
      <c r="F17" s="36"/>
      <c r="G17" s="36" t="s">
        <v>31</v>
      </c>
      <c r="H17" s="36" t="s">
        <v>72</v>
      </c>
      <c r="J17" s="3"/>
      <c r="K17" s="35" t="s">
        <v>0</v>
      </c>
      <c r="L17" s="35" t="s">
        <v>72</v>
      </c>
      <c r="M17" s="35" t="s">
        <v>74</v>
      </c>
      <c r="N17" s="36"/>
      <c r="O17" s="36"/>
      <c r="P17" s="35" t="s">
        <v>31</v>
      </c>
      <c r="Q17" s="35" t="s">
        <v>72</v>
      </c>
      <c r="T17" s="26">
        <f t="shared" ref="T17:T22" si="6">EXP(((LN(2)-LN(G40))/2)+GAMMALN((G40+1)/2)-GAMMALN(G40/2))</f>
        <v>0.98693426752465663</v>
      </c>
      <c r="U17" s="26">
        <f t="shared" ref="U17:U22" si="7">T17*F40</f>
        <v>-3.4759347119556532</v>
      </c>
      <c r="V17" s="26">
        <f t="shared" ref="V17:V22" si="8">1+(F40^2)*(1-T17^2)</f>
        <v>1.3220208749704752</v>
      </c>
      <c r="W17" s="26">
        <f t="shared" ref="W17:W22" si="9">(2*U17^3)-((2*G40-1)/G40)*(F40^2*U17)</f>
        <v>-3.0615620929523857E-2</v>
      </c>
      <c r="X17" s="11">
        <f t="shared" ref="X17:X22" si="10">W17/SQRT(V17)^3</f>
        <v>-2.0141212095488033E-2</v>
      </c>
      <c r="Y17" s="27">
        <f t="shared" ref="Y17:Z22" si="11">IF($X17&lt;0.001,Y33,Y25)</f>
        <v>-5.7294849668417287</v>
      </c>
      <c r="Z17" s="27">
        <f t="shared" si="11"/>
        <v>-1.2223844570695777</v>
      </c>
    </row>
    <row r="18" spans="2:26" x14ac:dyDescent="0.3">
      <c r="B18" s="37">
        <v>1.1000000000000001</v>
      </c>
      <c r="C18" s="36">
        <f>IF(H7="",NA(),H7)</f>
        <v>-1.7445976311755844</v>
      </c>
      <c r="D18" s="37">
        <f t="shared" ref="D18:D35" si="12">C18</f>
        <v>-1.7445976311755844</v>
      </c>
      <c r="E18" s="37"/>
      <c r="F18" s="36"/>
      <c r="G18" s="36">
        <v>0.5</v>
      </c>
      <c r="H18" s="36">
        <f>C$40</f>
        <v>0</v>
      </c>
      <c r="J18" s="3"/>
      <c r="K18" s="37">
        <v>1.1000000000000001</v>
      </c>
      <c r="L18" s="37">
        <f>IF(Q7="",NA(),Q7)</f>
        <v>-0.2733334740646749</v>
      </c>
      <c r="M18" s="37">
        <f t="shared" ref="M18:M35" si="13">L18</f>
        <v>-0.2733334740646749</v>
      </c>
      <c r="N18" s="37"/>
      <c r="O18" s="37"/>
      <c r="P18" s="36">
        <v>0.5</v>
      </c>
      <c r="Q18" s="36">
        <f>L$40</f>
        <v>0</v>
      </c>
      <c r="T18" s="28" t="e">
        <f t="shared" si="6"/>
        <v>#VALUE!</v>
      </c>
      <c r="U18" s="28" t="e">
        <f t="shared" si="7"/>
        <v>#VALUE!</v>
      </c>
      <c r="V18" s="28" t="e">
        <f t="shared" si="8"/>
        <v>#VALUE!</v>
      </c>
      <c r="W18" s="28" t="e">
        <f t="shared" si="9"/>
        <v>#VALUE!</v>
      </c>
      <c r="X18" s="11" t="e">
        <f t="shared" si="10"/>
        <v>#VALUE!</v>
      </c>
      <c r="Y18" s="27" t="e">
        <f t="shared" si="11"/>
        <v>#VALUE!</v>
      </c>
      <c r="Z18" s="27" t="e">
        <f t="shared" si="11"/>
        <v>#VALUE!</v>
      </c>
    </row>
    <row r="19" spans="2:26" x14ac:dyDescent="0.3">
      <c r="B19" s="37">
        <v>1.1000000000000001</v>
      </c>
      <c r="C19" s="36">
        <f>IF(D7="",NA(),D7)</f>
        <v>-4.3000000000000007</v>
      </c>
      <c r="D19" s="37">
        <f t="shared" si="12"/>
        <v>-4.3000000000000007</v>
      </c>
      <c r="E19" s="37"/>
      <c r="F19" s="36"/>
      <c r="G19" s="36">
        <v>1</v>
      </c>
      <c r="H19" s="36">
        <f>C$40</f>
        <v>0</v>
      </c>
      <c r="J19" s="3"/>
      <c r="K19" s="37">
        <v>1.1000000000000001</v>
      </c>
      <c r="L19" s="36">
        <f>IF(M7="",NA(),M7)</f>
        <v>-0.76964939148327915</v>
      </c>
      <c r="M19" s="37">
        <f t="shared" si="13"/>
        <v>-0.76964939148327915</v>
      </c>
      <c r="N19" s="37"/>
      <c r="O19" s="37"/>
      <c r="P19" s="36">
        <v>1</v>
      </c>
      <c r="Q19" s="36">
        <f>L$40</f>
        <v>0</v>
      </c>
      <c r="T19" s="28" t="e">
        <f t="shared" si="6"/>
        <v>#VALUE!</v>
      </c>
      <c r="U19" s="28" t="e">
        <f t="shared" si="7"/>
        <v>#VALUE!</v>
      </c>
      <c r="V19" s="28" t="e">
        <f t="shared" si="8"/>
        <v>#VALUE!</v>
      </c>
      <c r="W19" s="28" t="e">
        <f t="shared" si="9"/>
        <v>#VALUE!</v>
      </c>
      <c r="X19" s="11" t="e">
        <f t="shared" si="10"/>
        <v>#VALUE!</v>
      </c>
      <c r="Y19" s="27" t="e">
        <f t="shared" si="11"/>
        <v>#VALUE!</v>
      </c>
      <c r="Z19" s="27" t="e">
        <f t="shared" si="11"/>
        <v>#VALUE!</v>
      </c>
    </row>
    <row r="20" spans="2:26" ht="15.6" x14ac:dyDescent="0.3">
      <c r="B20" s="37">
        <v>1.1000000000000001</v>
      </c>
      <c r="C20" s="36">
        <f>IF(G7="",NA(),G7)</f>
        <v>-6.855402368824417</v>
      </c>
      <c r="D20" s="37">
        <f t="shared" si="12"/>
        <v>-6.855402368824417</v>
      </c>
      <c r="E20" s="37"/>
      <c r="F20" s="36"/>
      <c r="G20" s="36">
        <v>1.5</v>
      </c>
      <c r="H20" s="36">
        <f>C$40</f>
        <v>0</v>
      </c>
      <c r="J20" s="3"/>
      <c r="K20" s="37">
        <v>1.1000000000000001</v>
      </c>
      <c r="L20" s="37">
        <f>IF(P7="",NA(),P7)</f>
        <v>-1.2811517861921233</v>
      </c>
      <c r="M20" s="37">
        <f t="shared" si="13"/>
        <v>-1.2811517861921233</v>
      </c>
      <c r="N20" s="37"/>
      <c r="O20" s="37"/>
      <c r="P20" s="36">
        <v>1.5</v>
      </c>
      <c r="Q20" s="36">
        <f>L$40</f>
        <v>0</v>
      </c>
      <c r="S20" s="4"/>
      <c r="T20" s="28">
        <f t="shared" si="6"/>
        <v>0.98693426752465663</v>
      </c>
      <c r="U20" s="28">
        <f t="shared" si="7"/>
        <v>-3.4858677529099067</v>
      </c>
      <c r="V20" s="28">
        <f t="shared" si="8"/>
        <v>1.3238639572648299</v>
      </c>
      <c r="W20" s="28">
        <f t="shared" si="9"/>
        <v>-3.0878838827902655E-2</v>
      </c>
      <c r="X20" s="11">
        <f t="shared" si="10"/>
        <v>-2.0271968512742187E-2</v>
      </c>
      <c r="Y20" s="27">
        <f t="shared" si="11"/>
        <v>-5.7409883430411774</v>
      </c>
      <c r="Z20" s="27">
        <f t="shared" si="11"/>
        <v>-1.2307471627786364</v>
      </c>
    </row>
    <row r="21" spans="2:26" x14ac:dyDescent="0.3">
      <c r="B21" s="37">
        <v>2.1</v>
      </c>
      <c r="C21" s="36" t="e">
        <f>IF(H8="",NA(),H8)</f>
        <v>#N/A</v>
      </c>
      <c r="D21" s="37" t="e">
        <f t="shared" si="12"/>
        <v>#N/A</v>
      </c>
      <c r="E21" s="37"/>
      <c r="F21" s="36"/>
      <c r="G21" s="36">
        <v>1.5</v>
      </c>
      <c r="H21" s="36">
        <f>C$41</f>
        <v>0</v>
      </c>
      <c r="J21" s="3"/>
      <c r="K21" s="37">
        <v>2.1</v>
      </c>
      <c r="L21" s="37" t="e">
        <f>IF(Q8="",NA(),Q8)</f>
        <v>#N/A</v>
      </c>
      <c r="M21" s="37" t="e">
        <f t="shared" si="13"/>
        <v>#N/A</v>
      </c>
      <c r="N21" s="37"/>
      <c r="O21" s="37"/>
      <c r="P21" s="36">
        <v>1.5</v>
      </c>
      <c r="Q21" s="36">
        <f>L$41</f>
        <v>0</v>
      </c>
      <c r="T21" s="76">
        <f t="shared" si="6"/>
        <v>0.98693426752465663</v>
      </c>
      <c r="U21" s="76">
        <f t="shared" si="7"/>
        <v>0.2623703627141466</v>
      </c>
      <c r="V21" s="76">
        <f t="shared" si="8"/>
        <v>1.0018347223691679</v>
      </c>
      <c r="W21" s="76">
        <f t="shared" si="9"/>
        <v>1.3166567422354114E-5</v>
      </c>
      <c r="X21" s="11">
        <f t="shared" si="10"/>
        <v>1.3130414853764705E-5</v>
      </c>
      <c r="Y21" s="27">
        <f t="shared" si="11"/>
        <v>-1.6993907927588352</v>
      </c>
      <c r="Z21" s="27">
        <f t="shared" si="11"/>
        <v>2.2241315181871286</v>
      </c>
    </row>
    <row r="22" spans="2:26" ht="15" thickBot="1" x14ac:dyDescent="0.35">
      <c r="B22" s="37">
        <v>2.1</v>
      </c>
      <c r="C22" s="36" t="e">
        <f>IF(D8="",NA(),D8)</f>
        <v>#N/A</v>
      </c>
      <c r="D22" s="37" t="e">
        <f t="shared" si="12"/>
        <v>#N/A</v>
      </c>
      <c r="E22" s="37"/>
      <c r="F22" s="36"/>
      <c r="G22" s="36">
        <v>2</v>
      </c>
      <c r="H22" s="36">
        <f>C$41</f>
        <v>0</v>
      </c>
      <c r="J22" s="3"/>
      <c r="K22" s="37">
        <v>2.1</v>
      </c>
      <c r="L22" s="36" t="e">
        <f>IF(M8="",NA(),M8)</f>
        <v>#N/A</v>
      </c>
      <c r="M22" s="37" t="e">
        <f t="shared" si="13"/>
        <v>#N/A</v>
      </c>
      <c r="N22" s="37"/>
      <c r="O22" s="37"/>
      <c r="P22" s="36">
        <v>2</v>
      </c>
      <c r="Q22" s="36">
        <f>L$41</f>
        <v>0</v>
      </c>
      <c r="T22" s="76" t="e">
        <f t="shared" si="6"/>
        <v>#VALUE!</v>
      </c>
      <c r="U22" s="76" t="e">
        <f t="shared" si="7"/>
        <v>#VALUE!</v>
      </c>
      <c r="V22" s="76" t="e">
        <f t="shared" si="8"/>
        <v>#VALUE!</v>
      </c>
      <c r="W22" s="76" t="e">
        <f t="shared" si="9"/>
        <v>#VALUE!</v>
      </c>
      <c r="X22" s="11" t="e">
        <f t="shared" si="10"/>
        <v>#VALUE!</v>
      </c>
      <c r="Y22" s="27" t="e">
        <f t="shared" si="11"/>
        <v>#VALUE!</v>
      </c>
      <c r="Z22" s="27" t="e">
        <f t="shared" si="11"/>
        <v>#VALUE!</v>
      </c>
    </row>
    <row r="23" spans="2:26" ht="15" thickBot="1" x14ac:dyDescent="0.35">
      <c r="B23" s="37">
        <v>2.1</v>
      </c>
      <c r="C23" s="37" t="e">
        <f>IF(G8="",NA(),G8)</f>
        <v>#N/A</v>
      </c>
      <c r="D23" s="37" t="e">
        <f t="shared" si="12"/>
        <v>#N/A</v>
      </c>
      <c r="E23" s="36"/>
      <c r="F23" s="36"/>
      <c r="G23" s="36">
        <v>2.5</v>
      </c>
      <c r="H23" s="36">
        <f>C$41</f>
        <v>0</v>
      </c>
      <c r="J23" s="3"/>
      <c r="K23" s="37">
        <v>2.1</v>
      </c>
      <c r="L23" s="37" t="e">
        <f>IF(P8="",NA(),P8)</f>
        <v>#N/A</v>
      </c>
      <c r="M23" s="37" t="e">
        <f t="shared" si="13"/>
        <v>#N/A</v>
      </c>
      <c r="N23" s="37"/>
      <c r="O23" s="37"/>
      <c r="P23" s="36">
        <v>2.5</v>
      </c>
      <c r="Q23" s="36">
        <f>L$41</f>
        <v>0</v>
      </c>
      <c r="T23" s="7"/>
      <c r="U23" s="7"/>
      <c r="V23" s="7"/>
      <c r="W23" s="7"/>
      <c r="X23" s="7"/>
      <c r="Y23" s="7"/>
      <c r="Z23" s="7"/>
    </row>
    <row r="24" spans="2:26" ht="15" thickBot="1" x14ac:dyDescent="0.35">
      <c r="B24" s="37">
        <v>3.1</v>
      </c>
      <c r="C24" s="37" t="e">
        <f>IF(H9="",NA(),H9)</f>
        <v>#N/A</v>
      </c>
      <c r="D24" s="37" t="e">
        <f t="shared" si="12"/>
        <v>#N/A</v>
      </c>
      <c r="E24" s="36"/>
      <c r="F24" s="36"/>
      <c r="G24" s="36">
        <v>2.5</v>
      </c>
      <c r="H24" s="36">
        <f>C$42</f>
        <v>0</v>
      </c>
      <c r="J24" s="3"/>
      <c r="K24" s="37">
        <v>3.1</v>
      </c>
      <c r="L24" s="37" t="e">
        <f>IF(Q9="",NA(),Q9)</f>
        <v>#N/A</v>
      </c>
      <c r="M24" s="37" t="e">
        <f t="shared" si="13"/>
        <v>#N/A</v>
      </c>
      <c r="N24" s="37"/>
      <c r="O24" s="37"/>
      <c r="P24" s="36">
        <v>2.5</v>
      </c>
      <c r="Q24" s="36">
        <f>L$42</f>
        <v>0</v>
      </c>
      <c r="T24" s="61" t="s">
        <v>14</v>
      </c>
      <c r="U24" s="61" t="s">
        <v>15</v>
      </c>
      <c r="V24" s="61" t="s">
        <v>16</v>
      </c>
      <c r="W24" s="61" t="s">
        <v>17</v>
      </c>
      <c r="X24" s="61" t="s">
        <v>18</v>
      </c>
      <c r="Y24" s="61" t="s">
        <v>19</v>
      </c>
      <c r="Z24" s="61" t="s">
        <v>20</v>
      </c>
    </row>
    <row r="25" spans="2:26" x14ac:dyDescent="0.3">
      <c r="B25" s="37">
        <v>3.1</v>
      </c>
      <c r="C25" s="37" t="e">
        <f>IF(D9="",NA(),D9)</f>
        <v>#N/A</v>
      </c>
      <c r="D25" s="37" t="e">
        <f t="shared" si="12"/>
        <v>#N/A</v>
      </c>
      <c r="E25" s="36"/>
      <c r="F25" s="36"/>
      <c r="G25" s="36">
        <v>3</v>
      </c>
      <c r="H25" s="36">
        <f>C$42</f>
        <v>0</v>
      </c>
      <c r="J25" s="3"/>
      <c r="K25" s="37">
        <v>3.1</v>
      </c>
      <c r="L25" s="36" t="e">
        <f>IF(M9="",NA(),M9)</f>
        <v>#N/A</v>
      </c>
      <c r="M25" s="37" t="e">
        <f t="shared" si="13"/>
        <v>#N/A</v>
      </c>
      <c r="N25" s="37"/>
      <c r="O25" s="37"/>
      <c r="P25" s="36">
        <v>3</v>
      </c>
      <c r="Q25" s="36">
        <f>L$42</f>
        <v>0</v>
      </c>
      <c r="T25" s="26">
        <f t="shared" ref="T25:T30" si="14">W17/(4*V17)</f>
        <v>-5.7895494521233637E-3</v>
      </c>
      <c r="U25" s="26">
        <f t="shared" ref="U25:U30" si="15">V17/(2*T25^2)</f>
        <v>19720.53902494537</v>
      </c>
      <c r="V25" s="26">
        <f t="shared" ref="V25:V30" si="16">U17-(U25*T25)</f>
        <v>110.69710119549423</v>
      </c>
      <c r="W25" s="26">
        <f t="shared" ref="W25:W30" si="17">2*GAMMAINV((1-$Q$4/100)/2,U25/2,1)</f>
        <v>19333.192285096728</v>
      </c>
      <c r="X25" s="26">
        <f t="shared" ref="X25:X30" si="18">2*GAMMAINV(1-(1-$Q$4/100)/2,U25/2,1)</f>
        <v>20111.6743489281</v>
      </c>
      <c r="Y25" s="26">
        <f t="shared" ref="Y25:Y30" si="19">IF(F40&gt;0,V25+(T25*W25),V25+(T25*X25))</f>
        <v>-5.7404320126259591</v>
      </c>
      <c r="Z25" s="26">
        <f t="shared" ref="Z25:Z30" si="20">IF(F40&gt;0,V25+(T25*X25),V25+(T25*W25))</f>
        <v>-1.2333716064831748</v>
      </c>
    </row>
    <row r="26" spans="2:26" x14ac:dyDescent="0.3">
      <c r="B26" s="37">
        <v>3.1</v>
      </c>
      <c r="C26" s="37" t="e">
        <f>IF(G9="",NA(),G9)</f>
        <v>#N/A</v>
      </c>
      <c r="D26" s="37" t="e">
        <f t="shared" si="12"/>
        <v>#N/A</v>
      </c>
      <c r="E26" s="37"/>
      <c r="F26" s="37"/>
      <c r="G26" s="36">
        <v>3.5</v>
      </c>
      <c r="H26" s="36">
        <f>C$42</f>
        <v>0</v>
      </c>
      <c r="J26" s="3"/>
      <c r="K26" s="37">
        <v>3.1</v>
      </c>
      <c r="L26" s="37" t="e">
        <f>IF(P9="",NA(),P9)</f>
        <v>#N/A</v>
      </c>
      <c r="M26" s="37" t="e">
        <f t="shared" si="13"/>
        <v>#N/A</v>
      </c>
      <c r="N26" s="37"/>
      <c r="O26" s="37"/>
      <c r="P26" s="36">
        <v>3.5</v>
      </c>
      <c r="Q26" s="36">
        <f>L$42</f>
        <v>0</v>
      </c>
      <c r="T26" s="28" t="e">
        <f t="shared" si="14"/>
        <v>#VALUE!</v>
      </c>
      <c r="U26" s="28" t="e">
        <f t="shared" si="15"/>
        <v>#VALUE!</v>
      </c>
      <c r="V26" s="28" t="e">
        <f t="shared" si="16"/>
        <v>#VALUE!</v>
      </c>
      <c r="W26" s="28" t="e">
        <f t="shared" si="17"/>
        <v>#VALUE!</v>
      </c>
      <c r="X26" s="28" t="e">
        <f t="shared" si="18"/>
        <v>#VALUE!</v>
      </c>
      <c r="Y26" s="28" t="e">
        <f t="shared" si="19"/>
        <v>#VALUE!</v>
      </c>
      <c r="Z26" s="28" t="e">
        <f t="shared" si="20"/>
        <v>#VALUE!</v>
      </c>
    </row>
    <row r="27" spans="2:26" x14ac:dyDescent="0.3">
      <c r="B27" s="37">
        <v>4.0999999999999996</v>
      </c>
      <c r="C27" s="37">
        <f>IF(H10="",NA(),H10)</f>
        <v>-1.6703965368936373</v>
      </c>
      <c r="D27" s="37">
        <f t="shared" si="12"/>
        <v>-1.6703965368936373</v>
      </c>
      <c r="E27" s="37"/>
      <c r="F27" s="37"/>
      <c r="G27" s="36">
        <v>3.5</v>
      </c>
      <c r="H27" s="36">
        <f>C$43</f>
        <v>0</v>
      </c>
      <c r="J27" s="3"/>
      <c r="K27" s="37">
        <v>4.0999999999999996</v>
      </c>
      <c r="L27" s="37">
        <f>IF(Q10="",NA(),Q10)</f>
        <v>-0.27520343190880298</v>
      </c>
      <c r="M27" s="37">
        <f t="shared" si="13"/>
        <v>-0.27520343190880298</v>
      </c>
      <c r="N27" s="37"/>
      <c r="O27" s="37"/>
      <c r="P27" s="36">
        <v>3.5</v>
      </c>
      <c r="Q27" s="36">
        <f>L$43</f>
        <v>0</v>
      </c>
      <c r="T27" s="28" t="e">
        <f t="shared" si="14"/>
        <v>#VALUE!</v>
      </c>
      <c r="U27" s="28" t="e">
        <f t="shared" si="15"/>
        <v>#VALUE!</v>
      </c>
      <c r="V27" s="28" t="e">
        <f t="shared" si="16"/>
        <v>#VALUE!</v>
      </c>
      <c r="W27" s="28" t="e">
        <f t="shared" si="17"/>
        <v>#VALUE!</v>
      </c>
      <c r="X27" s="28" t="e">
        <f t="shared" si="18"/>
        <v>#VALUE!</v>
      </c>
      <c r="Y27" s="28" t="e">
        <f t="shared" si="19"/>
        <v>#VALUE!</v>
      </c>
      <c r="Z27" s="28" t="e">
        <f t="shared" si="20"/>
        <v>#VALUE!</v>
      </c>
    </row>
    <row r="28" spans="2:26" x14ac:dyDescent="0.3">
      <c r="B28" s="37">
        <v>4.0999999999999996</v>
      </c>
      <c r="C28" s="37">
        <f>IF(D10="",NA(),D10)</f>
        <v>-4.0999999999999979</v>
      </c>
      <c r="D28" s="37">
        <f t="shared" si="12"/>
        <v>-4.0999999999999979</v>
      </c>
      <c r="E28" s="37"/>
      <c r="F28" s="37"/>
      <c r="G28" s="36">
        <v>4</v>
      </c>
      <c r="H28" s="36">
        <f>C$43</f>
        <v>0</v>
      </c>
      <c r="J28" s="3"/>
      <c r="K28" s="36">
        <v>4.0999999999999996</v>
      </c>
      <c r="L28" s="36">
        <f>IF(M10="",NA(),M10)</f>
        <v>-0.74274284032493221</v>
      </c>
      <c r="M28" s="37">
        <f t="shared" si="13"/>
        <v>-0.74274284032493221</v>
      </c>
      <c r="N28" s="37"/>
      <c r="O28" s="37"/>
      <c r="P28" s="36">
        <v>4</v>
      </c>
      <c r="Q28" s="36">
        <f>L$43</f>
        <v>0</v>
      </c>
      <c r="T28" s="28">
        <f t="shared" si="14"/>
        <v>-5.8311956184115598E-3</v>
      </c>
      <c r="U28" s="28">
        <f t="shared" si="15"/>
        <v>19466.9602032119</v>
      </c>
      <c r="V28" s="28">
        <f t="shared" si="16"/>
        <v>110.02978528785152</v>
      </c>
      <c r="W28" s="28">
        <f t="shared" si="17"/>
        <v>19082.124155295311</v>
      </c>
      <c r="X28" s="28">
        <f t="shared" si="18"/>
        <v>19855.584834902696</v>
      </c>
      <c r="Y28" s="28">
        <f t="shared" si="19"/>
        <v>-5.7520140024320909</v>
      </c>
      <c r="Z28" s="28">
        <f t="shared" si="20"/>
        <v>-1.2418134764918705</v>
      </c>
    </row>
    <row r="29" spans="2:26" x14ac:dyDescent="0.3">
      <c r="B29" s="37">
        <v>4.0999999999999996</v>
      </c>
      <c r="C29" s="37">
        <f>IF(G10="",NA(),G10)</f>
        <v>-6.5296034631063584</v>
      </c>
      <c r="D29" s="37">
        <f t="shared" si="12"/>
        <v>-6.5296034631063584</v>
      </c>
      <c r="E29" s="37"/>
      <c r="F29" s="37"/>
      <c r="G29" s="36">
        <v>4.5</v>
      </c>
      <c r="H29" s="36">
        <f>C$43</f>
        <v>0</v>
      </c>
      <c r="J29" s="3"/>
      <c r="K29" s="36">
        <v>4.0999999999999996</v>
      </c>
      <c r="L29" s="37">
        <f>IF(P10="",NA(),P10)</f>
        <v>-1.2837240193073953</v>
      </c>
      <c r="M29" s="37">
        <f t="shared" si="13"/>
        <v>-1.2837240193073953</v>
      </c>
      <c r="N29" s="37"/>
      <c r="O29" s="37"/>
      <c r="P29" s="36">
        <v>4.5</v>
      </c>
      <c r="Q29" s="36">
        <f>L$43</f>
        <v>0</v>
      </c>
      <c r="T29" s="76">
        <f t="shared" si="14"/>
        <v>3.2856136666977944E-6</v>
      </c>
      <c r="U29" s="76">
        <f t="shared" si="15"/>
        <v>46401614472.466675</v>
      </c>
      <c r="V29" s="76">
        <f t="shared" si="16"/>
        <v>-152457.51629721597</v>
      </c>
      <c r="W29" s="76">
        <f t="shared" si="17"/>
        <v>46413351947.636818</v>
      </c>
      <c r="X29" s="51">
        <f t="shared" si="18"/>
        <v>46414546284.902199</v>
      </c>
      <c r="Y29" s="51">
        <f t="shared" si="19"/>
        <v>38.827179194253404</v>
      </c>
      <c r="Z29" s="51">
        <f t="shared" si="20"/>
        <v>42.751310036022915</v>
      </c>
    </row>
    <row r="30" spans="2:26" ht="15" thickBot="1" x14ac:dyDescent="0.35">
      <c r="B30" s="37">
        <v>5.0999999999999996</v>
      </c>
      <c r="C30" s="37">
        <f>IF(H11="",NA(),H11)</f>
        <v>1.7746269057832165</v>
      </c>
      <c r="D30" s="37">
        <f t="shared" si="12"/>
        <v>1.7746269057832165</v>
      </c>
      <c r="E30" s="37"/>
      <c r="F30" s="37"/>
      <c r="G30" s="36">
        <v>4.5</v>
      </c>
      <c r="H30" s="36">
        <f>C$44</f>
        <v>0</v>
      </c>
      <c r="J30" s="3"/>
      <c r="K30" s="37">
        <v>5.0999999999999996</v>
      </c>
      <c r="L30" s="37">
        <f>IF(Q11="",NA(),Q11)</f>
        <v>0.49733092655662292</v>
      </c>
      <c r="M30" s="37">
        <f t="shared" si="13"/>
        <v>0.49733092655662292</v>
      </c>
      <c r="N30" s="37"/>
      <c r="O30" s="37"/>
      <c r="P30" s="37">
        <v>4.5</v>
      </c>
      <c r="Q30" s="36">
        <f>L$44</f>
        <v>0</v>
      </c>
      <c r="T30" s="78" t="e">
        <f t="shared" si="14"/>
        <v>#VALUE!</v>
      </c>
      <c r="U30" s="78" t="e">
        <f t="shared" si="15"/>
        <v>#VALUE!</v>
      </c>
      <c r="V30" s="78" t="e">
        <f t="shared" si="16"/>
        <v>#VALUE!</v>
      </c>
      <c r="W30" s="78" t="e">
        <f t="shared" si="17"/>
        <v>#VALUE!</v>
      </c>
      <c r="X30" s="79" t="e">
        <f t="shared" si="18"/>
        <v>#VALUE!</v>
      </c>
      <c r="Y30" s="79" t="e">
        <f t="shared" si="19"/>
        <v>#VALUE!</v>
      </c>
      <c r="Z30" s="79" t="e">
        <f t="shared" si="20"/>
        <v>#VALUE!</v>
      </c>
    </row>
    <row r="31" spans="2:26" ht="15" thickBot="1" x14ac:dyDescent="0.35">
      <c r="B31" s="37">
        <v>5.0999999999999996</v>
      </c>
      <c r="C31" s="37">
        <f>IF(D11="",NA(),D11)</f>
        <v>0.20000000000000284</v>
      </c>
      <c r="D31" s="37">
        <f t="shared" si="12"/>
        <v>0.20000000000000284</v>
      </c>
      <c r="E31" s="37"/>
      <c r="F31" s="37"/>
      <c r="G31" s="36">
        <v>5</v>
      </c>
      <c r="H31" s="36">
        <f>C$44</f>
        <v>0</v>
      </c>
      <c r="J31" s="3"/>
      <c r="K31" s="37">
        <v>5.0999999999999996</v>
      </c>
      <c r="L31" s="36">
        <f>IF(M11="",NA(),M11)</f>
        <v>4.0941935672069239E-2</v>
      </c>
      <c r="M31" s="37">
        <f t="shared" si="13"/>
        <v>4.0941935672069239E-2</v>
      </c>
      <c r="N31" s="37"/>
      <c r="O31" s="37"/>
      <c r="P31" s="37">
        <v>5</v>
      </c>
      <c r="Q31" s="36">
        <f>L$44</f>
        <v>0</v>
      </c>
    </row>
    <row r="32" spans="2:26" ht="15" thickBot="1" x14ac:dyDescent="0.35">
      <c r="B32" s="37">
        <v>5.0999999999999996</v>
      </c>
      <c r="C32" s="37">
        <f>IF(G11="",NA(),G11)</f>
        <v>-1.3746269057832108</v>
      </c>
      <c r="D32" s="37">
        <f t="shared" si="12"/>
        <v>-1.3746269057832108</v>
      </c>
      <c r="E32" s="37"/>
      <c r="F32" s="37"/>
      <c r="G32" s="37">
        <v>5.5</v>
      </c>
      <c r="H32" s="36">
        <f>C$44</f>
        <v>0</v>
      </c>
      <c r="K32" s="37">
        <v>5.0999999999999996</v>
      </c>
      <c r="L32" s="37">
        <f>IF(P11="",NA(),P11)</f>
        <v>-0.37999533329460128</v>
      </c>
      <c r="M32" s="37">
        <f t="shared" si="13"/>
        <v>-0.37999533329460128</v>
      </c>
      <c r="N32" s="37"/>
      <c r="O32" s="37"/>
      <c r="P32" s="37">
        <v>5.5</v>
      </c>
      <c r="Q32" s="36">
        <f>L$44</f>
        <v>0</v>
      </c>
      <c r="V32" s="61" t="s">
        <v>68</v>
      </c>
      <c r="W32" s="61" t="s">
        <v>69</v>
      </c>
      <c r="X32" s="61" t="s">
        <v>70</v>
      </c>
      <c r="Y32" s="61" t="s">
        <v>19</v>
      </c>
      <c r="Z32" s="61" t="s">
        <v>20</v>
      </c>
    </row>
    <row r="33" spans="2:26" ht="15.6" x14ac:dyDescent="0.3">
      <c r="B33" s="37">
        <v>6.1</v>
      </c>
      <c r="C33" s="37" t="e">
        <f>IF(H12="",NA(),H12)</f>
        <v>#N/A</v>
      </c>
      <c r="D33" s="37" t="e">
        <f t="shared" si="12"/>
        <v>#N/A</v>
      </c>
      <c r="E33" s="37"/>
      <c r="F33" s="37"/>
      <c r="G33" s="37">
        <v>5.5</v>
      </c>
      <c r="H33" s="36">
        <f>C$45</f>
        <v>0</v>
      </c>
      <c r="J33" s="4"/>
      <c r="K33" s="37">
        <v>6.1</v>
      </c>
      <c r="L33" s="37" t="e">
        <f>IF(Q12="",NA(),Q12)</f>
        <v>#N/A</v>
      </c>
      <c r="M33" s="37" t="e">
        <f t="shared" si="13"/>
        <v>#N/A</v>
      </c>
      <c r="N33" s="37"/>
      <c r="O33" s="37"/>
      <c r="P33" s="37">
        <v>5.5</v>
      </c>
      <c r="Q33" s="36">
        <f>L$45</f>
        <v>0</v>
      </c>
      <c r="V33" s="27">
        <f t="shared" ref="V33:V38" si="21">SQRT(V17)</f>
        <v>1.1497916658988598</v>
      </c>
      <c r="W33" s="27">
        <f t="shared" ref="W33:W38" si="22">NORMINV((1-$Q$4/100)/2,0,1)</f>
        <v>-1.9599639845400536</v>
      </c>
      <c r="X33" s="27">
        <f t="shared" ref="X33:X38" si="23">NORMINV(1-(1-$Q$4/100)/2,0,1)</f>
        <v>1.9599639845400536</v>
      </c>
      <c r="Y33" s="27">
        <f t="shared" ref="Y33:Y38" si="24">U17+W33*V33</f>
        <v>-5.7294849668417287</v>
      </c>
      <c r="Z33" s="27">
        <f t="shared" ref="Z33:Z38" si="25">U17+X33*V33</f>
        <v>-1.2223844570695777</v>
      </c>
    </row>
    <row r="34" spans="2:26" x14ac:dyDescent="0.3">
      <c r="B34" s="37">
        <v>6.1</v>
      </c>
      <c r="C34" s="37" t="e">
        <f>IF(D12="",NA(),D12)</f>
        <v>#N/A</v>
      </c>
      <c r="D34" s="37" t="e">
        <f t="shared" si="12"/>
        <v>#N/A</v>
      </c>
      <c r="E34" s="37"/>
      <c r="F34" s="37"/>
      <c r="G34" s="37">
        <v>6</v>
      </c>
      <c r="H34" s="37">
        <f>C$45</f>
        <v>0</v>
      </c>
      <c r="K34" s="37">
        <v>6.1</v>
      </c>
      <c r="L34" s="36" t="e">
        <f>IF(M12="",NA(),M12)</f>
        <v>#N/A</v>
      </c>
      <c r="M34" s="37" t="e">
        <f t="shared" si="13"/>
        <v>#N/A</v>
      </c>
      <c r="N34" s="37"/>
      <c r="O34" s="37"/>
      <c r="P34" s="37">
        <v>6</v>
      </c>
      <c r="Q34" s="36">
        <f>L$45</f>
        <v>0</v>
      </c>
      <c r="V34" s="27" t="e">
        <f t="shared" si="21"/>
        <v>#VALUE!</v>
      </c>
      <c r="W34" s="27">
        <f t="shared" si="22"/>
        <v>-1.9599639845400536</v>
      </c>
      <c r="X34" s="27">
        <f t="shared" si="23"/>
        <v>1.9599639845400536</v>
      </c>
      <c r="Y34" s="27" t="e">
        <f t="shared" si="24"/>
        <v>#VALUE!</v>
      </c>
      <c r="Z34" s="27" t="e">
        <f t="shared" si="25"/>
        <v>#VALUE!</v>
      </c>
    </row>
    <row r="35" spans="2:26" x14ac:dyDescent="0.3">
      <c r="B35" s="37">
        <v>6.1</v>
      </c>
      <c r="C35" s="37" t="e">
        <f>IF(G12="",NA(),G12)</f>
        <v>#N/A</v>
      </c>
      <c r="D35" s="37" t="e">
        <f t="shared" si="12"/>
        <v>#N/A</v>
      </c>
      <c r="E35" s="37"/>
      <c r="F35" s="37"/>
      <c r="G35" s="37">
        <v>6.5</v>
      </c>
      <c r="H35" s="37">
        <f>C$45</f>
        <v>0</v>
      </c>
      <c r="K35" s="37">
        <v>6.1</v>
      </c>
      <c r="L35" s="37" t="e">
        <f>IF(P12="",NA(),P12)</f>
        <v>#N/A</v>
      </c>
      <c r="M35" s="37" t="e">
        <f t="shared" si="13"/>
        <v>#N/A</v>
      </c>
      <c r="N35" s="37"/>
      <c r="O35" s="37"/>
      <c r="P35" s="37">
        <v>6.5</v>
      </c>
      <c r="Q35" s="36">
        <f>L$45</f>
        <v>0</v>
      </c>
      <c r="V35" s="27" t="e">
        <f t="shared" si="21"/>
        <v>#VALUE!</v>
      </c>
      <c r="W35" s="27">
        <f t="shared" si="22"/>
        <v>-1.9599639845400536</v>
      </c>
      <c r="X35" s="27">
        <f t="shared" si="23"/>
        <v>1.9599639845400536</v>
      </c>
      <c r="Y35" s="27" t="e">
        <f t="shared" si="24"/>
        <v>#VALUE!</v>
      </c>
      <c r="Z35" s="27" t="e">
        <f t="shared" si="25"/>
        <v>#VALUE!</v>
      </c>
    </row>
    <row r="36" spans="2:26" x14ac:dyDescent="0.3">
      <c r="B36" s="23"/>
      <c r="C36" s="23"/>
      <c r="D36" s="23"/>
      <c r="E36" s="23"/>
      <c r="F36" s="23"/>
      <c r="G36" s="23"/>
      <c r="H36" s="23"/>
      <c r="V36" s="27">
        <f t="shared" si="21"/>
        <v>1.1505928720728413</v>
      </c>
      <c r="W36" s="27">
        <f t="shared" si="22"/>
        <v>-1.9599639845400536</v>
      </c>
      <c r="X36" s="27">
        <f t="shared" si="23"/>
        <v>1.9599639845400536</v>
      </c>
      <c r="Y36" s="27">
        <f t="shared" si="24"/>
        <v>-5.7409883430411774</v>
      </c>
      <c r="Z36" s="27">
        <f t="shared" si="25"/>
        <v>-1.2307471627786364</v>
      </c>
    </row>
    <row r="37" spans="2:26" ht="15.6" x14ac:dyDescent="0.3">
      <c r="B37" s="45" t="s">
        <v>107</v>
      </c>
      <c r="C37"/>
      <c r="D37"/>
      <c r="E37"/>
      <c r="F37"/>
      <c r="G37"/>
      <c r="H37"/>
      <c r="J37" s="3"/>
      <c r="K37" s="45" t="s">
        <v>112</v>
      </c>
      <c r="L37" s="3"/>
      <c r="M37" s="3"/>
      <c r="N37" s="3"/>
      <c r="O37" s="3"/>
      <c r="P37" s="3"/>
      <c r="Q37" s="3"/>
      <c r="V37" s="27">
        <f t="shared" si="21"/>
        <v>1.0009169407943739</v>
      </c>
      <c r="W37" s="27">
        <f t="shared" si="22"/>
        <v>-1.9599639845400536</v>
      </c>
      <c r="X37" s="27">
        <f t="shared" si="23"/>
        <v>1.9599639845400536</v>
      </c>
      <c r="Y37" s="27">
        <f t="shared" si="24"/>
        <v>-1.6993907927588352</v>
      </c>
      <c r="Z37" s="27">
        <f t="shared" si="25"/>
        <v>2.2241315181871286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7" t="e">
        <f t="shared" si="21"/>
        <v>#VALUE!</v>
      </c>
      <c r="W38" s="27">
        <f t="shared" si="22"/>
        <v>-1.9599639845400536</v>
      </c>
      <c r="X38" s="27">
        <f t="shared" si="23"/>
        <v>1.9599639845400536</v>
      </c>
      <c r="Y38" s="27" t="e">
        <f t="shared" si="24"/>
        <v>#VALUE!</v>
      </c>
      <c r="Z38" s="27" t="e">
        <f t="shared" si="25"/>
        <v>#VALUE!</v>
      </c>
    </row>
    <row r="39" spans="2:26" ht="15" thickBot="1" x14ac:dyDescent="0.35">
      <c r="B39" s="47" t="s">
        <v>60</v>
      </c>
      <c r="C39" s="65" t="s">
        <v>32</v>
      </c>
      <c r="D39" s="65" t="s">
        <v>47</v>
      </c>
      <c r="E39" s="65" t="s">
        <v>75</v>
      </c>
      <c r="F39" s="61" t="s">
        <v>9</v>
      </c>
      <c r="G39" s="47" t="s">
        <v>2</v>
      </c>
      <c r="H39" s="61" t="s">
        <v>46</v>
      </c>
      <c r="J39" s="3"/>
      <c r="K39" s="47" t="s">
        <v>60</v>
      </c>
      <c r="L39" s="47" t="s">
        <v>34</v>
      </c>
      <c r="M39" s="3"/>
      <c r="N39" s="3"/>
      <c r="O39" s="3"/>
      <c r="P39" s="3"/>
      <c r="Q39" s="3"/>
      <c r="V39" s="8"/>
      <c r="W39" s="8"/>
      <c r="X39" s="8"/>
      <c r="Y39" s="8"/>
      <c r="Z39" s="8"/>
    </row>
    <row r="40" spans="2:26" x14ac:dyDescent="0.3">
      <c r="B40" s="17" t="str">
        <f t="shared" ref="B40:B45" si="26">B7</f>
        <v>1 vs. 2</v>
      </c>
      <c r="C40" s="13">
        <v>0</v>
      </c>
      <c r="D40" s="18">
        <f t="shared" ref="D40:D45" si="27">IFERROR(D7-C40,"")</f>
        <v>-4.3000000000000007</v>
      </c>
      <c r="E40" s="18">
        <f t="shared" ref="E40:E45" si="28">F7</f>
        <v>1.2209139992644855</v>
      </c>
      <c r="F40" s="26">
        <f t="shared" ref="F40:F45" si="29">IFERROR(D40/E40,"")</f>
        <v>-3.5219515892113997</v>
      </c>
      <c r="G40" s="41">
        <f>IF(B40="","",Data!V7-1)</f>
        <v>19</v>
      </c>
      <c r="H40" s="18">
        <f t="shared" ref="H40:H45" si="30">IFERROR(IF(TDIST(ABS(F40),G40,2)&lt;0.001,"&lt; 0.001",TDIST(ABS(F40),G40,2)),"")</f>
        <v>2.2789095284560809E-3</v>
      </c>
      <c r="J40" s="3"/>
      <c r="K40" s="17" t="str">
        <f t="shared" ref="K40:K45" si="31">K7</f>
        <v>1 vs. 2</v>
      </c>
      <c r="L40" s="13">
        <v>0</v>
      </c>
      <c r="M40" s="3"/>
      <c r="N40" s="3"/>
      <c r="O40" s="3"/>
      <c r="P40" s="3"/>
      <c r="Q40" s="3"/>
    </row>
    <row r="41" spans="2:26" x14ac:dyDescent="0.3">
      <c r="B41" s="19" t="str">
        <f t="shared" si="26"/>
        <v/>
      </c>
      <c r="C41" s="14"/>
      <c r="D41" s="20" t="str">
        <f t="shared" si="27"/>
        <v/>
      </c>
      <c r="E41" s="20" t="str">
        <f t="shared" si="28"/>
        <v/>
      </c>
      <c r="F41" s="28" t="str">
        <f t="shared" si="29"/>
        <v/>
      </c>
      <c r="G41" s="42" t="str">
        <f>IF(B41="","",Data!V7-1)</f>
        <v/>
      </c>
      <c r="H41" s="20" t="str">
        <f t="shared" si="30"/>
        <v/>
      </c>
      <c r="J41" s="3"/>
      <c r="K41" s="19" t="str">
        <f t="shared" si="31"/>
        <v/>
      </c>
      <c r="L41" s="14"/>
      <c r="M41" s="3"/>
      <c r="N41" s="3"/>
      <c r="O41" s="3"/>
      <c r="P41" s="3"/>
      <c r="Q41" s="3"/>
    </row>
    <row r="42" spans="2:26" x14ac:dyDescent="0.3">
      <c r="B42" s="19" t="str">
        <f t="shared" si="26"/>
        <v/>
      </c>
      <c r="C42" s="14"/>
      <c r="D42" s="20" t="str">
        <f t="shared" si="27"/>
        <v/>
      </c>
      <c r="E42" s="20" t="str">
        <f t="shared" si="28"/>
        <v/>
      </c>
      <c r="F42" s="28" t="str">
        <f t="shared" si="29"/>
        <v/>
      </c>
      <c r="G42" s="42" t="str">
        <f>IF(B42="","",Data!V8-1)</f>
        <v/>
      </c>
      <c r="H42" s="20" t="str">
        <f t="shared" si="30"/>
        <v/>
      </c>
      <c r="J42" s="3"/>
      <c r="K42" s="19" t="str">
        <f t="shared" si="31"/>
        <v/>
      </c>
      <c r="L42" s="14"/>
      <c r="M42" s="3"/>
      <c r="N42" s="3"/>
      <c r="O42" s="3"/>
      <c r="P42" s="3"/>
      <c r="Q42" s="3"/>
    </row>
    <row r="43" spans="2:26" x14ac:dyDescent="0.3">
      <c r="B43" s="19" t="str">
        <f t="shared" si="26"/>
        <v>1 vs. 4</v>
      </c>
      <c r="C43" s="14">
        <v>0</v>
      </c>
      <c r="D43" s="20">
        <f t="shared" si="27"/>
        <v>-4.0999999999999979</v>
      </c>
      <c r="E43" s="20">
        <f t="shared" si="28"/>
        <v>1.1608101005763174</v>
      </c>
      <c r="F43" s="28">
        <f t="shared" si="29"/>
        <v>-3.5320161307731865</v>
      </c>
      <c r="G43" s="42">
        <f>IF(B43="","",Data!V7-1)</f>
        <v>19</v>
      </c>
      <c r="H43" s="20">
        <f t="shared" si="30"/>
        <v>2.2274109704272398E-3</v>
      </c>
      <c r="J43" s="3"/>
      <c r="K43" s="19" t="str">
        <f t="shared" si="31"/>
        <v>1 vs. 4</v>
      </c>
      <c r="L43" s="14">
        <v>0</v>
      </c>
      <c r="M43" s="3"/>
      <c r="N43" s="3"/>
      <c r="O43" s="3"/>
      <c r="P43" s="3"/>
      <c r="Q43" s="3"/>
    </row>
    <row r="44" spans="2:26" x14ac:dyDescent="0.3">
      <c r="B44" s="19" t="str">
        <f t="shared" si="26"/>
        <v>2 vs. 4</v>
      </c>
      <c r="C44" s="14">
        <v>0</v>
      </c>
      <c r="D44" s="20">
        <f t="shared" si="27"/>
        <v>0.20000000000000284</v>
      </c>
      <c r="E44" s="20">
        <f t="shared" si="28"/>
        <v>0.75232145682547147</v>
      </c>
      <c r="F44" s="28">
        <f t="shared" si="29"/>
        <v>0.26584380677367836</v>
      </c>
      <c r="G44" s="42">
        <f>IF(B44="","",Data!V7-1)</f>
        <v>19</v>
      </c>
      <c r="H44" s="20">
        <f t="shared" si="30"/>
        <v>0.79322278573312222</v>
      </c>
      <c r="J44" s="3"/>
      <c r="K44" s="19" t="str">
        <f t="shared" si="31"/>
        <v>2 vs. 4</v>
      </c>
      <c r="L44" s="14">
        <v>0</v>
      </c>
      <c r="M44" s="3"/>
      <c r="N44" s="3"/>
      <c r="O44" s="3"/>
      <c r="P44" s="3"/>
      <c r="Q44" s="3"/>
    </row>
    <row r="45" spans="2:26" ht="15" thickBot="1" x14ac:dyDescent="0.35">
      <c r="B45" s="21" t="str">
        <f t="shared" si="26"/>
        <v/>
      </c>
      <c r="C45" s="15"/>
      <c r="D45" s="22" t="str">
        <f t="shared" si="27"/>
        <v/>
      </c>
      <c r="E45" s="22" t="str">
        <f t="shared" si="28"/>
        <v/>
      </c>
      <c r="F45" s="29" t="str">
        <f t="shared" si="29"/>
        <v/>
      </c>
      <c r="G45" s="43" t="str">
        <f>IF(B45="","",Data!V7-1)</f>
        <v/>
      </c>
      <c r="H45" s="22" t="str">
        <f t="shared" si="30"/>
        <v/>
      </c>
      <c r="J45" s="3"/>
      <c r="K45" s="21" t="str">
        <f t="shared" si="31"/>
        <v/>
      </c>
      <c r="L45" s="15"/>
      <c r="M45" s="3"/>
      <c r="N45" s="3"/>
      <c r="O45" s="3"/>
      <c r="P45" s="3"/>
      <c r="Q45" s="3"/>
    </row>
    <row r="46" spans="2:26" x14ac:dyDescent="0.3">
      <c r="B46" s="8"/>
      <c r="C46" s="2"/>
      <c r="D46" s="8"/>
      <c r="E46"/>
      <c r="F46"/>
      <c r="G46"/>
      <c r="H46"/>
      <c r="J46" s="3"/>
      <c r="K46" s="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2023-03-12T21:39:37Z</dcterms:modified>
</cp:coreProperties>
</file>