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35" yWindow="675" windowWidth="10455" windowHeight="5325" tabRatio="870"/>
  </bookViews>
  <sheets>
    <sheet name="summary" sheetId="16" r:id="rId1"/>
    <sheet name="sex-race 2006" sheetId="36" r:id="rId2"/>
    <sheet name="fed-state from 1925" sheetId="18" r:id="rId3"/>
    <sheet name="jails from 1983" sheetId="33" r:id="rId4"/>
    <sheet name="fs sentenced" sheetId="31" r:id="rId5"/>
    <sheet name="fs jurisdiction" sheetId="30" r:id="rId6"/>
    <sheet name="fs 1925-2001 source" sheetId="35" r:id="rId7"/>
    <sheet name="federal 1896-1940" sheetId="34" r:id="rId8"/>
    <sheet name="fs sources from 1925" sheetId="28" r:id="rId9"/>
    <sheet name="jail sources from 1980" sheetId="32" r:id="rId10"/>
    <sheet name="1970-2010" sheetId="17" r:id="rId11"/>
    <sheet name="1940-1960" sheetId="7" r:id="rId12"/>
    <sheet name="1933" sheetId="22" r:id="rId13"/>
    <sheet name="1933 county&amp;city" sheetId="6" r:id="rId14"/>
    <sheet name="1917-23" sheetId="26" r:id="rId15"/>
    <sheet name="1910" sheetId="10" r:id="rId16"/>
    <sheet name="1904" sheetId="23" r:id="rId17"/>
    <sheet name="1904 jails" sheetId="15" r:id="rId18"/>
  </sheets>
  <calcPr calcId="145621"/>
</workbook>
</file>

<file path=xl/calcChain.xml><?xml version="1.0" encoding="utf-8"?>
<calcChain xmlns="http://schemas.openxmlformats.org/spreadsheetml/2006/main">
  <c r="B7" i="36" l="1"/>
  <c r="C7" i="36"/>
  <c r="D7" i="36"/>
  <c r="E7" i="36"/>
  <c r="F7" i="36"/>
  <c r="L7" i="36"/>
  <c r="G7" i="36"/>
  <c r="H7" i="36"/>
  <c r="I7" i="36"/>
  <c r="B14" i="36"/>
  <c r="C14" i="36"/>
  <c r="D14" i="36"/>
  <c r="E14" i="36"/>
  <c r="F14" i="36"/>
  <c r="G14" i="36"/>
  <c r="H14" i="36"/>
  <c r="H15" i="36"/>
  <c r="I14" i="36"/>
  <c r="K14" i="36"/>
  <c r="B17" i="36"/>
  <c r="C17" i="36"/>
  <c r="D17" i="36"/>
  <c r="E17" i="36"/>
  <c r="F17" i="36"/>
  <c r="G17" i="36"/>
  <c r="H17" i="36"/>
  <c r="I17" i="36"/>
  <c r="L17" i="36"/>
  <c r="C24" i="36"/>
  <c r="D24" i="36"/>
  <c r="E24" i="36"/>
  <c r="F24" i="36"/>
  <c r="G24" i="36"/>
  <c r="H24" i="36"/>
  <c r="I24" i="36"/>
  <c r="J24" i="36"/>
  <c r="B83" i="18"/>
  <c r="C83" i="18"/>
  <c r="D83" i="18"/>
  <c r="E83" i="18"/>
  <c r="B84" i="18"/>
  <c r="C84" i="18"/>
  <c r="D84" i="18"/>
  <c r="E84" i="18"/>
  <c r="B85" i="18"/>
  <c r="E85" i="18"/>
  <c r="C85" i="18"/>
  <c r="D85" i="18"/>
  <c r="B86" i="18"/>
  <c r="C86" i="18"/>
  <c r="D86" i="18"/>
  <c r="E86" i="18"/>
  <c r="B87" i="18"/>
  <c r="C87" i="18"/>
  <c r="D87" i="18"/>
  <c r="E87" i="18"/>
  <c r="B88" i="18"/>
  <c r="C88" i="18"/>
  <c r="D88" i="18"/>
  <c r="E88" i="18"/>
  <c r="B89" i="18"/>
  <c r="C89" i="18"/>
  <c r="D89" i="18"/>
  <c r="E89" i="18"/>
  <c r="B90" i="18"/>
  <c r="C90" i="18"/>
  <c r="D90" i="18"/>
  <c r="E90" i="18"/>
  <c r="B91" i="18"/>
  <c r="C91" i="18"/>
  <c r="D91" i="18"/>
  <c r="E91" i="18"/>
  <c r="B92" i="18"/>
  <c r="C92" i="18"/>
  <c r="D92" i="18"/>
  <c r="E92" i="18"/>
  <c r="B93" i="18"/>
  <c r="C93" i="18"/>
  <c r="D93" i="18"/>
  <c r="E93" i="18"/>
  <c r="C82" i="18"/>
  <c r="B82" i="18"/>
  <c r="H93" i="18"/>
  <c r="I93" i="18"/>
  <c r="G83" i="18"/>
  <c r="G84" i="18"/>
  <c r="G85" i="18"/>
  <c r="G86" i="18"/>
  <c r="G87" i="18"/>
  <c r="G88" i="18"/>
  <c r="G89" i="18"/>
  <c r="G90" i="18"/>
  <c r="G91" i="18"/>
  <c r="G92" i="18"/>
  <c r="G93" i="18"/>
  <c r="G82" i="18"/>
  <c r="F83" i="18"/>
  <c r="F84" i="18"/>
  <c r="F85" i="18"/>
  <c r="F86" i="18"/>
  <c r="F87" i="18"/>
  <c r="F88" i="18"/>
  <c r="F89" i="18"/>
  <c r="F90" i="18"/>
  <c r="F91" i="18"/>
  <c r="F92" i="18"/>
  <c r="F93" i="18"/>
  <c r="F82" i="18"/>
  <c r="F35" i="33"/>
  <c r="F34" i="33"/>
  <c r="F127" i="16"/>
  <c r="C35" i="33"/>
  <c r="B35" i="33"/>
  <c r="E35" i="33"/>
  <c r="C34" i="33"/>
  <c r="D127" i="16"/>
  <c r="B34" i="33"/>
  <c r="C127" i="16"/>
  <c r="F7" i="33"/>
  <c r="F100" i="16"/>
  <c r="F8" i="33"/>
  <c r="F101" i="16"/>
  <c r="F9" i="33"/>
  <c r="F102" i="16"/>
  <c r="F10" i="33"/>
  <c r="F103" i="16"/>
  <c r="F11" i="33"/>
  <c r="F104" i="16"/>
  <c r="F12" i="33"/>
  <c r="F105" i="16"/>
  <c r="F13" i="33"/>
  <c r="F106" i="16"/>
  <c r="F14" i="33"/>
  <c r="F107" i="16"/>
  <c r="F15" i="33"/>
  <c r="F108" i="16"/>
  <c r="F16" i="33"/>
  <c r="F109" i="16"/>
  <c r="F17" i="33"/>
  <c r="F110" i="16"/>
  <c r="F18" i="33"/>
  <c r="F111" i="16"/>
  <c r="F19" i="33"/>
  <c r="F112" i="16"/>
  <c r="F20" i="33"/>
  <c r="F113" i="16"/>
  <c r="F21" i="33"/>
  <c r="F114" i="16"/>
  <c r="F22" i="33"/>
  <c r="F115" i="16"/>
  <c r="F23" i="33"/>
  <c r="F116" i="16"/>
  <c r="F24" i="33"/>
  <c r="F117" i="16"/>
  <c r="F25" i="33"/>
  <c r="F118" i="16"/>
  <c r="F26" i="33"/>
  <c r="F119" i="16"/>
  <c r="F27" i="33"/>
  <c r="F120" i="16"/>
  <c r="F28" i="33"/>
  <c r="F121" i="16"/>
  <c r="F29" i="33"/>
  <c r="F122" i="16"/>
  <c r="F30" i="33"/>
  <c r="F123" i="16"/>
  <c r="F31" i="33"/>
  <c r="F124" i="16"/>
  <c r="F32" i="33"/>
  <c r="F125" i="16"/>
  <c r="F33" i="33"/>
  <c r="F126" i="16"/>
  <c r="F6" i="33"/>
  <c r="F99" i="16"/>
  <c r="D64" i="7"/>
  <c r="D63" i="7"/>
  <c r="D62" i="7"/>
  <c r="D61" i="7"/>
  <c r="D55" i="7"/>
  <c r="D54" i="7"/>
  <c r="D53" i="7"/>
  <c r="D52" i="7"/>
  <c r="D44" i="7"/>
  <c r="E44" i="7"/>
  <c r="D84" i="16"/>
  <c r="D85" i="16"/>
  <c r="D86" i="16"/>
  <c r="D60" i="16"/>
  <c r="B7" i="33"/>
  <c r="E7" i="33"/>
  <c r="C7" i="33"/>
  <c r="D7" i="33"/>
  <c r="B8" i="33"/>
  <c r="C8" i="33"/>
  <c r="D8" i="33"/>
  <c r="B9" i="33"/>
  <c r="D9" i="33"/>
  <c r="C9" i="33"/>
  <c r="D102" i="16"/>
  <c r="B102" i="16"/>
  <c r="B10" i="33"/>
  <c r="C10" i="33"/>
  <c r="D103" i="16"/>
  <c r="B11" i="33"/>
  <c r="E11" i="33"/>
  <c r="C11" i="33"/>
  <c r="D104" i="16"/>
  <c r="D11" i="33"/>
  <c r="B12" i="33"/>
  <c r="C12" i="33"/>
  <c r="D105" i="16"/>
  <c r="B13" i="33"/>
  <c r="C13" i="33"/>
  <c r="D106" i="16"/>
  <c r="D13" i="33"/>
  <c r="B14" i="33"/>
  <c r="C14" i="33"/>
  <c r="D107" i="16"/>
  <c r="D14" i="33"/>
  <c r="B15" i="33"/>
  <c r="C15" i="33"/>
  <c r="D108" i="16"/>
  <c r="D15" i="33"/>
  <c r="B16" i="33"/>
  <c r="C16" i="33"/>
  <c r="D109" i="16"/>
  <c r="D16" i="33"/>
  <c r="B17" i="33"/>
  <c r="C17" i="33"/>
  <c r="D110" i="16"/>
  <c r="B18" i="33"/>
  <c r="D18" i="33"/>
  <c r="C18" i="33"/>
  <c r="D111" i="16"/>
  <c r="E111" i="16"/>
  <c r="B19" i="33"/>
  <c r="C19" i="33"/>
  <c r="D112" i="16"/>
  <c r="B20" i="33"/>
  <c r="C20" i="33"/>
  <c r="D113" i="16"/>
  <c r="D20" i="33"/>
  <c r="B21" i="33"/>
  <c r="C21" i="33"/>
  <c r="D114" i="16"/>
  <c r="B22" i="33"/>
  <c r="D22" i="33"/>
  <c r="C22" i="33"/>
  <c r="D115" i="16"/>
  <c r="E115" i="16"/>
  <c r="B23" i="33"/>
  <c r="C23" i="33"/>
  <c r="D23" i="33"/>
  <c r="B24" i="33"/>
  <c r="C24" i="33"/>
  <c r="B25" i="33"/>
  <c r="C25" i="33"/>
  <c r="E25" i="33"/>
  <c r="B26" i="33"/>
  <c r="C26" i="33"/>
  <c r="B27" i="33"/>
  <c r="C27" i="33"/>
  <c r="D27" i="33"/>
  <c r="B28" i="33"/>
  <c r="C28" i="33"/>
  <c r="B29" i="33"/>
  <c r="C29" i="33"/>
  <c r="E29" i="33"/>
  <c r="B30" i="33"/>
  <c r="C30" i="33"/>
  <c r="B31" i="33"/>
  <c r="C31" i="33"/>
  <c r="D31" i="33"/>
  <c r="B32" i="33"/>
  <c r="C32" i="33"/>
  <c r="B33" i="33"/>
  <c r="C33" i="33"/>
  <c r="E33" i="33"/>
  <c r="C6" i="33"/>
  <c r="B6" i="33"/>
  <c r="E6" i="33"/>
  <c r="C52" i="31"/>
  <c r="B52" i="31"/>
  <c r="D52" i="31"/>
  <c r="C53" i="31"/>
  <c r="B53" i="31"/>
  <c r="D53" i="31"/>
  <c r="C54" i="31"/>
  <c r="B54" i="31"/>
  <c r="D54" i="31"/>
  <c r="C55" i="31"/>
  <c r="B55" i="31"/>
  <c r="C56" i="31"/>
  <c r="B56" i="31"/>
  <c r="D56" i="31"/>
  <c r="C57" i="31"/>
  <c r="B57" i="31"/>
  <c r="C58" i="31"/>
  <c r="B58" i="31"/>
  <c r="C59" i="31"/>
  <c r="B59" i="31"/>
  <c r="C60" i="31"/>
  <c r="B60" i="31"/>
  <c r="D60" i="31"/>
  <c r="C61" i="31"/>
  <c r="B61" i="31"/>
  <c r="D61" i="31"/>
  <c r="C62" i="31"/>
  <c r="B62" i="31"/>
  <c r="D62" i="31"/>
  <c r="C63" i="31"/>
  <c r="B63" i="31"/>
  <c r="C64" i="31"/>
  <c r="B64" i="31"/>
  <c r="D64" i="31"/>
  <c r="C65" i="31"/>
  <c r="B65" i="31"/>
  <c r="C66" i="31"/>
  <c r="B66" i="31"/>
  <c r="C67" i="31"/>
  <c r="B67" i="31"/>
  <c r="C68" i="31"/>
  <c r="B68" i="31"/>
  <c r="D68" i="31"/>
  <c r="C69" i="31"/>
  <c r="B69" i="31"/>
  <c r="D69" i="31"/>
  <c r="C70" i="31"/>
  <c r="B70" i="31"/>
  <c r="D70" i="31"/>
  <c r="C71" i="31"/>
  <c r="B71" i="31"/>
  <c r="C72" i="31"/>
  <c r="B72" i="31"/>
  <c r="D72" i="31"/>
  <c r="C73" i="31"/>
  <c r="B73" i="31"/>
  <c r="C74" i="31"/>
  <c r="B74" i="31"/>
  <c r="C75" i="31"/>
  <c r="B75" i="31"/>
  <c r="C76" i="31"/>
  <c r="B76" i="31"/>
  <c r="D76" i="31"/>
  <c r="C77" i="31"/>
  <c r="B77" i="31"/>
  <c r="D77" i="31"/>
  <c r="C78" i="31"/>
  <c r="B78" i="31"/>
  <c r="D78" i="31"/>
  <c r="C79" i="31"/>
  <c r="B79" i="31"/>
  <c r="C80" i="31"/>
  <c r="B80" i="31"/>
  <c r="D80" i="31"/>
  <c r="C81" i="31"/>
  <c r="B81" i="31"/>
  <c r="C82" i="31"/>
  <c r="B82" i="31"/>
  <c r="C83" i="31"/>
  <c r="B83" i="31"/>
  <c r="C84" i="31"/>
  <c r="B84" i="31"/>
  <c r="D84" i="31"/>
  <c r="C85" i="31"/>
  <c r="B85" i="31"/>
  <c r="D85" i="31"/>
  <c r="C86" i="31"/>
  <c r="B86" i="31"/>
  <c r="D86" i="31"/>
  <c r="F59" i="17"/>
  <c r="B48" i="17"/>
  <c r="F65" i="17"/>
  <c r="D47" i="17"/>
  <c r="F23" i="17"/>
  <c r="G23" i="17"/>
  <c r="I23" i="17"/>
  <c r="E47" i="17"/>
  <c r="B47" i="17"/>
  <c r="B53" i="17"/>
  <c r="C59" i="16"/>
  <c r="G59" i="17"/>
  <c r="H59" i="17"/>
  <c r="G65" i="17"/>
  <c r="H65" i="17"/>
  <c r="B45" i="7"/>
  <c r="B106" i="7"/>
  <c r="B91" i="7"/>
  <c r="B25" i="7"/>
  <c r="B16" i="7"/>
  <c r="D81" i="7"/>
  <c r="G81" i="7"/>
  <c r="B81" i="7"/>
  <c r="B46" i="7"/>
  <c r="B107" i="7"/>
  <c r="B92" i="7"/>
  <c r="D82" i="7"/>
  <c r="G82" i="7"/>
  <c r="B82" i="7"/>
  <c r="B43" i="7"/>
  <c r="E43" i="7"/>
  <c r="B44" i="7"/>
  <c r="B47" i="7"/>
  <c r="B27" i="7"/>
  <c r="D108" i="7"/>
  <c r="F108" i="7"/>
  <c r="B108" i="7"/>
  <c r="B93" i="7"/>
  <c r="D83" i="7"/>
  <c r="G83" i="7"/>
  <c r="B83" i="7"/>
  <c r="B80" i="7"/>
  <c r="C45" i="7"/>
  <c r="C106" i="7"/>
  <c r="C91" i="7"/>
  <c r="E81" i="7"/>
  <c r="H81" i="7"/>
  <c r="C81" i="7"/>
  <c r="C25" i="7"/>
  <c r="C46" i="7"/>
  <c r="C107" i="7"/>
  <c r="C92" i="7"/>
  <c r="E82" i="7"/>
  <c r="H82" i="7"/>
  <c r="C82" i="7"/>
  <c r="C26" i="7"/>
  <c r="C43" i="7"/>
  <c r="C44" i="7"/>
  <c r="C47" i="7"/>
  <c r="E108" i="7"/>
  <c r="G108" i="7"/>
  <c r="C108" i="7"/>
  <c r="C93" i="7"/>
  <c r="E83" i="7"/>
  <c r="H83" i="7"/>
  <c r="C83" i="7"/>
  <c r="C80" i="7"/>
  <c r="B79" i="7"/>
  <c r="B74" i="7"/>
  <c r="B6" i="7"/>
  <c r="C11" i="16"/>
  <c r="C79" i="7"/>
  <c r="C74" i="7"/>
  <c r="C6" i="7"/>
  <c r="D11" i="16"/>
  <c r="B11" i="16"/>
  <c r="F157" i="7"/>
  <c r="B7" i="7"/>
  <c r="C12" i="16"/>
  <c r="G157" i="7"/>
  <c r="C7" i="7"/>
  <c r="D12" i="16"/>
  <c r="B4" i="17"/>
  <c r="C13" i="16"/>
  <c r="B13" i="16"/>
  <c r="C4" i="17"/>
  <c r="D13" i="16"/>
  <c r="B79" i="17"/>
  <c r="B80" i="17"/>
  <c r="B5" i="17"/>
  <c r="C79" i="17"/>
  <c r="C80" i="17"/>
  <c r="C5" i="17"/>
  <c r="D14" i="16"/>
  <c r="C15" i="16"/>
  <c r="D15" i="16"/>
  <c r="E15" i="16"/>
  <c r="B15" i="16"/>
  <c r="B89" i="17"/>
  <c r="B7" i="17"/>
  <c r="C16" i="16"/>
  <c r="C89" i="17"/>
  <c r="C7" i="17"/>
  <c r="D26" i="16"/>
  <c r="D16" i="16"/>
  <c r="B99" i="17"/>
  <c r="B8" i="17"/>
  <c r="C17" i="16"/>
  <c r="C99" i="17"/>
  <c r="C8" i="17"/>
  <c r="D35" i="16"/>
  <c r="D34" i="16"/>
  <c r="D33" i="16"/>
  <c r="D32" i="16"/>
  <c r="D24" i="16"/>
  <c r="C84" i="16"/>
  <c r="C85" i="16"/>
  <c r="C25" i="16"/>
  <c r="B25" i="16"/>
  <c r="D25" i="16"/>
  <c r="C91" i="16"/>
  <c r="C92" i="16"/>
  <c r="C61" i="16"/>
  <c r="G53" i="16"/>
  <c r="H53" i="16"/>
  <c r="J53" i="16"/>
  <c r="H61" i="16"/>
  <c r="I61" i="16"/>
  <c r="D91" i="16"/>
  <c r="D92" i="16"/>
  <c r="D61" i="16"/>
  <c r="C26" i="16"/>
  <c r="E26" i="16"/>
  <c r="B34" i="16"/>
  <c r="C62" i="16"/>
  <c r="D62" i="16"/>
  <c r="C27" i="16"/>
  <c r="C63" i="16"/>
  <c r="B63" i="16"/>
  <c r="D63" i="16"/>
  <c r="F62" i="17"/>
  <c r="C48" i="17"/>
  <c r="C23" i="16"/>
  <c r="D23" i="16"/>
  <c r="E23" i="16"/>
  <c r="B31" i="16"/>
  <c r="B61" i="18"/>
  <c r="F61" i="18"/>
  <c r="B62" i="18"/>
  <c r="C61" i="18"/>
  <c r="G61" i="18"/>
  <c r="C62" i="18"/>
  <c r="G62" i="18"/>
  <c r="G54" i="16"/>
  <c r="E35" i="30"/>
  <c r="E52" i="30"/>
  <c r="E32" i="31"/>
  <c r="C125" i="16"/>
  <c r="E45" i="30"/>
  <c r="E62" i="30"/>
  <c r="B51" i="18"/>
  <c r="B52" i="18"/>
  <c r="B56" i="18"/>
  <c r="F56" i="18"/>
  <c r="C56" i="18"/>
  <c r="B57" i="18"/>
  <c r="F57" i="18"/>
  <c r="C57" i="18"/>
  <c r="G57" i="18"/>
  <c r="I57" i="18"/>
  <c r="B58" i="18"/>
  <c r="F58" i="18"/>
  <c r="C58" i="18"/>
  <c r="C51" i="18"/>
  <c r="E51" i="18"/>
  <c r="C52" i="18"/>
  <c r="E77" i="30"/>
  <c r="D77" i="30"/>
  <c r="E76" i="30"/>
  <c r="D76" i="30"/>
  <c r="E75" i="30"/>
  <c r="D75" i="30"/>
  <c r="E74" i="30"/>
  <c r="D74" i="30"/>
  <c r="E72" i="30"/>
  <c r="I60" i="16"/>
  <c r="D72" i="30"/>
  <c r="E71" i="30"/>
  <c r="D71" i="30"/>
  <c r="E70" i="30"/>
  <c r="D70" i="30"/>
  <c r="E69" i="30"/>
  <c r="D69" i="30"/>
  <c r="E63" i="16"/>
  <c r="E92" i="16"/>
  <c r="B91" i="16"/>
  <c r="B90" i="16"/>
  <c r="E91" i="16"/>
  <c r="E90" i="16"/>
  <c r="B84" i="16"/>
  <c r="E84" i="16"/>
  <c r="B82" i="16"/>
  <c r="B81" i="16"/>
  <c r="B80" i="16"/>
  <c r="B78" i="16"/>
  <c r="B77" i="16"/>
  <c r="E81" i="16"/>
  <c r="E78" i="16"/>
  <c r="E77" i="16"/>
  <c r="C39" i="17"/>
  <c r="B39" i="17"/>
  <c r="E39" i="17"/>
  <c r="H44" i="16"/>
  <c r="J44" i="16"/>
  <c r="G44" i="16"/>
  <c r="D44" i="16"/>
  <c r="C44" i="16"/>
  <c r="B44" i="16"/>
  <c r="H43" i="16"/>
  <c r="J43" i="16"/>
  <c r="G43" i="16"/>
  <c r="D43" i="16"/>
  <c r="C43" i="16"/>
  <c r="B43" i="16"/>
  <c r="I44" i="16"/>
  <c r="I43" i="16"/>
  <c r="B23" i="16"/>
  <c r="B59" i="18"/>
  <c r="F59" i="18"/>
  <c r="C59" i="18"/>
  <c r="G59" i="18"/>
  <c r="B60" i="18"/>
  <c r="C60" i="18"/>
  <c r="B63" i="18"/>
  <c r="F63" i="18"/>
  <c r="C63" i="18"/>
  <c r="B64" i="18"/>
  <c r="C64" i="18"/>
  <c r="G64" i="18"/>
  <c r="B65" i="18"/>
  <c r="F65" i="18"/>
  <c r="C65" i="18"/>
  <c r="B66" i="18"/>
  <c r="C66" i="18"/>
  <c r="G66" i="18"/>
  <c r="D100" i="16"/>
  <c r="B67" i="18"/>
  <c r="F67" i="18"/>
  <c r="C67" i="18"/>
  <c r="B68" i="18"/>
  <c r="C68" i="18"/>
  <c r="E18" i="31"/>
  <c r="B69" i="18"/>
  <c r="C69" i="18"/>
  <c r="B70" i="18"/>
  <c r="C70" i="18"/>
  <c r="B71" i="18"/>
  <c r="E71" i="18"/>
  <c r="C71" i="18"/>
  <c r="B72" i="18"/>
  <c r="D72" i="18"/>
  <c r="C72" i="18"/>
  <c r="B73" i="18"/>
  <c r="C73" i="18"/>
  <c r="B74" i="18"/>
  <c r="C74" i="18"/>
  <c r="B75" i="18"/>
  <c r="E75" i="18"/>
  <c r="C75" i="18"/>
  <c r="B76" i="18"/>
  <c r="C76" i="18"/>
  <c r="E26" i="31"/>
  <c r="B77" i="18"/>
  <c r="C77" i="18"/>
  <c r="B78" i="18"/>
  <c r="C78" i="18"/>
  <c r="E28" i="31"/>
  <c r="B79" i="18"/>
  <c r="C79" i="18"/>
  <c r="E79" i="18"/>
  <c r="B80" i="18"/>
  <c r="C80" i="18"/>
  <c r="D80" i="18"/>
  <c r="B81" i="18"/>
  <c r="C81" i="18"/>
  <c r="D117" i="16"/>
  <c r="D118" i="16"/>
  <c r="D120" i="16"/>
  <c r="E36" i="31"/>
  <c r="C121" i="16"/>
  <c r="D122" i="16"/>
  <c r="C123" i="16"/>
  <c r="C124" i="16"/>
  <c r="D124" i="16"/>
  <c r="B114" i="31"/>
  <c r="C114" i="31"/>
  <c r="C113" i="31"/>
  <c r="B113" i="31"/>
  <c r="D113" i="31"/>
  <c r="B111" i="31"/>
  <c r="C111" i="31"/>
  <c r="C110" i="31"/>
  <c r="B110" i="31"/>
  <c r="I85" i="18"/>
  <c r="I87" i="18"/>
  <c r="I89" i="18"/>
  <c r="I91" i="18"/>
  <c r="I92" i="18"/>
  <c r="E59" i="18"/>
  <c r="E61" i="18"/>
  <c r="E62" i="18"/>
  <c r="E69" i="18"/>
  <c r="E73" i="18"/>
  <c r="E77" i="18"/>
  <c r="E81" i="18"/>
  <c r="D59" i="18"/>
  <c r="D61" i="18"/>
  <c r="D63" i="18"/>
  <c r="H68" i="18"/>
  <c r="H69" i="18"/>
  <c r="B19" i="31"/>
  <c r="H70" i="18"/>
  <c r="H71" i="18"/>
  <c r="B21" i="31"/>
  <c r="H72" i="18"/>
  <c r="H73" i="18"/>
  <c r="B23" i="31"/>
  <c r="H74" i="18"/>
  <c r="H75" i="18"/>
  <c r="B25" i="31"/>
  <c r="H76" i="18"/>
  <c r="D76" i="18"/>
  <c r="H77" i="18"/>
  <c r="B27" i="31"/>
  <c r="H78" i="18"/>
  <c r="H79" i="18"/>
  <c r="B29" i="31"/>
  <c r="H80" i="18"/>
  <c r="H81" i="18"/>
  <c r="B31" i="31"/>
  <c r="H87" i="18"/>
  <c r="B37" i="31"/>
  <c r="H88" i="18"/>
  <c r="H89" i="18"/>
  <c r="B39" i="31"/>
  <c r="H90" i="18"/>
  <c r="H91" i="18"/>
  <c r="B41" i="31"/>
  <c r="J413" i="28"/>
  <c r="K413" i="28"/>
  <c r="L413" i="28"/>
  <c r="M413" i="28"/>
  <c r="B105" i="31"/>
  <c r="K412" i="28"/>
  <c r="L412" i="28"/>
  <c r="M412" i="28"/>
  <c r="C104" i="31"/>
  <c r="J412" i="28"/>
  <c r="E418" i="28"/>
  <c r="B98" i="31"/>
  <c r="C98" i="31"/>
  <c r="D98" i="31"/>
  <c r="E419" i="28"/>
  <c r="B99" i="31"/>
  <c r="C99" i="31"/>
  <c r="D99" i="31"/>
  <c r="E420" i="28"/>
  <c r="B100" i="31"/>
  <c r="C100" i="31"/>
  <c r="D100" i="31"/>
  <c r="E422" i="28"/>
  <c r="B102" i="31"/>
  <c r="C102" i="31"/>
  <c r="D102" i="31"/>
  <c r="E423" i="28"/>
  <c r="B103" i="31"/>
  <c r="C103" i="31"/>
  <c r="D103" i="31"/>
  <c r="E417" i="28"/>
  <c r="C97" i="31"/>
  <c r="B97" i="31"/>
  <c r="D97" i="31"/>
  <c r="J409" i="28"/>
  <c r="K409" i="28"/>
  <c r="L409" i="28"/>
  <c r="M409" i="28"/>
  <c r="B95" i="31"/>
  <c r="J410" i="28"/>
  <c r="K410" i="28"/>
  <c r="L410" i="28"/>
  <c r="M408" i="28"/>
  <c r="C94" i="31"/>
  <c r="J408" i="28"/>
  <c r="B94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52" i="31"/>
  <c r="K430" i="28"/>
  <c r="L430" i="28"/>
  <c r="M430" i="28"/>
  <c r="K429" i="28"/>
  <c r="L429" i="28"/>
  <c r="M429" i="28"/>
  <c r="J430" i="28"/>
  <c r="J429" i="28"/>
  <c r="E430" i="28"/>
  <c r="F430" i="28"/>
  <c r="E429" i="28"/>
  <c r="F429" i="28"/>
  <c r="G429" i="28"/>
  <c r="D430" i="28"/>
  <c r="D429" i="28"/>
  <c r="E413" i="28"/>
  <c r="F413" i="28"/>
  <c r="G413" i="28"/>
  <c r="E412" i="28"/>
  <c r="F412" i="28"/>
  <c r="G412" i="28"/>
  <c r="G410" i="28"/>
  <c r="G409" i="28"/>
  <c r="G408" i="28"/>
  <c r="D413" i="28"/>
  <c r="D412" i="28"/>
  <c r="D409" i="28"/>
  <c r="D410" i="28"/>
  <c r="D408" i="28"/>
  <c r="C422" i="28"/>
  <c r="C423" i="28"/>
  <c r="C419" i="28"/>
  <c r="C420" i="28"/>
  <c r="B35" i="30"/>
  <c r="D35" i="30"/>
  <c r="B52" i="30"/>
  <c r="D52" i="30"/>
  <c r="F52" i="30"/>
  <c r="H53" i="30"/>
  <c r="H54" i="30"/>
  <c r="H55" i="30"/>
  <c r="H56" i="30"/>
  <c r="H57" i="30"/>
  <c r="H52" i="30"/>
  <c r="F51" i="30"/>
  <c r="C51" i="30"/>
  <c r="G51" i="30"/>
  <c r="B53" i="30"/>
  <c r="D53" i="30"/>
  <c r="E53" i="30"/>
  <c r="F53" i="30"/>
  <c r="B54" i="30"/>
  <c r="D54" i="30"/>
  <c r="E54" i="30"/>
  <c r="B55" i="30"/>
  <c r="D55" i="30"/>
  <c r="E55" i="30"/>
  <c r="B56" i="30"/>
  <c r="D56" i="30"/>
  <c r="E56" i="30"/>
  <c r="B57" i="30"/>
  <c r="D57" i="30"/>
  <c r="E57" i="30"/>
  <c r="B58" i="30"/>
  <c r="D58" i="30"/>
  <c r="E58" i="30"/>
  <c r="B59" i="30"/>
  <c r="D59" i="30"/>
  <c r="E59" i="30"/>
  <c r="B60" i="30"/>
  <c r="D60" i="30"/>
  <c r="E60" i="30"/>
  <c r="B61" i="30"/>
  <c r="D61" i="30"/>
  <c r="E61" i="30"/>
  <c r="B62" i="30"/>
  <c r="D62" i="30"/>
  <c r="F36" i="30"/>
  <c r="F35" i="30"/>
  <c r="L387" i="28"/>
  <c r="L386" i="28"/>
  <c r="L385" i="28"/>
  <c r="C417" i="28"/>
  <c r="C418" i="2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B36" i="30"/>
  <c r="D36" i="30"/>
  <c r="E36" i="30"/>
  <c r="F18" i="30"/>
  <c r="B37" i="30"/>
  <c r="D37" i="30"/>
  <c r="E37" i="30"/>
  <c r="B38" i="30"/>
  <c r="D38" i="30"/>
  <c r="E38" i="30"/>
  <c r="B39" i="30"/>
  <c r="D39" i="30"/>
  <c r="E39" i="30"/>
  <c r="B40" i="30"/>
  <c r="D40" i="30"/>
  <c r="E40" i="30"/>
  <c r="C40" i="30"/>
  <c r="B41" i="30"/>
  <c r="D41" i="30"/>
  <c r="E41" i="30"/>
  <c r="B42" i="30"/>
  <c r="D42" i="30"/>
  <c r="E42" i="30"/>
  <c r="B43" i="30"/>
  <c r="D43" i="30"/>
  <c r="E43" i="30"/>
  <c r="B44" i="30"/>
  <c r="D44" i="30"/>
  <c r="E44" i="30"/>
  <c r="C44" i="30"/>
  <c r="G44" i="30"/>
  <c r="B45" i="30"/>
  <c r="F27" i="30"/>
  <c r="D45" i="30"/>
  <c r="C45" i="30"/>
  <c r="B7" i="30"/>
  <c r="C7" i="30"/>
  <c r="D7" i="30"/>
  <c r="B8" i="30"/>
  <c r="C8" i="30"/>
  <c r="D8" i="30"/>
  <c r="B9" i="30"/>
  <c r="C9" i="30"/>
  <c r="D9" i="30"/>
  <c r="B10" i="30"/>
  <c r="C10" i="30"/>
  <c r="B11" i="30"/>
  <c r="C11" i="30"/>
  <c r="D11" i="30"/>
  <c r="B12" i="30"/>
  <c r="C12" i="30"/>
  <c r="B13" i="30"/>
  <c r="C13" i="30"/>
  <c r="B14" i="30"/>
  <c r="C14" i="30"/>
  <c r="B15" i="30"/>
  <c r="C15" i="30"/>
  <c r="D15" i="30"/>
  <c r="B16" i="30"/>
  <c r="C16" i="30"/>
  <c r="D16" i="30"/>
  <c r="B17" i="30"/>
  <c r="B18" i="30"/>
  <c r="C17" i="30"/>
  <c r="B19" i="30"/>
  <c r="B6" i="30"/>
  <c r="C6" i="30"/>
  <c r="H36" i="30"/>
  <c r="H37" i="30"/>
  <c r="H38" i="30"/>
  <c r="H39" i="30"/>
  <c r="H40" i="30"/>
  <c r="H35" i="30"/>
  <c r="G40" i="30"/>
  <c r="K252" i="28"/>
  <c r="K253" i="28"/>
  <c r="K254" i="28"/>
  <c r="K255" i="28"/>
  <c r="K256" i="28"/>
  <c r="K257" i="28"/>
  <c r="K258" i="28"/>
  <c r="K259" i="28"/>
  <c r="K260" i="28"/>
  <c r="K251" i="28"/>
  <c r="C14" i="18"/>
  <c r="C16" i="22"/>
  <c r="C15" i="18"/>
  <c r="B15" i="18"/>
  <c r="B17" i="22"/>
  <c r="B14" i="18"/>
  <c r="B16" i="22"/>
  <c r="B8" i="18"/>
  <c r="C8" i="18"/>
  <c r="E8" i="18"/>
  <c r="B9" i="18"/>
  <c r="C9" i="18"/>
  <c r="B10" i="18"/>
  <c r="C10" i="18"/>
  <c r="B11" i="18"/>
  <c r="C11" i="18"/>
  <c r="B12" i="18"/>
  <c r="C12" i="18"/>
  <c r="B13" i="18"/>
  <c r="C13" i="18"/>
  <c r="B16" i="18"/>
  <c r="C16" i="18"/>
  <c r="B17" i="18"/>
  <c r="C17" i="18"/>
  <c r="B18" i="18"/>
  <c r="C18" i="18"/>
  <c r="E18" i="18"/>
  <c r="B19" i="18"/>
  <c r="C19" i="18"/>
  <c r="B20" i="18"/>
  <c r="C20" i="18"/>
  <c r="D20" i="18"/>
  <c r="B21" i="18"/>
  <c r="C21" i="18"/>
  <c r="B22" i="18"/>
  <c r="C22" i="18"/>
  <c r="E22" i="18"/>
  <c r="B23" i="18"/>
  <c r="C23" i="18"/>
  <c r="B24" i="18"/>
  <c r="C24" i="18"/>
  <c r="B25" i="18"/>
  <c r="C25" i="18"/>
  <c r="B26" i="18"/>
  <c r="C26" i="18"/>
  <c r="E26" i="18"/>
  <c r="B27" i="18"/>
  <c r="C27" i="18"/>
  <c r="B28" i="18"/>
  <c r="C28" i="18"/>
  <c r="B29" i="18"/>
  <c r="C29" i="18"/>
  <c r="B30" i="18"/>
  <c r="C30" i="18"/>
  <c r="E30" i="18"/>
  <c r="B31" i="18"/>
  <c r="C31" i="18"/>
  <c r="B32" i="18"/>
  <c r="C32" i="18"/>
  <c r="B33" i="18"/>
  <c r="C33" i="18"/>
  <c r="B34" i="18"/>
  <c r="C34" i="18"/>
  <c r="E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E42" i="18"/>
  <c r="B43" i="18"/>
  <c r="C43" i="18"/>
  <c r="B44" i="18"/>
  <c r="C44" i="18"/>
  <c r="D44" i="18"/>
  <c r="B45" i="18"/>
  <c r="C45" i="18"/>
  <c r="B46" i="18"/>
  <c r="C46" i="18"/>
  <c r="E46" i="18"/>
  <c r="B47" i="18"/>
  <c r="C47" i="18"/>
  <c r="B48" i="18"/>
  <c r="C48" i="18"/>
  <c r="B49" i="18"/>
  <c r="C49" i="18"/>
  <c r="B50" i="18"/>
  <c r="C50" i="18"/>
  <c r="E50" i="18"/>
  <c r="D51" i="18"/>
  <c r="E52" i="18"/>
  <c r="B53" i="18"/>
  <c r="C53" i="18"/>
  <c r="E53" i="18"/>
  <c r="B54" i="18"/>
  <c r="C54" i="18"/>
  <c r="B55" i="18"/>
  <c r="C55" i="18"/>
  <c r="B7" i="18"/>
  <c r="B177" i="26"/>
  <c r="C7" i="18"/>
  <c r="B8" i="10"/>
  <c r="B10" i="10"/>
  <c r="C8" i="10"/>
  <c r="C10" i="10"/>
  <c r="D32" i="10"/>
  <c r="D8" i="10"/>
  <c r="D23" i="10"/>
  <c r="B132" i="26"/>
  <c r="B133" i="26"/>
  <c r="G62" i="17"/>
  <c r="H62" i="17"/>
  <c r="H67" i="17"/>
  <c r="G67" i="17"/>
  <c r="F67" i="17"/>
  <c r="B50" i="17"/>
  <c r="E8" i="17"/>
  <c r="D99" i="17"/>
  <c r="D8" i="17"/>
  <c r="E99" i="17"/>
  <c r="E97" i="17"/>
  <c r="D97" i="17"/>
  <c r="E96" i="17"/>
  <c r="D96" i="17"/>
  <c r="E95" i="17"/>
  <c r="D95" i="17"/>
  <c r="E5" i="17"/>
  <c r="E6" i="17"/>
  <c r="E7" i="17"/>
  <c r="D4" i="17"/>
  <c r="D5" i="17"/>
  <c r="D6" i="17"/>
  <c r="D7" i="17"/>
  <c r="E87" i="17"/>
  <c r="E86" i="17"/>
  <c r="E85" i="17"/>
  <c r="D87" i="17"/>
  <c r="D86" i="17"/>
  <c r="D85" i="17"/>
  <c r="E89" i="17"/>
  <c r="D89" i="17"/>
  <c r="D80" i="17"/>
  <c r="E80" i="17"/>
  <c r="E79" i="17"/>
  <c r="D79" i="17"/>
  <c r="E77" i="17"/>
  <c r="D77" i="17"/>
  <c r="E76" i="17"/>
  <c r="D76" i="17"/>
  <c r="E75" i="17"/>
  <c r="D75" i="17"/>
  <c r="D48" i="17"/>
  <c r="E4" i="17"/>
  <c r="D15" i="17"/>
  <c r="H15" i="17"/>
  <c r="H34" i="17"/>
  <c r="H33" i="17"/>
  <c r="H32" i="17"/>
  <c r="H31" i="17"/>
  <c r="H30" i="17"/>
  <c r="H29" i="17"/>
  <c r="H28" i="17"/>
  <c r="I34" i="17"/>
  <c r="I33" i="17"/>
  <c r="I32" i="17"/>
  <c r="I31" i="17"/>
  <c r="I29" i="17"/>
  <c r="I28" i="17"/>
  <c r="E34" i="17"/>
  <c r="E33" i="17"/>
  <c r="E31" i="17"/>
  <c r="E28" i="17"/>
  <c r="D29" i="17"/>
  <c r="D30" i="17"/>
  <c r="D31" i="17"/>
  <c r="D32" i="17"/>
  <c r="D33" i="17"/>
  <c r="D34" i="17"/>
  <c r="D28" i="17"/>
  <c r="E48" i="17"/>
  <c r="B147" i="7"/>
  <c r="H155" i="7"/>
  <c r="H156" i="7"/>
  <c r="H157" i="7"/>
  <c r="D7" i="7"/>
  <c r="I157" i="7"/>
  <c r="E7" i="7"/>
  <c r="D74" i="7"/>
  <c r="D6" i="7"/>
  <c r="E74" i="7"/>
  <c r="E6" i="7"/>
  <c r="B146" i="7"/>
  <c r="B148" i="7"/>
  <c r="B150" i="7"/>
  <c r="C146" i="7"/>
  <c r="C148" i="7"/>
  <c r="C150" i="7"/>
  <c r="B73" i="7"/>
  <c r="C73" i="7"/>
  <c r="B72" i="7"/>
  <c r="D72" i="7"/>
  <c r="C72" i="7"/>
  <c r="E72" i="7"/>
  <c r="B157" i="7"/>
  <c r="C157" i="7"/>
  <c r="E157" i="7"/>
  <c r="D155" i="7"/>
  <c r="D156" i="7"/>
  <c r="D157" i="7"/>
  <c r="I156" i="7"/>
  <c r="I155" i="7"/>
  <c r="E156" i="7"/>
  <c r="E155" i="7"/>
  <c r="D147" i="7"/>
  <c r="E147" i="7"/>
  <c r="B149" i="7"/>
  <c r="D149" i="7"/>
  <c r="E149" i="7"/>
  <c r="D146" i="7"/>
  <c r="E146" i="7"/>
  <c r="C32" i="7"/>
  <c r="B32" i="7"/>
  <c r="B99" i="7"/>
  <c r="B100" i="7"/>
  <c r="B101" i="7"/>
  <c r="B102" i="7"/>
  <c r="B103" i="7"/>
  <c r="B104" i="7"/>
  <c r="B105" i="7"/>
  <c r="B90" i="7"/>
  <c r="C99" i="7"/>
  <c r="C100" i="7"/>
  <c r="C101" i="7"/>
  <c r="C102" i="7"/>
  <c r="C103" i="7"/>
  <c r="C104" i="7"/>
  <c r="C105" i="7"/>
  <c r="C90" i="7"/>
  <c r="I85" i="7"/>
  <c r="I83" i="7"/>
  <c r="I82" i="7"/>
  <c r="I81" i="7"/>
  <c r="I80" i="7"/>
  <c r="I79" i="7"/>
  <c r="B65" i="7"/>
  <c r="C65" i="7"/>
  <c r="E65" i="7"/>
  <c r="E64" i="7"/>
  <c r="E63" i="7"/>
  <c r="E62" i="7"/>
  <c r="E61" i="7"/>
  <c r="F85" i="7"/>
  <c r="F83" i="7"/>
  <c r="F82" i="7"/>
  <c r="F81" i="7"/>
  <c r="F80" i="7"/>
  <c r="F79" i="7"/>
  <c r="E53" i="7"/>
  <c r="E54" i="7"/>
  <c r="E55" i="7"/>
  <c r="B56" i="7"/>
  <c r="C56" i="7"/>
  <c r="E56" i="7"/>
  <c r="E52" i="7"/>
  <c r="D116" i="7"/>
  <c r="E116" i="7"/>
  <c r="E115" i="7"/>
  <c r="D115" i="7"/>
  <c r="B130" i="7"/>
  <c r="C130" i="7"/>
  <c r="D130" i="7"/>
  <c r="D121" i="7"/>
  <c r="D122" i="7"/>
  <c r="D123" i="7"/>
  <c r="D124" i="7"/>
  <c r="D125" i="7"/>
  <c r="D126" i="7"/>
  <c r="D127" i="7"/>
  <c r="D128" i="7"/>
  <c r="D120" i="7"/>
  <c r="B98" i="7"/>
  <c r="B89" i="7"/>
  <c r="E89" i="7"/>
  <c r="B85" i="7"/>
  <c r="C85" i="7"/>
  <c r="C98" i="7"/>
  <c r="C89" i="7"/>
  <c r="E90" i="7"/>
  <c r="D91" i="7"/>
  <c r="E91" i="7"/>
  <c r="D92" i="7"/>
  <c r="E92" i="7"/>
  <c r="D93" i="7"/>
  <c r="E93" i="7"/>
  <c r="D89" i="7"/>
  <c r="E25" i="7"/>
  <c r="D25" i="7"/>
  <c r="B36" i="22"/>
  <c r="B39" i="22"/>
  <c r="B37" i="22"/>
  <c r="B38" i="22"/>
  <c r="D10" i="22"/>
  <c r="D137" i="7"/>
  <c r="E137" i="7"/>
  <c r="D138" i="7"/>
  <c r="E138" i="7"/>
  <c r="D139" i="7"/>
  <c r="E139" i="7"/>
  <c r="B140" i="7"/>
  <c r="C140" i="7"/>
  <c r="D140" i="7"/>
  <c r="E140" i="7"/>
  <c r="J67" i="22"/>
  <c r="G64" i="22"/>
  <c r="J64" i="22"/>
  <c r="J63" i="22"/>
  <c r="J61" i="22"/>
  <c r="I67" i="22"/>
  <c r="I61" i="22"/>
  <c r="I64" i="22"/>
  <c r="I63" i="22"/>
  <c r="E68" i="22"/>
  <c r="F68" i="22"/>
  <c r="E62" i="22"/>
  <c r="E64" i="22"/>
  <c r="E65" i="22"/>
  <c r="E66" i="22"/>
  <c r="E61" i="22"/>
  <c r="F62" i="22"/>
  <c r="F64" i="22"/>
  <c r="F65" i="22"/>
  <c r="F66" i="22"/>
  <c r="F61" i="22"/>
  <c r="D75" i="22"/>
  <c r="B50" i="22"/>
  <c r="C50" i="22"/>
  <c r="E50" i="22"/>
  <c r="D47" i="22"/>
  <c r="D50" i="22"/>
  <c r="D48" i="22"/>
  <c r="D49" i="22"/>
  <c r="E10" i="22"/>
  <c r="B85" i="22"/>
  <c r="D84" i="22"/>
  <c r="D83" i="22"/>
  <c r="D85" i="22"/>
  <c r="C85" i="22"/>
  <c r="E84" i="22"/>
  <c r="E83" i="22"/>
  <c r="D77" i="22"/>
  <c r="D76" i="22"/>
  <c r="D74" i="22"/>
  <c r="D73" i="22"/>
  <c r="H57" i="22"/>
  <c r="E49" i="22"/>
  <c r="E48" i="22"/>
  <c r="E47" i="22"/>
  <c r="G56" i="6"/>
  <c r="H56" i="6"/>
  <c r="I6" i="6"/>
  <c r="D56" i="6"/>
  <c r="C56" i="6"/>
  <c r="C196" i="26"/>
  <c r="C194" i="26"/>
  <c r="C193" i="26"/>
  <c r="D191" i="26"/>
  <c r="C190" i="26"/>
  <c r="B186" i="26"/>
  <c r="B194" i="26"/>
  <c r="B183" i="26"/>
  <c r="B196" i="26"/>
  <c r="B184" i="26"/>
  <c r="D184" i="26"/>
  <c r="B185" i="26"/>
  <c r="B193" i="26"/>
  <c r="D193" i="26"/>
  <c r="B187" i="26"/>
  <c r="D187" i="26"/>
  <c r="B188" i="26"/>
  <c r="D188" i="26"/>
  <c r="E31" i="26"/>
  <c r="I31" i="26"/>
  <c r="J31" i="26"/>
  <c r="B81" i="26"/>
  <c r="E32" i="26"/>
  <c r="I32" i="26"/>
  <c r="J32" i="26"/>
  <c r="B82" i="26"/>
  <c r="D82" i="26"/>
  <c r="D20" i="26"/>
  <c r="E33" i="26"/>
  <c r="B83" i="26"/>
  <c r="D83" i="26"/>
  <c r="D119" i="26"/>
  <c r="E79" i="26"/>
  <c r="F31" i="26"/>
  <c r="H31" i="26"/>
  <c r="E101" i="26"/>
  <c r="C81" i="26"/>
  <c r="B26" i="22"/>
  <c r="C26" i="22"/>
  <c r="C136" i="26"/>
  <c r="C139" i="26"/>
  <c r="F32" i="26"/>
  <c r="H32" i="26"/>
  <c r="G32" i="26"/>
  <c r="F33" i="26"/>
  <c r="E21" i="26"/>
  <c r="B108" i="26"/>
  <c r="C108" i="26"/>
  <c r="E108" i="26"/>
  <c r="B109" i="26"/>
  <c r="C109" i="26"/>
  <c r="E109" i="26"/>
  <c r="B107" i="26"/>
  <c r="C107" i="26"/>
  <c r="E107" i="26"/>
  <c r="D127" i="26"/>
  <c r="D128" i="26"/>
  <c r="F124" i="26"/>
  <c r="F126" i="26"/>
  <c r="F133" i="26"/>
  <c r="I133" i="26"/>
  <c r="G133" i="26"/>
  <c r="H133" i="26"/>
  <c r="F123" i="26"/>
  <c r="F125" i="26"/>
  <c r="F132" i="26"/>
  <c r="I132" i="26"/>
  <c r="G132" i="26"/>
  <c r="H132" i="26"/>
  <c r="C133" i="26"/>
  <c r="E133" i="26"/>
  <c r="C132" i="26"/>
  <c r="E132" i="26"/>
  <c r="D123" i="26"/>
  <c r="D125" i="26"/>
  <c r="D132" i="26"/>
  <c r="D124" i="26"/>
  <c r="D126" i="26"/>
  <c r="D133" i="26"/>
  <c r="B175" i="26"/>
  <c r="E29" i="26"/>
  <c r="B79" i="26"/>
  <c r="C30" i="26"/>
  <c r="E30" i="26"/>
  <c r="B80" i="26"/>
  <c r="D80" i="26"/>
  <c r="D18" i="26"/>
  <c r="G17" i="26"/>
  <c r="D36" i="26"/>
  <c r="B36" i="26"/>
  <c r="F46" i="26"/>
  <c r="D122" i="26"/>
  <c r="E83" i="26"/>
  <c r="B168" i="26"/>
  <c r="B169" i="26"/>
  <c r="B170" i="26"/>
  <c r="C158" i="26"/>
  <c r="C159" i="26"/>
  <c r="B157" i="26"/>
  <c r="B160" i="26"/>
  <c r="C162" i="26"/>
  <c r="E62" i="26"/>
  <c r="C160" i="26"/>
  <c r="C163" i="26"/>
  <c r="G62" i="26"/>
  <c r="F62" i="26"/>
  <c r="C161" i="26"/>
  <c r="B163" i="26"/>
  <c r="C157" i="26"/>
  <c r="C154" i="26"/>
  <c r="D120" i="26"/>
  <c r="D121" i="26"/>
  <c r="E80" i="26"/>
  <c r="D149" i="26"/>
  <c r="D130" i="26"/>
  <c r="B146" i="26"/>
  <c r="B149" i="26"/>
  <c r="B130" i="26"/>
  <c r="H147" i="26"/>
  <c r="B147" i="26"/>
  <c r="H148" i="26"/>
  <c r="B148" i="26"/>
  <c r="C148" i="26"/>
  <c r="C149" i="26"/>
  <c r="C130" i="26"/>
  <c r="C117" i="26"/>
  <c r="C147" i="26"/>
  <c r="F119" i="26"/>
  <c r="F120" i="26"/>
  <c r="F117" i="26"/>
  <c r="I117" i="26"/>
  <c r="F121" i="26"/>
  <c r="F122" i="26"/>
  <c r="F127" i="26"/>
  <c r="F128" i="26"/>
  <c r="G117" i="26"/>
  <c r="H117" i="26"/>
  <c r="E120" i="26"/>
  <c r="I120" i="26"/>
  <c r="E121" i="26"/>
  <c r="I121" i="26"/>
  <c r="E122" i="26"/>
  <c r="I122" i="26"/>
  <c r="E123" i="26"/>
  <c r="I123" i="26"/>
  <c r="E124" i="26"/>
  <c r="I124" i="26"/>
  <c r="E125" i="26"/>
  <c r="I125" i="26"/>
  <c r="E126" i="26"/>
  <c r="I126" i="26"/>
  <c r="E127" i="26"/>
  <c r="I127" i="26"/>
  <c r="E128" i="26"/>
  <c r="I128" i="26"/>
  <c r="G146" i="26"/>
  <c r="G147" i="26"/>
  <c r="G148" i="26"/>
  <c r="C175" i="26"/>
  <c r="D175" i="26"/>
  <c r="E175" i="26"/>
  <c r="D25" i="22"/>
  <c r="D24" i="22"/>
  <c r="D26" i="22"/>
  <c r="E31" i="10"/>
  <c r="D36" i="10"/>
  <c r="D31" i="10"/>
  <c r="D34" i="10"/>
  <c r="D107" i="26"/>
  <c r="D35" i="10"/>
  <c r="D108" i="26"/>
  <c r="D10" i="10"/>
  <c r="D109" i="26"/>
  <c r="A110" i="26"/>
  <c r="A109" i="26"/>
  <c r="A108" i="26"/>
  <c r="A107" i="26"/>
  <c r="B102" i="26"/>
  <c r="C43" i="26"/>
  <c r="D41" i="26"/>
  <c r="D43" i="26"/>
  <c r="E41" i="26"/>
  <c r="E43" i="26"/>
  <c r="B41" i="26"/>
  <c r="B43" i="26"/>
  <c r="B69" i="26"/>
  <c r="B70" i="26"/>
  <c r="B71" i="26"/>
  <c r="B73" i="26"/>
  <c r="C69" i="26"/>
  <c r="C70" i="26"/>
  <c r="C71" i="26"/>
  <c r="B67" i="26"/>
  <c r="C67" i="26"/>
  <c r="C48" i="26"/>
  <c r="E34" i="26"/>
  <c r="C68" i="26"/>
  <c r="D62" i="26"/>
  <c r="B62" i="26"/>
  <c r="B68" i="26"/>
  <c r="C66" i="26"/>
  <c r="B66" i="26"/>
  <c r="I62" i="26"/>
  <c r="H62" i="26"/>
  <c r="J62" i="26"/>
  <c r="C62" i="26"/>
  <c r="E6" i="10"/>
  <c r="D6" i="10"/>
  <c r="E25" i="22"/>
  <c r="E29" i="22"/>
  <c r="D20" i="10"/>
  <c r="B18" i="10"/>
  <c r="C18" i="10"/>
  <c r="E18" i="10"/>
  <c r="D21" i="10"/>
  <c r="E10" i="10"/>
  <c r="D29" i="10"/>
  <c r="E32" i="10"/>
  <c r="E33" i="10"/>
  <c r="D33" i="10"/>
  <c r="E29" i="10"/>
  <c r="E8" i="10"/>
  <c r="C55" i="15"/>
  <c r="B12" i="23"/>
  <c r="B14" i="23"/>
  <c r="F55" i="15"/>
  <c r="B13" i="23"/>
  <c r="E13" i="23"/>
  <c r="D49" i="15"/>
  <c r="D55" i="15"/>
  <c r="C12" i="23"/>
  <c r="G55" i="15"/>
  <c r="C13" i="23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5" i="15"/>
  <c r="D13" i="23"/>
  <c r="E5" i="15"/>
  <c r="E55" i="15"/>
  <c r="D12" i="23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8" i="23"/>
  <c r="E7" i="23"/>
  <c r="E6" i="23"/>
  <c r="D6" i="23"/>
  <c r="B5" i="23"/>
  <c r="C6" i="16"/>
  <c r="C5" i="23"/>
  <c r="D6" i="16"/>
  <c r="D5" i="23"/>
  <c r="I29" i="22"/>
  <c r="I25" i="22"/>
  <c r="G25" i="22"/>
  <c r="G24" i="22"/>
  <c r="H26" i="22"/>
  <c r="I7" i="6"/>
  <c r="I8" i="6"/>
  <c r="I56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J6" i="6"/>
  <c r="J56" i="6"/>
  <c r="C8" i="22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H29" i="22"/>
  <c r="I24" i="22"/>
  <c r="D29" i="22"/>
  <c r="E24" i="22"/>
  <c r="D16" i="10"/>
  <c r="E16" i="10"/>
  <c r="D17" i="10"/>
  <c r="E17" i="10"/>
  <c r="D18" i="10"/>
  <c r="E56" i="6"/>
  <c r="F56" i="6"/>
  <c r="E15" i="17"/>
  <c r="I15" i="17"/>
  <c r="D16" i="17"/>
  <c r="E16" i="17"/>
  <c r="H16" i="17"/>
  <c r="I16" i="17"/>
  <c r="D17" i="17"/>
  <c r="H17" i="17"/>
  <c r="I17" i="17"/>
  <c r="D18" i="17"/>
  <c r="E18" i="17"/>
  <c r="H18" i="17"/>
  <c r="I18" i="17"/>
  <c r="D19" i="17"/>
  <c r="E19" i="17"/>
  <c r="H19" i="17"/>
  <c r="I19" i="17"/>
  <c r="D20" i="17"/>
  <c r="E20" i="17"/>
  <c r="H20" i="17"/>
  <c r="I20" i="17"/>
  <c r="D21" i="17"/>
  <c r="E21" i="17"/>
  <c r="H21" i="17"/>
  <c r="I21" i="17"/>
  <c r="B23" i="17"/>
  <c r="E23" i="17"/>
  <c r="C23" i="17"/>
  <c r="H23" i="17"/>
  <c r="E34" i="10"/>
  <c r="E35" i="10"/>
  <c r="C17" i="22"/>
  <c r="C18" i="22"/>
  <c r="C6" i="22"/>
  <c r="D15" i="18"/>
  <c r="D17" i="22"/>
  <c r="D17" i="30"/>
  <c r="C18" i="30"/>
  <c r="C19" i="30"/>
  <c r="C20" i="30"/>
  <c r="C21" i="30"/>
  <c r="C22" i="30"/>
  <c r="C38" i="30"/>
  <c r="E20" i="30"/>
  <c r="G20" i="30"/>
  <c r="E40" i="31"/>
  <c r="H86" i="18"/>
  <c r="C119" i="16"/>
  <c r="H85" i="18"/>
  <c r="B35" i="31"/>
  <c r="H84" i="18"/>
  <c r="B34" i="31"/>
  <c r="C117" i="16"/>
  <c r="I83" i="18"/>
  <c r="H83" i="18"/>
  <c r="B33" i="31"/>
  <c r="G67" i="18"/>
  <c r="D101" i="16"/>
  <c r="E67" i="18"/>
  <c r="G65" i="18"/>
  <c r="D99" i="16"/>
  <c r="D65" i="18"/>
  <c r="G63" i="18"/>
  <c r="I63" i="18"/>
  <c r="E63" i="18"/>
  <c r="G60" i="18"/>
  <c r="D60" i="18"/>
  <c r="G56" i="18"/>
  <c r="E6" i="31"/>
  <c r="I68" i="16"/>
  <c r="D56" i="18"/>
  <c r="E56" i="18"/>
  <c r="C126" i="16"/>
  <c r="H92" i="18"/>
  <c r="B42" i="31"/>
  <c r="F62" i="18"/>
  <c r="D62" i="18"/>
  <c r="D55" i="18"/>
  <c r="E38" i="18"/>
  <c r="D36" i="18"/>
  <c r="D14" i="18"/>
  <c r="D16" i="22"/>
  <c r="C42" i="30"/>
  <c r="C36" i="30"/>
  <c r="G36" i="30"/>
  <c r="C61" i="30"/>
  <c r="G61" i="30"/>
  <c r="C59" i="30"/>
  <c r="G59" i="30"/>
  <c r="C57" i="30"/>
  <c r="G57" i="30"/>
  <c r="C55" i="30"/>
  <c r="G55" i="30"/>
  <c r="C53" i="30"/>
  <c r="G53" i="30"/>
  <c r="F17" i="30"/>
  <c r="H82" i="18"/>
  <c r="D68" i="18"/>
  <c r="D67" i="18"/>
  <c r="E65" i="18"/>
  <c r="E57" i="18"/>
  <c r="G58" i="18"/>
  <c r="I58" i="18"/>
  <c r="D58" i="18"/>
  <c r="E58" i="18"/>
  <c r="D57" i="18"/>
  <c r="D28" i="18"/>
  <c r="E12" i="18"/>
  <c r="D10" i="18"/>
  <c r="D6" i="30"/>
  <c r="D13" i="30"/>
  <c r="D12" i="30"/>
  <c r="C60" i="30"/>
  <c r="G60" i="30"/>
  <c r="C58" i="30"/>
  <c r="G58" i="30"/>
  <c r="C56" i="30"/>
  <c r="G56" i="30"/>
  <c r="C54" i="30"/>
  <c r="G54" i="30"/>
  <c r="G430" i="28"/>
  <c r="M410" i="28"/>
  <c r="C96" i="31"/>
  <c r="B96" i="31"/>
  <c r="D110" i="31"/>
  <c r="D111" i="31"/>
  <c r="E34" i="31"/>
  <c r="E82" i="18"/>
  <c r="E22" i="31"/>
  <c r="E20" i="31"/>
  <c r="E68" i="18"/>
  <c r="I67" i="18"/>
  <c r="D66" i="18"/>
  <c r="I65" i="18"/>
  <c r="I59" i="18"/>
  <c r="D52" i="18"/>
  <c r="D39" i="17"/>
  <c r="I56" i="18"/>
  <c r="C68" i="16"/>
  <c r="H55" i="16"/>
  <c r="I63" i="16"/>
  <c r="D82" i="31"/>
  <c r="D81" i="31"/>
  <c r="D74" i="31"/>
  <c r="D73" i="31"/>
  <c r="D66" i="31"/>
  <c r="D65" i="31"/>
  <c r="D58" i="31"/>
  <c r="D57" i="31"/>
  <c r="D48" i="18"/>
  <c r="D40" i="18"/>
  <c r="D32" i="18"/>
  <c r="C35" i="7"/>
  <c r="D24" i="18"/>
  <c r="D16" i="18"/>
  <c r="E15" i="18"/>
  <c r="E14" i="18"/>
  <c r="D18" i="30"/>
  <c r="D14" i="30"/>
  <c r="D10" i="30"/>
  <c r="F26" i="30"/>
  <c r="F24" i="30"/>
  <c r="F22" i="30"/>
  <c r="F20" i="30"/>
  <c r="C62" i="30"/>
  <c r="G62" i="30"/>
  <c r="C35" i="30"/>
  <c r="G35" i="30"/>
  <c r="D96" i="31"/>
  <c r="D114" i="31"/>
  <c r="E42" i="31"/>
  <c r="E30" i="31"/>
  <c r="E24" i="31"/>
  <c r="E72" i="18"/>
  <c r="I62" i="16"/>
  <c r="D83" i="31"/>
  <c r="D79" i="31"/>
  <c r="D75" i="31"/>
  <c r="D71" i="31"/>
  <c r="D67" i="31"/>
  <c r="D63" i="31"/>
  <c r="D59" i="31"/>
  <c r="D55" i="31"/>
  <c r="D89" i="31"/>
  <c r="E26" i="30"/>
  <c r="E22" i="30"/>
  <c r="G22" i="30"/>
  <c r="E18" i="30"/>
  <c r="G18" i="30"/>
  <c r="E38" i="31"/>
  <c r="B18" i="22"/>
  <c r="B6" i="22"/>
  <c r="I62" i="18"/>
  <c r="E12" i="31"/>
  <c r="H62" i="18"/>
  <c r="E8" i="31"/>
  <c r="E11" i="31"/>
  <c r="I61" i="18"/>
  <c r="H61" i="18"/>
  <c r="E78" i="18"/>
  <c r="E74" i="18"/>
  <c r="E70" i="18"/>
  <c r="E55" i="18"/>
  <c r="D53" i="18"/>
  <c r="D50" i="18"/>
  <c r="E48" i="18"/>
  <c r="D46" i="18"/>
  <c r="E44" i="18"/>
  <c r="D42" i="18"/>
  <c r="D35" i="7"/>
  <c r="E40" i="18"/>
  <c r="D38" i="18"/>
  <c r="E36" i="18"/>
  <c r="D34" i="18"/>
  <c r="E32" i="18"/>
  <c r="D30" i="18"/>
  <c r="E28" i="18"/>
  <c r="D26" i="18"/>
  <c r="E24" i="18"/>
  <c r="D22" i="18"/>
  <c r="B35" i="7"/>
  <c r="E20" i="18"/>
  <c r="D18" i="18"/>
  <c r="E16" i="18"/>
  <c r="D12" i="18"/>
  <c r="E10" i="18"/>
  <c r="D8" i="18"/>
  <c r="E80" i="18"/>
  <c r="E76" i="18"/>
  <c r="G55" i="16"/>
  <c r="I55" i="16"/>
  <c r="D12" i="33"/>
  <c r="D10" i="33"/>
  <c r="E8" i="33"/>
  <c r="D33" i="33"/>
  <c r="E31" i="33"/>
  <c r="D29" i="33"/>
  <c r="E27" i="33"/>
  <c r="D25" i="33"/>
  <c r="E23" i="33"/>
  <c r="D21" i="33"/>
  <c r="D19" i="33"/>
  <c r="E19" i="33"/>
  <c r="D17" i="33"/>
  <c r="E15" i="33"/>
  <c r="B8" i="22"/>
  <c r="I58" i="6"/>
  <c r="I59" i="6"/>
  <c r="F25" i="22"/>
  <c r="F26" i="22"/>
  <c r="G26" i="22"/>
  <c r="D196" i="26"/>
  <c r="E39" i="22"/>
  <c r="C7" i="22"/>
  <c r="D39" i="22"/>
  <c r="B7" i="22"/>
  <c r="D150" i="7"/>
  <c r="E150" i="7"/>
  <c r="E12" i="23"/>
  <c r="C14" i="23"/>
  <c r="C16" i="23"/>
  <c r="B117" i="26"/>
  <c r="E130" i="26"/>
  <c r="B16" i="23"/>
  <c r="E16" i="23"/>
  <c r="D14" i="23"/>
  <c r="D16" i="23"/>
  <c r="E14" i="23"/>
  <c r="E93" i="26"/>
  <c r="F80" i="26"/>
  <c r="D79" i="26"/>
  <c r="B84" i="26"/>
  <c r="G31" i="26"/>
  <c r="H36" i="26"/>
  <c r="D21" i="26"/>
  <c r="F83" i="26"/>
  <c r="B86" i="26"/>
  <c r="B87" i="26"/>
  <c r="D81" i="26"/>
  <c r="D194" i="26"/>
  <c r="D23" i="17"/>
  <c r="E5" i="23"/>
  <c r="E6" i="16"/>
  <c r="B6" i="16"/>
  <c r="C36" i="26"/>
  <c r="E36" i="26"/>
  <c r="I36" i="26"/>
  <c r="F30" i="26"/>
  <c r="E18" i="26"/>
  <c r="C18" i="26"/>
  <c r="B136" i="26"/>
  <c r="B137" i="26"/>
  <c r="B190" i="26"/>
  <c r="D190" i="26"/>
  <c r="D183" i="26"/>
  <c r="D90" i="7"/>
  <c r="D56" i="7"/>
  <c r="D65" i="7"/>
  <c r="E73" i="7"/>
  <c r="D73" i="7"/>
  <c r="D54" i="18"/>
  <c r="E54" i="18"/>
  <c r="D47" i="18"/>
  <c r="E47" i="18"/>
  <c r="D43" i="18"/>
  <c r="E43" i="18"/>
  <c r="D39" i="18"/>
  <c r="E39" i="18"/>
  <c r="D35" i="18"/>
  <c r="E35" i="18"/>
  <c r="D31" i="18"/>
  <c r="E31" i="18"/>
  <c r="D27" i="18"/>
  <c r="E27" i="18"/>
  <c r="D23" i="18"/>
  <c r="E23" i="18"/>
  <c r="D19" i="18"/>
  <c r="E19" i="18"/>
  <c r="D13" i="18"/>
  <c r="E13" i="18"/>
  <c r="D9" i="18"/>
  <c r="E9" i="18"/>
  <c r="B20" i="30"/>
  <c r="D19" i="30"/>
  <c r="C43" i="30"/>
  <c r="F25" i="30"/>
  <c r="E24" i="30"/>
  <c r="G24" i="30"/>
  <c r="G42" i="30"/>
  <c r="B124" i="16"/>
  <c r="E124" i="16"/>
  <c r="C11" i="10"/>
  <c r="C137" i="26"/>
  <c r="C140" i="26"/>
  <c r="C141" i="26"/>
  <c r="D185" i="26"/>
  <c r="D148" i="7"/>
  <c r="D32" i="7"/>
  <c r="E148" i="7"/>
  <c r="E7" i="18"/>
  <c r="E177" i="26"/>
  <c r="C177" i="26"/>
  <c r="D7" i="18"/>
  <c r="D49" i="18"/>
  <c r="E49" i="18"/>
  <c r="D45" i="18"/>
  <c r="E45" i="18"/>
  <c r="D41" i="18"/>
  <c r="E41" i="18"/>
  <c r="D37" i="18"/>
  <c r="E37" i="18"/>
  <c r="D33" i="18"/>
  <c r="E33" i="18"/>
  <c r="D29" i="18"/>
  <c r="E29" i="18"/>
  <c r="D25" i="18"/>
  <c r="E25" i="18"/>
  <c r="D21" i="18"/>
  <c r="E21" i="18"/>
  <c r="D17" i="18"/>
  <c r="E17" i="18"/>
  <c r="D11" i="18"/>
  <c r="E11" i="18"/>
  <c r="E27" i="30"/>
  <c r="G27" i="30"/>
  <c r="G45" i="30"/>
  <c r="B9" i="22"/>
  <c r="C7" i="10"/>
  <c r="C5" i="10"/>
  <c r="B11" i="10"/>
  <c r="G38" i="30"/>
  <c r="C52" i="30"/>
  <c r="C95" i="31"/>
  <c r="D95" i="31"/>
  <c r="B104" i="31"/>
  <c r="D104" i="31"/>
  <c r="C105" i="31"/>
  <c r="D105" i="31"/>
  <c r="D82" i="18"/>
  <c r="C32" i="31"/>
  <c r="D78" i="18"/>
  <c r="D74" i="18"/>
  <c r="D70" i="18"/>
  <c r="D64" i="18"/>
  <c r="E39" i="31"/>
  <c r="C39" i="31"/>
  <c r="D39" i="31"/>
  <c r="C122" i="16"/>
  <c r="I88" i="18"/>
  <c r="E35" i="31"/>
  <c r="C35" i="31"/>
  <c r="D35" i="31"/>
  <c r="C118" i="16"/>
  <c r="E118" i="16"/>
  <c r="I84" i="18"/>
  <c r="E31" i="31"/>
  <c r="D81" i="18"/>
  <c r="C31" i="31"/>
  <c r="D31" i="31"/>
  <c r="E27" i="31"/>
  <c r="D77" i="18"/>
  <c r="C27" i="31"/>
  <c r="D27" i="31"/>
  <c r="E23" i="31"/>
  <c r="D73" i="18"/>
  <c r="C23" i="31"/>
  <c r="D23" i="31"/>
  <c r="E19" i="31"/>
  <c r="D69" i="18"/>
  <c r="C19" i="31"/>
  <c r="D19" i="31"/>
  <c r="C99" i="16"/>
  <c r="B99" i="16"/>
  <c r="H65" i="18"/>
  <c r="F64" i="18"/>
  <c r="E64" i="18"/>
  <c r="E9" i="31"/>
  <c r="H59" i="18"/>
  <c r="E7" i="31"/>
  <c r="H57" i="18"/>
  <c r="D27" i="16"/>
  <c r="B27" i="16"/>
  <c r="D17" i="16"/>
  <c r="B17" i="16"/>
  <c r="E12" i="16"/>
  <c r="B12" i="16"/>
  <c r="C27" i="7"/>
  <c r="D46" i="7"/>
  <c r="E46" i="7"/>
  <c r="B26" i="7"/>
  <c r="D30" i="33"/>
  <c r="E30" i="33"/>
  <c r="D26" i="33"/>
  <c r="E26" i="33"/>
  <c r="C41" i="30"/>
  <c r="F23" i="30"/>
  <c r="C39" i="30"/>
  <c r="F21" i="30"/>
  <c r="C37" i="30"/>
  <c r="F19" i="30"/>
  <c r="D94" i="31"/>
  <c r="C42" i="31"/>
  <c r="B40" i="31"/>
  <c r="C40" i="31"/>
  <c r="B38" i="31"/>
  <c r="C38" i="31"/>
  <c r="B36" i="31"/>
  <c r="C36" i="31"/>
  <c r="B32" i="31"/>
  <c r="B30" i="31"/>
  <c r="C30" i="31"/>
  <c r="B28" i="31"/>
  <c r="C28" i="31"/>
  <c r="B26" i="31"/>
  <c r="C26" i="31"/>
  <c r="B24" i="31"/>
  <c r="C24" i="31"/>
  <c r="B22" i="31"/>
  <c r="C22" i="31"/>
  <c r="B20" i="31"/>
  <c r="C20" i="31"/>
  <c r="B18" i="31"/>
  <c r="C18" i="31"/>
  <c r="B12" i="31"/>
  <c r="C12" i="31"/>
  <c r="E41" i="31"/>
  <c r="C41" i="31"/>
  <c r="D41" i="31"/>
  <c r="I90" i="18"/>
  <c r="E37" i="31"/>
  <c r="C37" i="31"/>
  <c r="D37" i="31"/>
  <c r="C120" i="16"/>
  <c r="I86" i="18"/>
  <c r="E33" i="31"/>
  <c r="C33" i="31"/>
  <c r="D33" i="31"/>
  <c r="E29" i="31"/>
  <c r="D79" i="18"/>
  <c r="C29" i="31"/>
  <c r="D29" i="31"/>
  <c r="E25" i="31"/>
  <c r="D75" i="18"/>
  <c r="C25" i="31"/>
  <c r="D25" i="31"/>
  <c r="E21" i="31"/>
  <c r="D71" i="18"/>
  <c r="C21" i="31"/>
  <c r="D21" i="31"/>
  <c r="C101" i="16"/>
  <c r="B101" i="16"/>
  <c r="H67" i="18"/>
  <c r="F66" i="18"/>
  <c r="E66" i="18"/>
  <c r="H63" i="18"/>
  <c r="F60" i="18"/>
  <c r="E60" i="18"/>
  <c r="A100" i="18"/>
  <c r="D116" i="16"/>
  <c r="H54" i="16"/>
  <c r="I82" i="18"/>
  <c r="E62" i="16"/>
  <c r="B62" i="16"/>
  <c r="C86" i="16"/>
  <c r="B85" i="16"/>
  <c r="E85" i="16"/>
  <c r="E16" i="16"/>
  <c r="B16" i="16"/>
  <c r="C24" i="16"/>
  <c r="E24" i="16"/>
  <c r="B32" i="16"/>
  <c r="C14" i="16"/>
  <c r="E11" i="16"/>
  <c r="D47" i="7"/>
  <c r="E47" i="7"/>
  <c r="B18" i="7"/>
  <c r="B51" i="17"/>
  <c r="C47" i="17"/>
  <c r="C176" i="26"/>
  <c r="D32" i="33"/>
  <c r="E32" i="33"/>
  <c r="D28" i="33"/>
  <c r="E28" i="33"/>
  <c r="D24" i="33"/>
  <c r="E24" i="33"/>
  <c r="E21" i="33"/>
  <c r="C114" i="16"/>
  <c r="E17" i="33"/>
  <c r="C110" i="16"/>
  <c r="E13" i="33"/>
  <c r="C106" i="16"/>
  <c r="E9" i="33"/>
  <c r="C102" i="16"/>
  <c r="D121" i="16"/>
  <c r="E121" i="16"/>
  <c r="C116" i="16"/>
  <c r="C112" i="16"/>
  <c r="E112" i="16"/>
  <c r="C108" i="16"/>
  <c r="C104" i="16"/>
  <c r="E104" i="16"/>
  <c r="D43" i="7"/>
  <c r="B176" i="26"/>
  <c r="D123" i="16"/>
  <c r="B123" i="16"/>
  <c r="D119" i="16"/>
  <c r="E119" i="16"/>
  <c r="B117" i="16"/>
  <c r="E117" i="16"/>
  <c r="D68" i="16"/>
  <c r="B68" i="16"/>
  <c r="H56" i="18"/>
  <c r="H52" i="16"/>
  <c r="G52" i="16"/>
  <c r="J52" i="16"/>
  <c r="H60" i="16"/>
  <c r="E17" i="16"/>
  <c r="E13" i="16"/>
  <c r="C18" i="7"/>
  <c r="C17" i="7"/>
  <c r="C16" i="7"/>
  <c r="D90" i="31"/>
  <c r="D6" i="33"/>
  <c r="D125" i="16"/>
  <c r="E125" i="16"/>
  <c r="D126" i="16"/>
  <c r="B126" i="16"/>
  <c r="D45" i="7"/>
  <c r="E45" i="7"/>
  <c r="C115" i="16"/>
  <c r="E22" i="33"/>
  <c r="C113" i="16"/>
  <c r="E20" i="33"/>
  <c r="C111" i="16"/>
  <c r="E18" i="33"/>
  <c r="C109" i="16"/>
  <c r="E16" i="33"/>
  <c r="C107" i="16"/>
  <c r="E14" i="33"/>
  <c r="C105" i="16"/>
  <c r="B105" i="16"/>
  <c r="E12" i="33"/>
  <c r="C103" i="16"/>
  <c r="B103" i="16"/>
  <c r="E10" i="33"/>
  <c r="C34" i="31"/>
  <c r="D88" i="31"/>
  <c r="H58" i="18"/>
  <c r="E13" i="31"/>
  <c r="E17" i="31"/>
  <c r="E15" i="31"/>
  <c r="D177" i="26"/>
  <c r="G26" i="30"/>
  <c r="D18" i="22"/>
  <c r="D12" i="31"/>
  <c r="D18" i="31"/>
  <c r="D20" i="31"/>
  <c r="D22" i="31"/>
  <c r="D24" i="31"/>
  <c r="D26" i="31"/>
  <c r="D28" i="31"/>
  <c r="D30" i="31"/>
  <c r="D32" i="31"/>
  <c r="D34" i="31"/>
  <c r="B11" i="31"/>
  <c r="C11" i="31"/>
  <c r="D36" i="31"/>
  <c r="D38" i="31"/>
  <c r="D40" i="31"/>
  <c r="D42" i="31"/>
  <c r="E123" i="16"/>
  <c r="G18" i="26"/>
  <c r="B18" i="26"/>
  <c r="F18" i="26"/>
  <c r="H18" i="26"/>
  <c r="C6" i="31"/>
  <c r="B6" i="31"/>
  <c r="E16" i="7"/>
  <c r="D16" i="7"/>
  <c r="C8" i="31"/>
  <c r="B8" i="31"/>
  <c r="B112" i="16"/>
  <c r="C53" i="17"/>
  <c r="C51" i="17"/>
  <c r="C50" i="17"/>
  <c r="B54" i="17"/>
  <c r="B41" i="17"/>
  <c r="D51" i="17"/>
  <c r="E51" i="17"/>
  <c r="C15" i="7"/>
  <c r="C14" i="7"/>
  <c r="C5" i="7"/>
  <c r="D10" i="16"/>
  <c r="E14" i="16"/>
  <c r="B14" i="16"/>
  <c r="C60" i="16"/>
  <c r="B86" i="16"/>
  <c r="E86" i="16"/>
  <c r="I60" i="18"/>
  <c r="E10" i="31"/>
  <c r="H60" i="18"/>
  <c r="I66" i="18"/>
  <c r="E16" i="31"/>
  <c r="H66" i="18"/>
  <c r="C100" i="16"/>
  <c r="E100" i="16"/>
  <c r="E26" i="7"/>
  <c r="D26" i="7"/>
  <c r="E27" i="7"/>
  <c r="D27" i="7"/>
  <c r="I54" i="16"/>
  <c r="J54" i="16"/>
  <c r="H62" i="16"/>
  <c r="E27" i="16"/>
  <c r="B35" i="16"/>
  <c r="B9" i="31"/>
  <c r="C9" i="31"/>
  <c r="B15" i="31"/>
  <c r="C15" i="31"/>
  <c r="E99" i="16"/>
  <c r="B118" i="16"/>
  <c r="E122" i="16"/>
  <c r="B122" i="16"/>
  <c r="D11" i="10"/>
  <c r="D110" i="26"/>
  <c r="E11" i="10"/>
  <c r="B7" i="10"/>
  <c r="B12" i="10"/>
  <c r="D12" i="10"/>
  <c r="B110" i="26"/>
  <c r="B11" i="22"/>
  <c r="C12" i="10"/>
  <c r="C110" i="26"/>
  <c r="E136" i="26"/>
  <c r="E19" i="26"/>
  <c r="B139" i="26"/>
  <c r="D136" i="26"/>
  <c r="C21" i="26"/>
  <c r="G21" i="26"/>
  <c r="B21" i="26"/>
  <c r="F21" i="26"/>
  <c r="H21" i="26"/>
  <c r="E117" i="26"/>
  <c r="D117" i="26"/>
  <c r="C24" i="7"/>
  <c r="C23" i="7"/>
  <c r="E105" i="16"/>
  <c r="E116" i="16"/>
  <c r="E18" i="7"/>
  <c r="D18" i="7"/>
  <c r="E68" i="16"/>
  <c r="B13" i="31"/>
  <c r="C13" i="31"/>
  <c r="B17" i="31"/>
  <c r="C17" i="31"/>
  <c r="E101" i="16"/>
  <c r="B120" i="16"/>
  <c r="E120" i="16"/>
  <c r="G37" i="30"/>
  <c r="E19" i="30"/>
  <c r="G19" i="30"/>
  <c r="G39" i="30"/>
  <c r="E21" i="30"/>
  <c r="G21" i="30"/>
  <c r="G41" i="30"/>
  <c r="E23" i="30"/>
  <c r="G23" i="30"/>
  <c r="B17" i="7"/>
  <c r="B7" i="31"/>
  <c r="C7" i="31"/>
  <c r="I64" i="18"/>
  <c r="H64" i="18"/>
  <c r="E14" i="31"/>
  <c r="G52" i="30"/>
  <c r="E17" i="30"/>
  <c r="G17" i="30"/>
  <c r="C9" i="22"/>
  <c r="C11" i="22"/>
  <c r="D9" i="16"/>
  <c r="E6" i="22"/>
  <c r="D6" i="22"/>
  <c r="G43" i="30"/>
  <c r="E25" i="30"/>
  <c r="G25" i="30"/>
  <c r="D20" i="30"/>
  <c r="B21" i="30"/>
  <c r="E137" i="26"/>
  <c r="E20" i="26"/>
  <c r="C20" i="26"/>
  <c r="B140" i="26"/>
  <c r="E140" i="26"/>
  <c r="D137" i="26"/>
  <c r="G36" i="26"/>
  <c r="F36" i="26"/>
  <c r="D19" i="26"/>
  <c r="D86" i="26"/>
  <c r="D84" i="26"/>
  <c r="C84" i="26"/>
  <c r="D17" i="26"/>
  <c r="F79" i="26"/>
  <c r="B24" i="7"/>
  <c r="D7" i="22"/>
  <c r="E7" i="22"/>
  <c r="E8" i="22"/>
  <c r="D8" i="22"/>
  <c r="D11" i="31"/>
  <c r="D8" i="31"/>
  <c r="D15" i="31"/>
  <c r="D9" i="31"/>
  <c r="B23" i="7"/>
  <c r="D24" i="7"/>
  <c r="E24" i="7"/>
  <c r="B17" i="26"/>
  <c r="D23" i="26"/>
  <c r="D6" i="26"/>
  <c r="C19" i="26"/>
  <c r="B19" i="26"/>
  <c r="D24" i="26"/>
  <c r="B22" i="30"/>
  <c r="D22" i="30"/>
  <c r="D21" i="30"/>
  <c r="D9" i="22"/>
  <c r="D11" i="22"/>
  <c r="B41" i="22"/>
  <c r="B14" i="31"/>
  <c r="C14" i="31"/>
  <c r="D7" i="31"/>
  <c r="D17" i="31"/>
  <c r="D13" i="31"/>
  <c r="E139" i="26"/>
  <c r="B141" i="26"/>
  <c r="E9" i="22"/>
  <c r="E110" i="26"/>
  <c r="B5" i="10"/>
  <c r="D7" i="10"/>
  <c r="E7" i="10"/>
  <c r="B100" i="16"/>
  <c r="B10" i="31"/>
  <c r="C10" i="31"/>
  <c r="A101" i="18"/>
  <c r="E60" i="16"/>
  <c r="B60" i="16"/>
  <c r="B42" i="17"/>
  <c r="C54" i="17"/>
  <c r="C41" i="17"/>
  <c r="C42" i="17"/>
  <c r="D87" i="26"/>
  <c r="C87" i="26"/>
  <c r="C86" i="26"/>
  <c r="E82" i="26"/>
  <c r="F82" i="26"/>
  <c r="D140" i="26"/>
  <c r="G20" i="26"/>
  <c r="B20" i="26"/>
  <c r="F20" i="26"/>
  <c r="E17" i="7"/>
  <c r="D17" i="7"/>
  <c r="B15" i="7"/>
  <c r="E81" i="26"/>
  <c r="D139" i="26"/>
  <c r="C9" i="16"/>
  <c r="E11" i="22"/>
  <c r="E12" i="10"/>
  <c r="B16" i="31"/>
  <c r="C16" i="31"/>
  <c r="D54" i="17"/>
  <c r="D50" i="17"/>
  <c r="E50" i="17"/>
  <c r="D59" i="16"/>
  <c r="E53" i="17"/>
  <c r="D53" i="17"/>
  <c r="D6" i="31"/>
  <c r="D16" i="31"/>
  <c r="D10" i="31"/>
  <c r="D46" i="31"/>
  <c r="C7" i="16"/>
  <c r="D14" i="31"/>
  <c r="C24" i="26"/>
  <c r="C11" i="26"/>
  <c r="G19" i="26"/>
  <c r="C23" i="26"/>
  <c r="C6" i="26"/>
  <c r="F17" i="26"/>
  <c r="B23" i="26"/>
  <c r="D44" i="31"/>
  <c r="H68" i="16"/>
  <c r="E69" i="16"/>
  <c r="H20" i="26"/>
  <c r="I20" i="26"/>
  <c r="D42" i="17"/>
  <c r="E42" i="17"/>
  <c r="E59" i="16"/>
  <c r="B59" i="16"/>
  <c r="E9" i="16"/>
  <c r="B9" i="16"/>
  <c r="E86" i="26"/>
  <c r="F81" i="26"/>
  <c r="E89" i="26"/>
  <c r="E84" i="26"/>
  <c r="B14" i="7"/>
  <c r="E15" i="7"/>
  <c r="D15" i="7"/>
  <c r="D41" i="17"/>
  <c r="E41" i="17"/>
  <c r="E141" i="26"/>
  <c r="D141" i="26"/>
  <c r="B24" i="26"/>
  <c r="F19" i="26"/>
  <c r="E23" i="7"/>
  <c r="D23" i="7"/>
  <c r="B34" i="7"/>
  <c r="D45" i="31"/>
  <c r="E24" i="26"/>
  <c r="B11" i="26"/>
  <c r="F84" i="26"/>
  <c r="E90" i="26"/>
  <c r="E91" i="26"/>
  <c r="F24" i="26"/>
  <c r="H19" i="26"/>
  <c r="H24" i="26"/>
  <c r="I19" i="26"/>
  <c r="B5" i="7"/>
  <c r="C10" i="16"/>
  <c r="D14" i="7"/>
  <c r="D5" i="7"/>
  <c r="E14" i="7"/>
  <c r="E5" i="7"/>
  <c r="E87" i="26"/>
  <c r="F86" i="26"/>
  <c r="G86" i="26"/>
  <c r="F23" i="26"/>
  <c r="H17" i="26"/>
  <c r="H23" i="26"/>
  <c r="D7" i="26"/>
  <c r="G24" i="26"/>
  <c r="G23" i="26"/>
  <c r="B6" i="26"/>
  <c r="E23" i="26"/>
  <c r="E10" i="16"/>
  <c r="B10" i="16"/>
  <c r="D11" i="26"/>
  <c r="E11" i="26"/>
  <c r="C10" i="26"/>
  <c r="C12" i="26"/>
  <c r="C7" i="26"/>
  <c r="C8" i="26"/>
  <c r="D8" i="16"/>
  <c r="E6" i="26"/>
  <c r="B7" i="26"/>
  <c r="E7" i="26"/>
  <c r="B10" i="26"/>
  <c r="I23" i="26"/>
  <c r="I24" i="26"/>
  <c r="E10" i="26"/>
  <c r="D10" i="26"/>
  <c r="B12" i="26"/>
  <c r="B8" i="26"/>
  <c r="E12" i="26"/>
  <c r="D12" i="26"/>
  <c r="C8" i="16"/>
  <c r="E8" i="26"/>
  <c r="D8" i="26"/>
  <c r="E8" i="16"/>
  <c r="B8" i="16"/>
  <c r="B104" i="16"/>
  <c r="B127" i="16"/>
  <c r="E127" i="16"/>
  <c r="D34" i="33"/>
  <c r="E34" i="33"/>
  <c r="D35" i="33"/>
  <c r="D7" i="16"/>
  <c r="E7" i="16"/>
  <c r="E5" i="10"/>
  <c r="D5" i="10"/>
  <c r="B113" i="16"/>
  <c r="E113" i="16"/>
  <c r="B109" i="16"/>
  <c r="E109" i="16"/>
  <c r="B107" i="16"/>
  <c r="E107" i="16"/>
  <c r="E114" i="16"/>
  <c r="B114" i="16"/>
  <c r="E110" i="16"/>
  <c r="B110" i="16"/>
  <c r="B108" i="16"/>
  <c r="E108" i="16"/>
  <c r="E106" i="16"/>
  <c r="B106" i="16"/>
  <c r="B111" i="16"/>
  <c r="B115" i="16"/>
  <c r="E103" i="16"/>
  <c r="B121" i="16"/>
  <c r="E102" i="16"/>
  <c r="B116" i="16"/>
  <c r="D69" i="16"/>
  <c r="D70" i="16"/>
  <c r="D51" i="16"/>
  <c r="I23" i="16"/>
  <c r="D54" i="16"/>
  <c r="I26" i="16"/>
  <c r="G62" i="16"/>
  <c r="G60" i="16"/>
  <c r="D52" i="16"/>
  <c r="I24" i="16"/>
  <c r="D53" i="16"/>
  <c r="I25" i="16"/>
  <c r="G61" i="16"/>
  <c r="E61" i="16"/>
  <c r="B61" i="16"/>
  <c r="B26" i="16"/>
  <c r="E44" i="16"/>
  <c r="E43" i="16"/>
  <c r="I53" i="16"/>
  <c r="B92" i="16"/>
  <c r="E25" i="16"/>
  <c r="B33" i="16"/>
  <c r="B24" i="16"/>
  <c r="E126" i="16"/>
  <c r="B125" i="16"/>
  <c r="I52" i="16"/>
  <c r="B119" i="16"/>
  <c r="J55" i="16"/>
  <c r="H63" i="16"/>
  <c r="G63" i="16"/>
  <c r="B7" i="16"/>
  <c r="C54" i="16"/>
  <c r="J62" i="16"/>
  <c r="C69" i="16"/>
  <c r="J63" i="16"/>
  <c r="C55" i="16"/>
  <c r="C53" i="16"/>
  <c r="J61" i="16"/>
  <c r="D55" i="16"/>
  <c r="I27" i="16"/>
  <c r="J60" i="16"/>
  <c r="C52" i="16"/>
  <c r="B55" i="16"/>
  <c r="H27" i="16"/>
  <c r="E55" i="16"/>
  <c r="H24" i="16"/>
  <c r="E52" i="16"/>
  <c r="B52" i="16"/>
  <c r="H25" i="16"/>
  <c r="E53" i="16"/>
  <c r="B53" i="16"/>
  <c r="B69" i="16"/>
  <c r="C70" i="16"/>
  <c r="B54" i="16"/>
  <c r="H26" i="16"/>
  <c r="E54" i="16"/>
  <c r="J26" i="16"/>
  <c r="G26" i="16"/>
  <c r="J24" i="16"/>
  <c r="G24" i="16"/>
  <c r="G27" i="16"/>
  <c r="J27" i="16"/>
  <c r="B70" i="16"/>
  <c r="C51" i="16"/>
  <c r="E70" i="16"/>
  <c r="G25" i="16"/>
  <c r="J25" i="16"/>
  <c r="C33" i="16"/>
  <c r="K25" i="16"/>
  <c r="C32" i="16"/>
  <c r="K24" i="16"/>
  <c r="H23" i="16"/>
  <c r="B51" i="16"/>
  <c r="E51" i="16"/>
  <c r="C35" i="16"/>
  <c r="K27" i="16"/>
  <c r="C34" i="16"/>
  <c r="K26" i="16"/>
  <c r="G23" i="16"/>
  <c r="J23" i="16"/>
  <c r="C31" i="16"/>
  <c r="K23" i="16"/>
  <c r="J17" i="36"/>
  <c r="E8" i="36"/>
  <c r="J7" i="36"/>
  <c r="L14" i="36"/>
  <c r="C18" i="36"/>
  <c r="D18" i="36"/>
  <c r="D8" i="36"/>
  <c r="C8" i="36"/>
  <c r="K24" i="36"/>
  <c r="K17" i="36"/>
  <c r="G18" i="36"/>
  <c r="I15" i="36"/>
  <c r="G15" i="36"/>
  <c r="J14" i="36"/>
  <c r="K7" i="36"/>
  <c r="G8" i="36"/>
  <c r="C15" i="36"/>
  <c r="E15" i="36"/>
  <c r="D15" i="36"/>
  <c r="B24" i="36"/>
  <c r="F25" i="36"/>
  <c r="E18" i="36"/>
  <c r="I8" i="36"/>
  <c r="I18" i="36"/>
  <c r="H8" i="36"/>
  <c r="H18" i="36"/>
  <c r="E25" i="36"/>
  <c r="H25" i="36"/>
  <c r="D25" i="36"/>
  <c r="G25" i="36"/>
  <c r="C25" i="36"/>
</calcChain>
</file>

<file path=xl/sharedStrings.xml><?xml version="1.0" encoding="utf-8"?>
<sst xmlns="http://schemas.openxmlformats.org/spreadsheetml/2006/main" count="2472" uniqueCount="1425">
  <si>
    <t>municipal prisons and workhouses</t>
  </si>
  <si>
    <t>Jan. 1, 1923</t>
  </si>
  <si>
    <t>Census of 1923</t>
  </si>
  <si>
    <t>Census of 1940</t>
  </si>
  <si>
    <t>Tennesee</t>
  </si>
  <si>
    <t>est June, 1923 total</t>
  </si>
  <si>
    <t>Sex Ratio</t>
  </si>
  <si>
    <t>Sentenced</t>
  </si>
  <si>
    <t>Prison Category</t>
  </si>
  <si>
    <t>Federal</t>
  </si>
  <si>
    <t>State</t>
  </si>
  <si>
    <t>County jails and workhouses</t>
  </si>
  <si>
    <t>City jails and workhouses</t>
  </si>
  <si>
    <t>Farms, stockades, chain and road gangs</t>
  </si>
  <si>
    <t>% sent.</t>
  </si>
  <si>
    <t>Census, Jan. 1, 1923</t>
  </si>
  <si>
    <t>Census, July 1, 1922</t>
  </si>
  <si>
    <t>All</t>
  </si>
  <si>
    <t>% of 1922 figure</t>
  </si>
  <si>
    <t xml:space="preserve">includes juvenile delinquents 14 years old and over in reformatories and detention homes </t>
  </si>
  <si>
    <t>Male</t>
  </si>
  <si>
    <t>Female</t>
  </si>
  <si>
    <t>Prison</t>
  </si>
  <si>
    <t>Probation</t>
  </si>
  <si>
    <t>Parole</t>
  </si>
  <si>
    <t>est. 1980</t>
  </si>
  <si>
    <t>juveniles</t>
  </si>
  <si>
    <t>age</t>
  </si>
  <si>
    <t>under 5</t>
  </si>
  <si>
    <t>5 to 9</t>
  </si>
  <si>
    <t>10 to 14</t>
  </si>
  <si>
    <t>adults</t>
  </si>
  <si>
    <t>Prisoners in Local Jails</t>
  </si>
  <si>
    <t>Prisons and Reformatories</t>
  </si>
  <si>
    <t>Local Jails and Workhouses</t>
  </si>
  <si>
    <t>year</t>
  </si>
  <si>
    <t>District of Columbia</t>
  </si>
  <si>
    <t>sources and notes</t>
  </si>
  <si>
    <t>sex ratio</t>
  </si>
  <si>
    <t>1 Jan to 30 June, 1933</t>
  </si>
  <si>
    <t>increase</t>
  </si>
  <si>
    <t>in prison</t>
  </si>
  <si>
    <t>Commitments: Id, p. 45, Table 33</t>
  </si>
  <si>
    <t>for nonpayment of fine:</t>
  </si>
  <si>
    <t>on 1 Jan.: p. 30, Table 19</t>
  </si>
  <si>
    <t>on 30 June: total, Id., p. 8, Table 5; sex subtotals, estimated</t>
  </si>
  <si>
    <t>source and notes</t>
  </si>
  <si>
    <t>Census of 1900, Prisoners, 1904: pp. 68-87, Table 3</t>
  </si>
  <si>
    <t>Sentenced prisoners in jail-type institutions by state and sex, 1904</t>
  </si>
  <si>
    <t>Enumeration on June 30, 1904</t>
  </si>
  <si>
    <t>state or territory</t>
  </si>
  <si>
    <t>est non-payment of fine</t>
  </si>
  <si>
    <t>see prisoners-us-long-run:"nonpayment of fines"</t>
  </si>
  <si>
    <t>total generic jails</t>
  </si>
  <si>
    <t>facility type</t>
  </si>
  <si>
    <t>see "1904 jails" sheet</t>
  </si>
  <si>
    <t>sentenced jail prisoner total</t>
  </si>
  <si>
    <t>sum</t>
  </si>
  <si>
    <t>add non-payment prisoners</t>
  </si>
  <si>
    <t>see prisoners-us-long-run:"legal status"</t>
  </si>
  <si>
    <t>Census 1900, Prisoners 1904, p,. 15, Table III (June 30, 1904)</t>
  </si>
  <si>
    <t>Prisoners in the U.S. in 1904</t>
  </si>
  <si>
    <t>sentenced prisoners, ex. juveniles</t>
  </si>
  <si>
    <t>sentenced prisoners, adj. to June</t>
  </si>
  <si>
    <t>generic jails, adj. to June</t>
  </si>
  <si>
    <t>1933: sex ratio in prison in June / sex ratio commitments Jan. to June</t>
  </si>
  <si>
    <t>1910 sex ratio commitments scaled</t>
  </si>
  <si>
    <t>commitments in 1910</t>
  </si>
  <si>
    <t>sentenced prisoners in county and city jails and workhouses</t>
  </si>
  <si>
    <t>reformatories not exclusively for juveniles</t>
  </si>
  <si>
    <t>median</t>
  </si>
  <si>
    <t>estimate: see prisoners-us-long-run:"legal status"</t>
  </si>
  <si>
    <t>calculation</t>
  </si>
  <si>
    <t>sum of estimates</t>
  </si>
  <si>
    <t>Census, Prisoners and Juvenile Delinquents (1918), p. 317, Table 8</t>
  </si>
  <si>
    <t>Id. p. 79, Table 60</t>
  </si>
  <si>
    <t>id</t>
  </si>
  <si>
    <t>adj. based on 1933 data</t>
  </si>
  <si>
    <t>juveniles in these institutions included in prisoner count</t>
  </si>
  <si>
    <t>suggests importance for sex ratio of adjusting to June</t>
  </si>
  <si>
    <t>Surveys of prisoners in 1917 and 1922</t>
  </si>
  <si>
    <t>penal institutions</t>
  </si>
  <si>
    <t>1922 survey</t>
  </si>
  <si>
    <t>1917 survey</t>
  </si>
  <si>
    <t>count of institutions</t>
  </si>
  <si>
    <t>count of prisoners held</t>
  </si>
  <si>
    <t>July 1,1922</t>
  </si>
  <si>
    <t>Census Bureau, Number of Prisoners in Penal Institutions: 1922 and 1917, p. 11, Table 1</t>
  </si>
  <si>
    <t>comp: July 1, 1922</t>
  </si>
  <si>
    <t>the "comp" count for July 1, 1922 is for "areas reporting for both 1922 and 1917"</t>
  </si>
  <si>
    <t>county/city jails</t>
  </si>
  <si>
    <t>non-reporting share</t>
  </si>
  <si>
    <t>ave prisoners/jail</t>
  </si>
  <si>
    <t>survey year</t>
  </si>
  <si>
    <t>reporting empty</t>
  </si>
  <si>
    <t>share empty</t>
  </si>
  <si>
    <t>chain or road gangs includes Georgia State Prison Farm</t>
  </si>
  <si>
    <t>other are "institutions, most of which are under the control of religious, charitable, or welfare organizations"</t>
  </si>
  <si>
    <t># surveyed</t>
  </si>
  <si>
    <t>institutions</t>
  </si>
  <si>
    <t>prisoners in institutions reporting</t>
  </si>
  <si>
    <t>adj for non-reporting</t>
  </si>
  <si>
    <t>chain and road gangs</t>
  </si>
  <si>
    <t>Georgia State Prison Farm</t>
  </si>
  <si>
    <t>In 1917, chain and road gang includes data only for Georgia, and includes Georgia State Prison Farm</t>
  </si>
  <si>
    <t>for Georgia details, see below</t>
  </si>
  <si>
    <t>on July 1,1922</t>
  </si>
  <si>
    <t>adj. for non-reporting, excludes females in "other" institutions</t>
  </si>
  <si>
    <t>non-gov't women's institutions</t>
  </si>
  <si>
    <t>adj. county</t>
  </si>
  <si>
    <t>adj. city</t>
  </si>
  <si>
    <t>est. total</t>
  </si>
  <si>
    <t>est. 1917 surplus</t>
  </si>
  <si>
    <t>est of the number of incarcerated draft evaders</t>
  </si>
  <si>
    <t>Prisoners by institution type and legal status, 1922 and 1923</t>
  </si>
  <si>
    <t>Id., p. 11, Table 1, footnotes; p. 19, Table 7</t>
  </si>
  <si>
    <t>total state/gangs</t>
  </si>
  <si>
    <t>felony state/gangs</t>
  </si>
  <si>
    <t>Census, Prisoners, 1923, p. 190, Table 127</t>
  </si>
  <si>
    <t>Differences from Cahalan (1987), Historical Corrections Statistics, p. 198: 1) "other" excluded, 2) adjust for non-reporting, 3) split Georgia chain gang figures into state</t>
  </si>
  <si>
    <t>reporting in detail</t>
  </si>
  <si>
    <t>all institutions</t>
  </si>
  <si>
    <t>all reporting institutions</t>
  </si>
  <si>
    <t>total prisoners</t>
  </si>
  <si>
    <t>sentenced share</t>
  </si>
  <si>
    <t>Census, Prisoners, 1922, p. 20, Table 8</t>
  </si>
  <si>
    <t>Calahan (1987) p. 198 calculates sentenced county prisoners from only those reported in detail</t>
  </si>
  <si>
    <t>sentenced prisoners in 1910</t>
  </si>
  <si>
    <t>prisoners and juvenile delinquents, by institution type</t>
  </si>
  <si>
    <t>of which:</t>
  </si>
  <si>
    <t>United States penitentiaries</t>
  </si>
  <si>
    <t>prisoners in this class excluded from prisoner time-series</t>
  </si>
  <si>
    <t>excludes felony state/gangs based on 1923 count</t>
  </si>
  <si>
    <t>Georgia chain gangs apparently included in this category</t>
  </si>
  <si>
    <t>generic jail total, ex. felons in chain gangs</t>
  </si>
  <si>
    <t>generaic jail total</t>
  </si>
  <si>
    <t>sentenced prisoners in generic jail in 1922-3 shouldn't be much less than this figure</t>
  </si>
  <si>
    <t>on July 1, 1922</t>
  </si>
  <si>
    <t>est June, 1923 adj.</t>
  </si>
  <si>
    <t>change from 1922</t>
  </si>
  <si>
    <t>unrealistically large decrease in sentenced prisoners</t>
  </si>
  <si>
    <t>penal institution type</t>
  </si>
  <si>
    <t>sentenced prisoners on Jan. 1, 1923</t>
  </si>
  <si>
    <t>commitments, Jan. 1 to June 30</t>
  </si>
  <si>
    <t>Census, Prisoners: 1923, p. 47, Table 19</t>
  </si>
  <si>
    <t>see detail below</t>
  </si>
  <si>
    <t>on state prisoners not reported by sex, see p. 10, Table 3, footnote</t>
  </si>
  <si>
    <t>sex allocated by reported state prisoners; see p. 190, Table 127</t>
  </si>
  <si>
    <t>all non-reporting by sex</t>
  </si>
  <si>
    <t>state prisoners non-reported sex</t>
  </si>
  <si>
    <t>1922 sentence status in county jails and workhouses</t>
  </si>
  <si>
    <t>1923 reporting institutions</t>
  </si>
  <si>
    <t>federal prisons</t>
  </si>
  <si>
    <t>state reformatories</t>
  </si>
  <si>
    <t>county jails, workhouses, farms, and chain gangs</t>
  </si>
  <si>
    <t>municipal jails, workhouses, farms, stockades, etc.</t>
  </si>
  <si>
    <t>empty jails and workhouses</t>
  </si>
  <si>
    <t>non-reporting jail and workhouses</t>
  </si>
  <si>
    <t>number</t>
  </si>
  <si>
    <t>Id. p. 3</t>
  </si>
  <si>
    <t>Allocating sex non-reporting</t>
  </si>
  <si>
    <t>1922 institutional count</t>
  </si>
  <si>
    <t>non-empty county institutions</t>
  </si>
  <si>
    <t>chain or road gang allocated to county</t>
  </si>
  <si>
    <t>total est. county</t>
  </si>
  <si>
    <t>total reporting and non-empty</t>
  </si>
  <si>
    <t>1922 comparison</t>
  </si>
  <si>
    <t>all state institutions</t>
  </si>
  <si>
    <t>all counted institutions</t>
  </si>
  <si>
    <t>decline in federal sentenced prisoners is in source; not clear reason</t>
  </si>
  <si>
    <t>minimum</t>
  </si>
  <si>
    <t>maximum</t>
  </si>
  <si>
    <t>excludes 1922 "other" institutions</t>
  </si>
  <si>
    <t>1922 comparison from figures above</t>
  </si>
  <si>
    <t xml:space="preserve">city sentenced share estimate: see note "sentenced prisoners in U.S. jails in 1922" </t>
  </si>
  <si>
    <t>difference</t>
  </si>
  <si>
    <t>revision based on scaling instution counts; see below</t>
  </si>
  <si>
    <t>Prisoners in 1922, subcategorized by sentence status</t>
  </si>
  <si>
    <t>institution type</t>
  </si>
  <si>
    <t>adj. to June</t>
  </si>
  <si>
    <t>based on 1933 data</t>
  </si>
  <si>
    <t>calculated from all prisoners, sentenced share estimates by institution type, and jail sex ratio on Jan. 1923</t>
  </si>
  <si>
    <t>total, ex. other institutions</t>
  </si>
  <si>
    <t>adj. sum</t>
  </si>
  <si>
    <t>all prisoners in 1922</t>
  </si>
  <si>
    <t>1923 number</t>
  </si>
  <si>
    <t>many fewer penal institutions reported in 1923 compared to 1922</t>
  </si>
  <si>
    <t>for comparison with 1923 census institution count</t>
  </si>
  <si>
    <t>1923 count comparison for federal and state penal institutions</t>
  </si>
  <si>
    <t>1923 census sum</t>
  </si>
  <si>
    <t>yearly growth, 1925-8</t>
  </si>
  <si>
    <t>est. Dec 31, 1922</t>
  </si>
  <si>
    <t>figures for Dec. 31 of given year</t>
  </si>
  <si>
    <t>back-projection from 1925; see sheet "fed-state 1925 on"</t>
  </si>
  <si>
    <t>compared to fed-state series, census data probably includes more state farms and chain gangs</t>
  </si>
  <si>
    <t>Prisoners in the U.S. about 1922</t>
  </si>
  <si>
    <t>city jails and workhouses</t>
  </si>
  <si>
    <t>all county</t>
  </si>
  <si>
    <t>all city</t>
  </si>
  <si>
    <t>generic jails</t>
  </si>
  <si>
    <t>1923 revised</t>
  </si>
  <si>
    <t>Commitments seasonality estimated for 1923</t>
  </si>
  <si>
    <t>reported Jan. 1-June 30</t>
  </si>
  <si>
    <t>est. for year</t>
  </si>
  <si>
    <t>state farms include "Indiana and Massachusetts state farms, Maryland and Rhode Island State houses of correction, and state and federal prisoners in the Detroit House of Correction</t>
  </si>
  <si>
    <t>Definition of state farms from id. p. 12, n. 8:</t>
  </si>
  <si>
    <t>for estimates during year: Prisoners, 1923, p. 23, Table 8</t>
  </si>
  <si>
    <t>total for whole year from id, p. 21, Table 6</t>
  </si>
  <si>
    <t>2nd/1st half year</t>
  </si>
  <si>
    <t>reported total</t>
  </si>
  <si>
    <t>prisoners for nonpayment of fine</t>
  </si>
  <si>
    <t>implausible; apparently state farms with include with either county or municipal institutions</t>
  </si>
  <si>
    <t>all state institution types</t>
  </si>
  <si>
    <t>generic jails, inc. state farms</t>
  </si>
  <si>
    <t>more plausible</t>
  </si>
  <si>
    <t>total prisoners:</t>
  </si>
  <si>
    <t>federal &amp; state prisoners</t>
  </si>
  <si>
    <t>change July 1, 1922 to Jan. 1, 1923</t>
  </si>
  <si>
    <t>federal &amp; state facilities</t>
  </si>
  <si>
    <t>Census, County and City Jails, 1933, p. 2, Table 1; pp. 5-6, Table 3</t>
  </si>
  <si>
    <t>reporting</t>
  </si>
  <si>
    <t>non-reporting</t>
  </si>
  <si>
    <t>prisoner counts for non-reporting jails ("non-reporting") are Census estimates from id.</t>
  </si>
  <si>
    <t>present, June 30</t>
  </si>
  <si>
    <t>present, Jan. 1</t>
  </si>
  <si>
    <t>adj. present, June 30</t>
  </si>
  <si>
    <t>totals</t>
  </si>
  <si>
    <t>Sentenced prisoners and county and city jails, 1933</t>
  </si>
  <si>
    <t>Counts include about 130 "workhouses, prison farms, chain gangs, convict camps, stockades, etc." (id. p. 1)</t>
  </si>
  <si>
    <t>est. June 30, 1933</t>
  </si>
  <si>
    <t>prisoners in federal and state penal institutions</t>
  </si>
  <si>
    <t>Seasonality in county and city jails</t>
  </si>
  <si>
    <t>1926,27: Prisoners in State and Federal Prisons and Reformatories 1926, p. 6, Table 2</t>
  </si>
  <si>
    <t>in prison on Jan. 1</t>
  </si>
  <si>
    <t>received during year</t>
  </si>
  <si>
    <t>Prisoners, 1940, Table 68, p. 84</t>
  </si>
  <si>
    <t>Prisoners, 1930, Table 4a, p. 6</t>
  </si>
  <si>
    <t>Prisoners, 1928, Table 22, pp. 33-9</t>
  </si>
  <si>
    <t>Prisoners, 1938, Table 49, p. 83</t>
  </si>
  <si>
    <t>state \ year</t>
  </si>
  <si>
    <t>all figures from Prisoners, 1938, Table 49</t>
  </si>
  <si>
    <t>Missing states' estimate for 1933</t>
  </si>
  <si>
    <t>estimated by yearly totals below</t>
  </si>
  <si>
    <t>in prison on Dec. 31, 1938</t>
  </si>
  <si>
    <t>missing states are Alabama, Georgia, and Mississippi</t>
  </si>
  <si>
    <t>sex ratio estimated based on review of available figures below</t>
  </si>
  <si>
    <t>prisoners in state prisons and reformatories on Jan. 1 of year</t>
  </si>
  <si>
    <t>prisoners in state prisons and chain gangs</t>
  </si>
  <si>
    <t>in state and federal prisons</t>
  </si>
  <si>
    <t>in missing states' state and fed prisons</t>
  </si>
  <si>
    <t>sentenced in county and city jails</t>
  </si>
  <si>
    <t>includes prisoners for non-payment of fines</t>
  </si>
  <si>
    <t>est. missing share</t>
  </si>
  <si>
    <t>adjustment size</t>
  </si>
  <si>
    <t>share of total</t>
  </si>
  <si>
    <t>Id. p. 3 estimates 90% coverage; the adjustment here implies 89% coverage</t>
  </si>
  <si>
    <t>County and City Jails, 1933, p. 3, estimates missing prisoners at 8% of total</t>
  </si>
  <si>
    <t>prisoners on June 30, 1933</t>
  </si>
  <si>
    <t>prisoner category</t>
  </si>
  <si>
    <t>Prisoners in the U.S. in 1933</t>
  </si>
  <si>
    <t>interpolated estimate</t>
  </si>
  <si>
    <t>see "fed-state from 1925" sheet</t>
  </si>
  <si>
    <t>US Census Bureau, County and City Jails, 1933 (GPO, 1935), p. 5, Table 2</t>
  </si>
  <si>
    <t>Census Bureau, Number of prisoners in Penal Institutions: 1922 and 1917, pp. 18-9, Tables 6-7</t>
  </si>
  <si>
    <t>Census, Prisoners: 1923, Table 127, pp. 190-1.</t>
  </si>
  <si>
    <t>subsquent issues of that annual; summarized in</t>
  </si>
  <si>
    <t>BJS, Historical Statistics on State and Federal Institutions, Yearend 1925-86</t>
  </si>
  <si>
    <t>County and City Jails, 1933, p. 18, Table 11</t>
  </si>
  <si>
    <t>Prisoners under 18 in county and city jails in 1933</t>
  </si>
  <si>
    <t>share under 18 years old</t>
  </si>
  <si>
    <t>under 18 years old</t>
  </si>
  <si>
    <t>est. prisoners</t>
  </si>
  <si>
    <t>est. juvenile delinquents.</t>
  </si>
  <si>
    <t>total juvenile delinquents</t>
  </si>
  <si>
    <t>total correctional pop.</t>
  </si>
  <si>
    <t>1950 prisoners</t>
  </si>
  <si>
    <t>1950: juvenile delinquents</t>
  </si>
  <si>
    <t>15 to 17 and 17 to 19 separated from 15 to 19 total</t>
  </si>
  <si>
    <t>these figures include juvenile delinquents, who have a lower sex ratio than adults</t>
  </si>
  <si>
    <t>estimated juvenile delinquents in 1940</t>
  </si>
  <si>
    <t xml:space="preserve">1940 prisoners in census report: </t>
  </si>
  <si>
    <t>Census, 1940, Table 4, p. 10</t>
  </si>
  <si>
    <t>Census, 1940, Table 12</t>
  </si>
  <si>
    <t>Census, 1950, Table 4, p. 2C-16</t>
  </si>
  <si>
    <t>age group</t>
  </si>
  <si>
    <t>training schools</t>
  </si>
  <si>
    <t>detention homes</t>
  </si>
  <si>
    <t>1950:  juvenile delinquent details</t>
  </si>
  <si>
    <t>Census, 1950 p. 2C-17, Table 11</t>
  </si>
  <si>
    <t>summed from below</t>
  </si>
  <si>
    <t>1933: juvenile delinquents, received from court</t>
  </si>
  <si>
    <t>est. under 15, but only 14 and over included in prisoner census</t>
  </si>
  <si>
    <t>1933: juvenile delinquents in public institutions for juvenile delinquents</t>
  </si>
  <si>
    <t>on Jan. 1</t>
  </si>
  <si>
    <t>on Dec. 31</t>
  </si>
  <si>
    <t>Census, Juvenile Delinquents, 1933, p. 7, Table 4</t>
  </si>
  <si>
    <t>Census, Juvenile Delinquents, 1933, p. 12, Table 8</t>
  </si>
  <si>
    <t>receipts much less than day total</t>
  </si>
  <si>
    <t>reported:</t>
  </si>
  <si>
    <t>little effect on aggregate estimates</t>
  </si>
  <si>
    <t>Prisones in state and federal prisons and reformatories</t>
  </si>
  <si>
    <t>unadj. census total</t>
  </si>
  <si>
    <t>est. share of juv.</t>
  </si>
  <si>
    <t>adj. census total</t>
  </si>
  <si>
    <t>fed-state series</t>
  </si>
  <si>
    <t>early figures actually for Jan. 1 of subsequent year</t>
  </si>
  <si>
    <t>Estimated prisoners in 1940</t>
  </si>
  <si>
    <t>Census of 1960</t>
  </si>
  <si>
    <t>federal prisons and reformatories</t>
  </si>
  <si>
    <t>state prisons and reformatories</t>
  </si>
  <si>
    <t>based on 25% sample</t>
  </si>
  <si>
    <t>federal and state prisons and reformatories</t>
  </si>
  <si>
    <t>Later reporting for 1950 and 1960</t>
  </si>
  <si>
    <t>for 1950</t>
  </si>
  <si>
    <t>for 1960</t>
  </si>
  <si>
    <t>US Statistical Abstract, p. 156, Table No. 231</t>
  </si>
  <si>
    <t>1950 prisoners by age</t>
  </si>
  <si>
    <t>summary from below</t>
  </si>
  <si>
    <t>1940 unadj. clearly not comparable</t>
  </si>
  <si>
    <t>in 1940, most juvenile delinquents probably included in institutions classed as reformatories</t>
  </si>
  <si>
    <t>1940 adjustment looks plausible</t>
  </si>
  <si>
    <t>see "fed-state from 1925" sheet; 1960 more recent figures preferred</t>
  </si>
  <si>
    <t>Prisoners in the U.S. in 1940-1960</t>
  </si>
  <si>
    <t>Census, 1960, p. 4, Table 4, Table A-2, A-3 (additions)</t>
  </si>
  <si>
    <t>for 1940 and subsequent censuses, April 1 has been the Census date</t>
  </si>
  <si>
    <t>these estimates subtract estimated juvenile delinquents</t>
  </si>
  <si>
    <t>Prisoners in the U.S. in 1970</t>
  </si>
  <si>
    <t>Census, 1970, Persons in Institutions and Other Group Quarters, p. 5, Table 3</t>
  </si>
  <si>
    <t>fed and state prisons and reformatories</t>
  </si>
  <si>
    <t>from annual series, see sheet "fed-state from 1925"</t>
  </si>
  <si>
    <t>federal and state prisons</t>
  </si>
  <si>
    <t>Census, 1980, p. 19, Table 14</t>
  </si>
  <si>
    <t>National Jail Census, 1970, ICPSR 7641</t>
  </si>
  <si>
    <t>Prisoners in 1980</t>
  </si>
  <si>
    <t>Prisoners in 2000</t>
  </si>
  <si>
    <t>Census, 2000, P38.  Group Quarters Population by Sex by age by group quarters type</t>
  </si>
  <si>
    <t>Census 2000 Summary File 1 (SF 1) 100- Percent Data</t>
  </si>
  <si>
    <t>Census, 1990, US Summary, General Pop. Characteristics, Group Quarters by Type, Table 35, p. 48</t>
  </si>
  <si>
    <t>Prisoners in 2010</t>
  </si>
  <si>
    <t xml:space="preserve">P43: GROUP QUARTERS POPULATION BY SEX BY AGE BY GROUP QUARTERS TYPE </t>
  </si>
  <si>
    <t>Census, 2010,</t>
  </si>
  <si>
    <t>2010 Census Summary File 1</t>
  </si>
  <si>
    <t>Prisoners in the U.S., 1970-2010, by sex</t>
  </si>
  <si>
    <t>unsentenced share</t>
  </si>
  <si>
    <t>comparable with corresponding 1970 census figures</t>
  </si>
  <si>
    <t>about 30k larger than corresponding 1970 census total</t>
  </si>
  <si>
    <t>not clear why; shares used to estimate unsentenced</t>
  </si>
  <si>
    <t>est. unsentenced</t>
  </si>
  <si>
    <t>based on 1970 general census figures; jail census shares (see below)</t>
  </si>
  <si>
    <t>in jails:</t>
  </si>
  <si>
    <t>sentenced in jails, adj. to June</t>
  </si>
  <si>
    <t>sum of county and municipal jails and workhouses (inc. non-payment of fines)</t>
  </si>
  <si>
    <t>excluded from series total</t>
  </si>
  <si>
    <t>all non-juv. prisoners, adj. to June</t>
  </si>
  <si>
    <t>Id. p. 79, Table 60 (includes non-payment of fines, excludes insane and military prisons)</t>
  </si>
  <si>
    <t>generic jails, unsentenced</t>
  </si>
  <si>
    <t>generic jails, sentenced, ex. felons</t>
  </si>
  <si>
    <t>generic jails, total</t>
  </si>
  <si>
    <t>calculated from below</t>
  </si>
  <si>
    <t>Prisoners in the U.S., 1904-2010 (based on census data)</t>
  </si>
  <si>
    <t>adj. based on 1933 data; Census of 1910 enumerates for Jan. 1; seasonality relevant to jails, little seasonality in prison counts</t>
  </si>
  <si>
    <t>in custody</t>
  </si>
  <si>
    <t>Bureau of Justice Statistics</t>
  </si>
  <si>
    <t>Filename: p10t01.csv</t>
  </si>
  <si>
    <t>Table 1. Prisoners under the jurisdiction of state or federal correctional authorities, December 31, 2000–2010</t>
  </si>
  <si>
    <t>Report title: Prisoners in 2010 NCJ 236096</t>
  </si>
  <si>
    <t>Data source(s): National Prisoner Statistics Program</t>
  </si>
  <si>
    <t>Author(s): Paul Guerino, Paige M. Harrison, and William J. Sabol</t>
  </si>
  <si>
    <t xml:space="preserve">Refer questions to: askbjs@usdoj.gov or 202-307-0765 </t>
  </si>
  <si>
    <t>Date of version: 01/10/2012</t>
  </si>
  <si>
    <t>Federal/a</t>
  </si>
  <si>
    <t>Sentenced prisoners/b</t>
  </si>
  <si>
    <t>Imprisonment rate/c</t>
  </si>
  <si>
    <t>Percent change</t>
  </si>
  <si>
    <t>Average annual, 2000–2009</t>
  </si>
  <si>
    <t>%</t>
  </si>
  <si>
    <t>2009–2010</t>
  </si>
  <si>
    <t xml:space="preserve">Note: Jurisdiction refers to the legal authority of state or federal correctional officials over a prisoner regardless of where the prisoner is held. </t>
  </si>
  <si>
    <t xml:space="preserve">a/Includes inmates held in non-secure privately operated community corrections centers and juveniles held in contract facilities </t>
  </si>
  <si>
    <t>b/Counts based on prisoners with sentences of more than 1 year under the jurisdiction of state or federal correctional officials.</t>
  </si>
  <si>
    <t xml:space="preserve">c/Imprisonment rate is the number of prisoners under state or federal jurisdiction with a sentence of more than 1 year per 100,000 U.S. residents.  Resident population estimates are from the U.S. Census Bureau for January 1 of the following year. </t>
  </si>
  <si>
    <t>Source: BJS, National Prisoner Statistics Program.</t>
  </si>
  <si>
    <t>2004</t>
  </si>
  <si>
    <t>2005</t>
  </si>
  <si>
    <t>2006</t>
  </si>
  <si>
    <t>2007</t>
  </si>
  <si>
    <t>2008</t>
  </si>
  <si>
    <t>2009</t>
  </si>
  <si>
    <t>2010</t>
  </si>
  <si>
    <t>Sourcebook of Criminal Justice Statistics Online</t>
  </si>
  <si>
    <t>http://www.albany.edu/sourcebook/csv/t6282010.csv</t>
  </si>
  <si>
    <t>Table 6.28.2010</t>
  </si>
  <si>
    <t>Number and rate (per 100,000 resident population in each group) of sentenced prisoners</t>
  </si>
  <si>
    <t>under jurisdiction of State and Federal correctional authorities on December 31</t>
  </si>
  <si>
    <t>By sex, United States, 1925-2010</t>
  </si>
  <si>
    <t>(Rate per 100,000 resident population in each group)</t>
  </si>
  <si>
    <t>Rate</t>
  </si>
  <si>
    <t>Number</t>
  </si>
  <si>
    <t>\a\</t>
  </si>
  <si>
    <t>\b\</t>
  </si>
  <si>
    <t>\c\</t>
  </si>
  <si>
    <t xml:space="preserve">Note: Prison population data are compiled by a yearend census of prisoners in State </t>
  </si>
  <si>
    <t xml:space="preserve">and Federal institutions. Data for 1925 through 1939 include sentenced prisoners in </t>
  </si>
  <si>
    <t xml:space="preserve">State and Federal prisons and reformatories whether committed for felonies or </t>
  </si>
  <si>
    <t xml:space="preserve">misdemeanors. Data for 1940 through 1970 include all adult felons serving sentences </t>
  </si>
  <si>
    <t xml:space="preserve">in State and Federal institutions. Since 1971, the census has included all adults or </t>
  </si>
  <si>
    <t xml:space="preserve">youthful offenders sentenced to a State or Federal correctional institution with </t>
  </si>
  <si>
    <t>maximum sentences of over 1 year.</t>
  </si>
  <si>
    <t xml:space="preserve">     Beginning on Dec. 31, 1978, a distinction was made between prisoners "in </t>
  </si>
  <si>
    <t xml:space="preserve">custody" and prisoners "under jurisdiction." As defined in a 1978 report (U.S. </t>
  </si>
  <si>
    <t xml:space="preserve">Department of Justice, Bureau of Justice Statistics, Prisoners in State and </t>
  </si>
  <si>
    <t xml:space="preserve">Federal Institutions on December 31, 1978, NPS Bulletin SD-NPS-PSF-6 </t>
  </si>
  <si>
    <t xml:space="preserve">(Washington, DC: USGPO, 1980)), "in custody" refers to the direct physical control </t>
  </si>
  <si>
    <t xml:space="preserve">and responsibility for the body of a confined person. "Under jurisdiction" is defined </t>
  </si>
  <si>
    <t xml:space="preserve">as follows: A State or Federal prison system has jurisdiction over a person if it </t>
  </si>
  <si>
    <t xml:space="preserve">retains the legal power to incarcerate the person in one of its own prisons. </t>
  </si>
  <si>
    <t xml:space="preserve">Jurisdiction is not determined by the prisoner's physical location; jurisdiction is </t>
  </si>
  <si>
    <t xml:space="preserve">determined by the legal authority to hold the prisoner. Examples of prisoners under </t>
  </si>
  <si>
    <t xml:space="preserve">the jurisdiction of a given system, but not in its custody, are those housed in local </t>
  </si>
  <si>
    <t xml:space="preserve">jails, in other States, or in hospitals (including mental health facilities) outside the </t>
  </si>
  <si>
    <t xml:space="preserve">correctional system; prisoners on work release, furlough, or bail; and State </t>
  </si>
  <si>
    <t xml:space="preserve">prisoners held in Federal prisons or vice versa. Both custody and jurisdiction </t>
  </si>
  <si>
    <t xml:space="preserve">figures are shown for 1977 to facilitate year-to-year comparison. The rates for the </t>
  </si>
  <si>
    <t xml:space="preserve">period before 1980 are based on the civilian population. The civilian population </t>
  </si>
  <si>
    <t>represents the resident population less the armed forces stationed in the United States.</t>
  </si>
  <si>
    <t xml:space="preserve">Since 1980, the rates are based on the total resident population provided by the U.S. Census Bureau. </t>
  </si>
  <si>
    <t xml:space="preserve">Some data have been revised by the Source and may differ from previous editions of </t>
  </si>
  <si>
    <t xml:space="preserve">SOURCEBOOK. For information on methodology and definitions of terms, see </t>
  </si>
  <si>
    <t>Appendix 15.</t>
  </si>
  <si>
    <t>\a\Custody counts.</t>
  </si>
  <si>
    <t>\b\Jurisdiction counts.</t>
  </si>
  <si>
    <t xml:space="preserve">\c\Rates have been revised to be consistent with population estimates from the </t>
  </si>
  <si>
    <t>2000 decennial census.</t>
  </si>
  <si>
    <t>Source: U.S. Department of Justice, Bureau of Justice Statistics, Prisoners 1925-</t>
  </si>
  <si>
    <t xml:space="preserve">81, Bulletin NCJ-85861, p. 2; Prisoners in 1998, Bulletin NCJ 175687, p. 3, Table 3 </t>
  </si>
  <si>
    <t xml:space="preserve">and p. 5, Table 6; 2000, Bulletin NCJ 188207, p. 5, Table 6; 2001, Bulletin NCJ </t>
  </si>
  <si>
    <t>sentence status in 1970</t>
  </si>
  <si>
    <t>sentence status in jails in 1970</t>
  </si>
  <si>
    <t xml:space="preserve">195189, p. 5 and p. 6, Table 7; 2002, Bulletin NCJ 200248, p. 4 and p. 5, Table 5; </t>
  </si>
  <si>
    <t xml:space="preserve">2003, Bulletin NCJ 205335, p. 4; 2004, Bulletin NCJ 210677, p. 4; 2005, Bulletin </t>
  </si>
  <si>
    <t xml:space="preserve">NCJ 215092, p. 4; 2007, Bulletin NCJ 224280, p. 3, Table 5 and p. 4, Table 6; 2009, </t>
  </si>
  <si>
    <t xml:space="preserve">Bulletin NCJ 231675, pp. 2, 20, 22, 24; 2010, Bulletin NCJ 236096, p. 2, Table 1; </t>
  </si>
  <si>
    <t xml:space="preserve">pp. 18, 20, 22 (Washington, DC: U.S. Department of Justice); and U.S. Department </t>
  </si>
  <si>
    <t xml:space="preserve">of Justice, Bureau of Justice Statistics, Correctional Populations in the United </t>
  </si>
  <si>
    <t xml:space="preserve">States, 1994, NCJ-160091, Tables 1.8 and 1.9; 1997, NCJ 177613, Tables 1.8 and </t>
  </si>
  <si>
    <t>for prisoners by state &amp; sex, 2000</t>
  </si>
  <si>
    <t>prisoners-us-2000-by-state</t>
  </si>
  <si>
    <t>for prisoners by state &amp; sex, 2010</t>
  </si>
  <si>
    <t>criminal-justice-us-sex-2010</t>
  </si>
  <si>
    <t xml:space="preserve">1.9 (Washington, DC: U.S. Department of Justice). Table adapted by </t>
  </si>
  <si>
    <t>SOURCEBOOK staff.</t>
  </si>
  <si>
    <t>sentenced prisoners are prisoners sentenced to a maximim term of more than a year</t>
  </si>
  <si>
    <t>figures for 1978 and after are for prisoners under jurisdiction of federal or state authorities</t>
  </si>
  <si>
    <t>figures for 1977 and earlier are for prisoners in custody of federal or state authorities</t>
  </si>
  <si>
    <t>1977 c</t>
  </si>
  <si>
    <t>1977 j</t>
  </si>
  <si>
    <t>Prisoners in state nad federal institutions, with sentences 1 year or less, or unsentenced</t>
  </si>
  <si>
    <t>BJS Bulletin, State and Federal Prisoners, 1925-85, p. 3, Table 2</t>
  </si>
  <si>
    <t>Additional sources from NPS, prisoners in state and federal penal institutions</t>
  </si>
  <si>
    <t>Filename:  p9904.csv</t>
  </si>
  <si>
    <t>Table #: 4.  Change in the State and Federal prison populations, 1990-99</t>
  </si>
  <si>
    <t>Report title:  Prisoners in 1999 NCJ 183476</t>
  </si>
  <si>
    <t>Data source:  National Prisoner Statistics-1</t>
  </si>
  <si>
    <t>Refer questions to:  askbjs@ojp.usdoj.gov  202-307-0765</t>
  </si>
  <si>
    <t>Contact:  Allen Beck</t>
  </si>
  <si>
    <t>Date of version:  8/3/00</t>
  </si>
  <si>
    <t xml:space="preserve">Table 4.  Change in the State and Federal prison </t>
  </si>
  <si>
    <t>populations, 1990-99</t>
  </si>
  <si>
    <t>Annual increase in the</t>
  </si>
  <si>
    <t>Number of prisoners</t>
  </si>
  <si>
    <t>number of prisoners</t>
  </si>
  <si>
    <t>Percent</t>
  </si>
  <si>
    <t>at yearend</t>
  </si>
  <si>
    <t>Custody</t>
  </si>
  <si>
    <t>Jurisdiction</t>
  </si>
  <si>
    <t>change</t>
  </si>
  <si>
    <t>1993*</t>
  </si>
  <si>
    <t xml:space="preserve">Average annual </t>
  </si>
  <si>
    <t>1999 (comparable)</t>
  </si>
  <si>
    <t xml:space="preserve">increase, </t>
  </si>
  <si>
    <t>1999 (revised)</t>
  </si>
  <si>
    <t>1990-99</t>
  </si>
  <si>
    <t xml:space="preserve">Note:  In years in which States changed their </t>
  </si>
  <si>
    <t>reporting methods, counts based on compa-</t>
  </si>
  <si>
    <t xml:space="preserve">rable methods were used to calculate the </t>
  </si>
  <si>
    <t xml:space="preserve">annual increase and percent change.  The </t>
  </si>
  <si>
    <t>average annual increases were calculated</t>
  </si>
  <si>
    <t xml:space="preserve"> on the revised counts in 1999.  See Method-</t>
  </si>
  <si>
    <t>ology for changes by State.</t>
  </si>
  <si>
    <t xml:space="preserve">sentenced prisoners: from Sourcebook of Criminal Justice Statistics, Table 6.28.2010 </t>
  </si>
  <si>
    <t>all prisoners: 2000-10, BJS, Prisoners in 2010, Table 1 (as of Dec. 31), 1986-2000 Prisoners in {year} series, annual issues; 1974-84, State and Federal Prisoners, 1925-85, p. 3 Table 2</t>
  </si>
  <si>
    <t>Filename: p10at19.csv</t>
  </si>
  <si>
    <t>Appendix Table 19. State and federal prisoners in private facilities, December 31, 2000–2010</t>
  </si>
  <si>
    <t>Number of prisoners in private facilities</t>
  </si>
  <si>
    <t>Percent of all prisoners</t>
  </si>
  <si>
    <t>Average annual change, 2000–2009</t>
  </si>
  <si>
    <t>:</t>
  </si>
  <si>
    <t>Percent change, 2009–2010</t>
  </si>
  <si>
    <t xml:space="preserve">:Not calculated. </t>
  </si>
  <si>
    <t>Filename: p10at21.csv</t>
  </si>
  <si>
    <t xml:space="preserve">Appendix Table 21. State and federal prisoners in local jail facilities, December 31, 2000-2010 </t>
  </si>
  <si>
    <t>Number of prisoners in local facilities</t>
  </si>
  <si>
    <t>Average annual change, 2000-2009</t>
  </si>
  <si>
    <t>Percent change, 2009-2010</t>
  </si>
  <si>
    <t>: Not calculated.</t>
  </si>
  <si>
    <t>Filename: p05t01</t>
  </si>
  <si>
    <t>Table 1: Number of persons held in State or Federal prisons or in local jails, 1995-2005</t>
  </si>
  <si>
    <t>Report title:  Prisoners in 2005 NCJ 215092</t>
  </si>
  <si>
    <t>Data source:  National Prisoner Statistics, 1B</t>
  </si>
  <si>
    <t>Authors:  Paige M. Harrison and Allen J. Beck</t>
  </si>
  <si>
    <t>Refer questions to:  askbjs@usdoj.gov   202-307-0765</t>
  </si>
  <si>
    <t>Date of version:  11/29/06</t>
  </si>
  <si>
    <t>Table 1. Number of persons held in State or Federal prisons or in local jails, 1995-2005</t>
  </si>
  <si>
    <t>short-sentenced prisoners are prisoners sentenced to a maximim term of a year or less</t>
  </si>
  <si>
    <t>short / unsentenced share</t>
  </si>
  <si>
    <t>sort sentence / unsentenced prisoners</t>
  </si>
  <si>
    <t>prisoners</t>
  </si>
  <si>
    <t>Census-based estimates</t>
  </si>
  <si>
    <t>http://www.albany.edu/sourcebook/csv/t612010.csv</t>
  </si>
  <si>
    <t>Table 6.1.2010</t>
  </si>
  <si>
    <t>Adults on probation, in jail or prison, and on parole</t>
  </si>
  <si>
    <t>United States, 1980-2010</t>
  </si>
  <si>
    <t>estimated</t>
  </si>
  <si>
    <t>correctional</t>
  </si>
  <si>
    <t>populationa</t>
  </si>
  <si>
    <t>Jail</t>
  </si>
  <si>
    <t>3,296,513d</t>
  </si>
  <si>
    <t>3,670,441d</t>
  </si>
  <si>
    <t>3,779,922d</t>
  </si>
  <si>
    <t>2007\e\</t>
  </si>
  <si>
    <t>2008\e,f\</t>
  </si>
  <si>
    <t>Average annual</t>
  </si>
  <si>
    <t>percent change</t>
  </si>
  <si>
    <t>2000 to 2009</t>
  </si>
  <si>
    <t xml:space="preserve">Note: Counts for probation, prison, and parole populations are for December 31 of each </t>
  </si>
  <si>
    <t xml:space="preserve">year; jail population counts are for June 30 of each year. Counts of adults held in jail facilities </t>
  </si>
  <si>
    <t xml:space="preserve">for 1993 and 1994 were estimated and rounded to the nearest 100. Data for jail and prison </t>
  </si>
  <si>
    <t xml:space="preserve">are for inmates under custody and include those held in private facilities and may include a </t>
  </si>
  <si>
    <t xml:space="preserve">small number of juveniles in the six States that have combined jail-prison systems. Totals for </t>
  </si>
  <si>
    <t>1998-2004 exclude probationers held in jail or prison. Beginning in 2005, totals exclude pro</t>
  </si>
  <si>
    <t xml:space="preserve">bationers and parolees held in jail or prison. These data have been revised by the Source </t>
  </si>
  <si>
    <t xml:space="preserve">based on the most recently reported counts and may differ from previous editions of </t>
  </si>
  <si>
    <t>SOURCEBOOK. For information on methodology and explanatory notes, see Appendix 15.</t>
  </si>
  <si>
    <t xml:space="preserve">\a\Some offenders have multiple correctional statuses. Beginning in 2005, the data were </t>
  </si>
  <si>
    <t xml:space="preserve">adjusted to account for multiple statuses. For this reason and because the totals are </t>
  </si>
  <si>
    <t xml:space="preserve">rounded to the nearest 100, detail will not sum to total. </t>
  </si>
  <si>
    <t>\b\Estimated.</t>
  </si>
  <si>
    <t>\c\Includes an unknown number of persons supervised outside jail facilities.</t>
  </si>
  <si>
    <t xml:space="preserve">\d\Coverage of probation agencies was expanded. For counts based on the same reporting </t>
  </si>
  <si>
    <t xml:space="preserve">agencies, use 3,266,837 in 1997 (to compare with 1996); 3,417,613 in 1998 (to compare </t>
  </si>
  <si>
    <t>with 1997); and 3,772,773 in 1999 (to compare with 1998).</t>
  </si>
  <si>
    <t xml:space="preserve">\e\Includes population counts estimated by the Source because some States were unable to </t>
  </si>
  <si>
    <t>provide data.</t>
  </si>
  <si>
    <t xml:space="preserve">\f\Two jurisdictions changed their method of reporting probation data in 2008. The apparent </t>
  </si>
  <si>
    <t xml:space="preserve">decreases in the probation counts and total correctional population counts between 2007 </t>
  </si>
  <si>
    <t xml:space="preserve">and 2008 were due to these changes in scope and do not reflect actual declines in the </t>
  </si>
  <si>
    <t>populations.</t>
  </si>
  <si>
    <t xml:space="preserve">Source: U.S. Department of Justice, Bureau of Justice Statistics, Correctional Populations </t>
  </si>
  <si>
    <t xml:space="preserve">in the United States, 1994, NCJ-160091, Table 1.1; 1995, NCJ-163916, Table 1.1; 2009, </t>
  </si>
  <si>
    <t xml:space="preserve">Bulletin NCJ 231681, Table 1; 2010, Bulletin NCJ 236319, p. 3, Table 1 (Washington, DC: </t>
  </si>
  <si>
    <t xml:space="preserve">U.S. Department of Justice); U.S. Department of Justice, Bureau of Justice Statistics, </t>
  </si>
  <si>
    <t xml:space="preserve">Probation and Parole in 1999, Press Release NCJ 183508 (Washington, DC: U.S. </t>
  </si>
  <si>
    <t xml:space="preserve">Department of Justice, July 2000), p. 3, Table 1; U.S. Department of Justice, Bureau of </t>
  </si>
  <si>
    <t xml:space="preserve">Justice Statistics, Probation and Parole in the United States, 2002, Bulletin NCJ 201135, </t>
  </si>
  <si>
    <t xml:space="preserve">p. 1; 2004, Bulletin NCJ 210676, p. 1; 2008, Bulletin NCJ 228230, p. 3 (Washington, DC: </t>
  </si>
  <si>
    <t xml:space="preserve">U.S. Department of Justice); and data provided by the U.S. Department of Justice, Bureau of </t>
  </si>
  <si>
    <t>BJS total from 1983 (fed-state and jails)</t>
  </si>
  <si>
    <t>sum from sheets "fed-state from 1925" and "jails from 1983"</t>
  </si>
  <si>
    <t>Justice Statistics. Table adapted by SOURCEBOOK staff.</t>
  </si>
  <si>
    <t>see "fs sources" sheet</t>
  </si>
  <si>
    <t xml:space="preserve">sentenced, est. June </t>
  </si>
  <si>
    <t>short/unsentenced</t>
  </si>
  <si>
    <t>short/unsentenced parameters</t>
  </si>
  <si>
    <t>share</t>
  </si>
  <si>
    <t>prisoners in federal or state custody in 1970 (estimates)</t>
  </si>
  <si>
    <t>not clear why the revised figures differ so much from original figures</t>
  </si>
  <si>
    <t>Census of Jails</t>
  </si>
  <si>
    <t>Jail Inmates in 1982, Table 2</t>
  </si>
  <si>
    <t>geometric interpolation</t>
  </si>
  <si>
    <t>1978, 1983 data: BJS, The 1983 Jail Census, Table 4</t>
  </si>
  <si>
    <t>see "fed-state from 1925" and "fs sentenced" sheets</t>
  </si>
  <si>
    <t>est. as geometric mean of 1969 and 1970 year-end figures</t>
  </si>
  <si>
    <t>http://www.albany.edu/sourcebook/csv/t6142010.csv</t>
  </si>
  <si>
    <t>Table 6.14.2010</t>
  </si>
  <si>
    <t xml:space="preserve">Number and rate (per 100,000 U.S. residents) of jail inmates, average daily population, </t>
  </si>
  <si>
    <t>rated capacity, and percent of capacity occupied</t>
  </si>
  <si>
    <t>By legal status and sex, United States, 1983-2010</t>
  </si>
  <si>
    <t>Percent of</t>
  </si>
  <si>
    <t>1-day counts\a\</t>
  </si>
  <si>
    <t>Average</t>
  </si>
  <si>
    <t>Rated</t>
  </si>
  <si>
    <t>rated</t>
  </si>
  <si>
    <t>Adults</t>
  </si>
  <si>
    <t>Incarceration</t>
  </si>
  <si>
    <t>daily</t>
  </si>
  <si>
    <t>capacity</t>
  </si>
  <si>
    <t>All inmates</t>
  </si>
  <si>
    <t>Juvenile\b\</t>
  </si>
  <si>
    <t>rate\c\</t>
  </si>
  <si>
    <t>population\d\</t>
  </si>
  <si>
    <t>of jails\e\</t>
  </si>
  <si>
    <t>occupied\f\</t>
  </si>
  <si>
    <t>NA</t>
  </si>
  <si>
    <t>\g\</t>
  </si>
  <si>
    <t>Note: Data for 1983, 1988, 1993, 1999, and 2005 are from the</t>
  </si>
  <si>
    <t>National Jail Census. Data for 1984-87, 1989-92, 1994-98, 2000-</t>
  </si>
  <si>
    <t xml:space="preserve">2004, and 2006-2010 are from the Annual Survey of Jails taken </t>
  </si>
  <si>
    <t xml:space="preserve">during noncensus years. Both the censuses and the surveys are </t>
  </si>
  <si>
    <t xml:space="preserve">conducted for the U.S. Department of Justice, Bureau of Justice </t>
  </si>
  <si>
    <t xml:space="preserve">Statistics by the U.S. Census Bureau. These data reflect inmates </t>
  </si>
  <si>
    <t xml:space="preserve">held in jail facilities on a single day at midyear, usually June 30 or </t>
  </si>
  <si>
    <t xml:space="preserve">the last business day in June. The data from the annual surveys </t>
  </si>
  <si>
    <t>are estimates and therefore are subject to sampling variation.</t>
  </si>
  <si>
    <t xml:space="preserve">    A jail is defined as a locally administered confinement facility </t>
  </si>
  <si>
    <t xml:space="preserve">that holds inmates beyond arraignment, usually for more than 48 </t>
  </si>
  <si>
    <t>hours, and is administered and staffed by municipal or county em-</t>
  </si>
  <si>
    <t xml:space="preserve">ployees. Excluded from the censuses and surveys were temporary </t>
  </si>
  <si>
    <t>holding facilities, such as physically separate drunk tanks and po-</t>
  </si>
  <si>
    <t xml:space="preserve">lice lockups, and other holding facilities that did not hold persons </t>
  </si>
  <si>
    <t xml:space="preserve">after they were formally charged in court. Also excluded for all </t>
  </si>
  <si>
    <t xml:space="preserve">years were Connecticut, Delaware, Hawaii, Rhode Island, and </t>
  </si>
  <si>
    <t xml:space="preserve">Vermont because these States have integrated jail-prison systems. </t>
  </si>
  <si>
    <t>Alaska also was excluded as an integrated system; however, be-</t>
  </si>
  <si>
    <t>ginning in 1988, locally operated jails in Alaska are included.</t>
  </si>
  <si>
    <t xml:space="preserve">     Some data have been revised by the Source and may differ </t>
  </si>
  <si>
    <t xml:space="preserve">from previous editions of SOURCEBOOK. For methodology and </t>
  </si>
  <si>
    <t>survey sampling procedures, see Appendix 4.</t>
  </si>
  <si>
    <t xml:space="preserve">\a\Data for years prior to 1994 include an unknown number of </t>
  </si>
  <si>
    <t>persons who were under jail supervision but not confined. Be-</t>
  </si>
  <si>
    <t xml:space="preserve">ginning in 1994, data are based on the number of inmates held </t>
  </si>
  <si>
    <t>in jail facilities.</t>
  </si>
  <si>
    <t xml:space="preserve">\b\Juveniles are persons defined by State statute as being under </t>
  </si>
  <si>
    <t xml:space="preserve">a certain age, usually 18, and subject initially to juvenile court </t>
  </si>
  <si>
    <t xml:space="preserve">authority even if tried as adults in criminal court. In 1994, the </t>
  </si>
  <si>
    <t xml:space="preserve">definition was changed to include all persons under age 18 on </t>
  </si>
  <si>
    <t>the reference date.</t>
  </si>
  <si>
    <t xml:space="preserve">\c\Number of jail inmates per 100,000 U.S. residents on July 1 of </t>
  </si>
  <si>
    <t>each year.</t>
  </si>
  <si>
    <t>\d\The average daily population is the sum of the number of in-</t>
  </si>
  <si>
    <t xml:space="preserve">mates in jail each day for a year, divided by the number of days in </t>
  </si>
  <si>
    <t>the year.</t>
  </si>
  <si>
    <t xml:space="preserve">\e\Rated capacity is the number of beds or inmates assigned by a </t>
  </si>
  <si>
    <t>rating official to facilities within each jurisdiction.</t>
  </si>
  <si>
    <t xml:space="preserve">\f\The number of inmates divided by rated capacity multiplied by 100. </t>
  </si>
  <si>
    <t xml:space="preserve">Prior to 1994, this ratio may include some inmates not in physical </t>
  </si>
  <si>
    <t xml:space="preserve">custody, but under the jurisdiction of a local jail, such as inmates on </t>
  </si>
  <si>
    <t>electronic monitoring, under house arrest, or in day reporting or oth-</t>
  </si>
  <si>
    <t>er community supervision programs. Beginning in 1994, the ratio in</t>
  </si>
  <si>
    <t>cludes only those held in jail.</t>
  </si>
  <si>
    <t xml:space="preserve">\g\Detailed data for 1-day counts are estimated and rounded to the </t>
  </si>
  <si>
    <t>nearest 100.</t>
  </si>
  <si>
    <t xml:space="preserve">Source: U.S. Department of Justice, Bureau of Justice Statistics, Jail </t>
  </si>
  <si>
    <t xml:space="preserve">Inmates, 1985, NCJ-105586 (Washington, DC: USGPO, 1987), p. 5, </t>
  </si>
  <si>
    <t xml:space="preserve">Table 1 and p. 7, Table 5; U.S. Department of Justice, Bureau of </t>
  </si>
  <si>
    <t>Justice Statistics, Jail Inmates 1987, Bulletin NCJ-114319, p. 2, Ta-</t>
  </si>
  <si>
    <t xml:space="preserve">ble 1 and p. 3, Table 5; 1990, Bulletin NCJ-129756, p. 1, Table 1 </t>
  </si>
  <si>
    <t xml:space="preserve">and p. 2, Table 5; 1991, Bulletin NCJ-134726, p. 2, Table 1 and p. 3, </t>
  </si>
  <si>
    <t xml:space="preserve">Table 5; 1992, Bulletin NCJ-143284, p. 2, Table 1 and p. 3, Table 6; </t>
  </si>
  <si>
    <t xml:space="preserve">Jails and Jail Inmates 1993-94, Bulletin NCJ-151651, p. 3 and p. 6, </t>
  </si>
  <si>
    <t>Table 7; Prison and Jail Inmates at Midyear 1997, Bulletin NCJ-</t>
  </si>
  <si>
    <t xml:space="preserve">167247, p. 6, Table 6 and p. 7, Table 8; 1998, Bulletin NCJ 173414, </t>
  </si>
  <si>
    <t>p. 6, Table 6 and p. 7, Table 8; 1999, Bulletin NCJ 181643, p. 6, Ta-</t>
  </si>
  <si>
    <t xml:space="preserve">ble 6 and p. 7, Table 9; 2002, Bulletin NCJ 198877, p. 8, Table 9 and </t>
  </si>
  <si>
    <t xml:space="preserve">p. 9; 2003, Bulletin NCJ 203947, p. 8, Table 9 and p. 9; Jail Inmates </t>
  </si>
  <si>
    <t xml:space="preserve">at Midyear 2007, Bulletin NCJ 221945, p. 9, Appendix table 3 and p. </t>
  </si>
  <si>
    <t>10, Appendix table 4; Jail Inmates at Midyear 2010-Statistical Ta-</t>
  </si>
  <si>
    <t xml:space="preserve">bles, NCJ 233431, pp. 5, 7 (Washington, DC: U.S. Department of </t>
  </si>
  <si>
    <t>Justice). Table adapted by SOURCEBOOK staff.</t>
  </si>
  <si>
    <t>filename: corpop09.csv</t>
  </si>
  <si>
    <t>title:  Jail inmates, by sex, held in local jails</t>
  </si>
  <si>
    <t>data source: BJS, CJ-3 data series</t>
  </si>
  <si>
    <t>author:  George Hill</t>
  </si>
  <si>
    <t>refer questions to: askbjs@ojp.usdoj.gov      (202)307-0765</t>
  </si>
  <si>
    <t>coordinator:   Tracy Snell</t>
  </si>
  <si>
    <t>date of version:  02/28/97</t>
  </si>
  <si>
    <t>The numbers presented in this spreadsheet may have been revised from those previously</t>
  </si>
  <si>
    <t>published and, therefore, may vary from numbers available from other sources.</t>
  </si>
  <si>
    <t>Jail inmates, by sex, held in local jails</t>
  </si>
  <si>
    <t>All inmates, 1993</t>
  </si>
  <si>
    <t>All inmates, 1988</t>
  </si>
  <si>
    <t>All inmates, 1983</t>
  </si>
  <si>
    <t>All inmates, 1978</t>
  </si>
  <si>
    <t>United States</t>
  </si>
  <si>
    <t xml:space="preserve">  Northeast</t>
  </si>
  <si>
    <t xml:space="preserve">    Maine</t>
  </si>
  <si>
    <t xml:space="preserve">    Massachusetts</t>
  </si>
  <si>
    <t xml:space="preserve">    New Hampshire</t>
  </si>
  <si>
    <t xml:space="preserve">    New Jersey</t>
  </si>
  <si>
    <t xml:space="preserve">    New York</t>
  </si>
  <si>
    <t xml:space="preserve">    Pennsylvania</t>
  </si>
  <si>
    <t xml:space="preserve">  Midwest</t>
  </si>
  <si>
    <t xml:space="preserve">    Illinois</t>
  </si>
  <si>
    <t xml:space="preserve">    Indiana</t>
  </si>
  <si>
    <t xml:space="preserve">    Iowa</t>
  </si>
  <si>
    <t xml:space="preserve">    Kansas</t>
  </si>
  <si>
    <t xml:space="preserve">    Michigan</t>
  </si>
  <si>
    <t xml:space="preserve">    Minnesota</t>
  </si>
  <si>
    <t xml:space="preserve">    Missouri</t>
  </si>
  <si>
    <t xml:space="preserve">    North Dakota</t>
  </si>
  <si>
    <t xml:space="preserve">    Nebraska</t>
  </si>
  <si>
    <t xml:space="preserve">    Ohio</t>
  </si>
  <si>
    <t xml:space="preserve">    South Dakota</t>
  </si>
  <si>
    <t xml:space="preserve">    Wisconsin</t>
  </si>
  <si>
    <t xml:space="preserve">  South</t>
  </si>
  <si>
    <t xml:space="preserve">    Alabama</t>
  </si>
  <si>
    <t xml:space="preserve">    Arkansas</t>
  </si>
  <si>
    <t xml:space="preserve">    District of Columbia</t>
  </si>
  <si>
    <t xml:space="preserve">    Florida</t>
  </si>
  <si>
    <t xml:space="preserve">    Georgia</t>
  </si>
  <si>
    <t xml:space="preserve">    Kentucky</t>
  </si>
  <si>
    <t xml:space="preserve">    Louisiana</t>
  </si>
  <si>
    <t xml:space="preserve">    Maryland</t>
  </si>
  <si>
    <t xml:space="preserve">    Mississippi</t>
  </si>
  <si>
    <t xml:space="preserve">    North Carolina</t>
  </si>
  <si>
    <t xml:space="preserve">    Oklahoma</t>
  </si>
  <si>
    <t xml:space="preserve">    South Carolina</t>
  </si>
  <si>
    <t xml:space="preserve">    Tennessee</t>
  </si>
  <si>
    <t xml:space="preserve">    Texas</t>
  </si>
  <si>
    <t xml:space="preserve">    Virginia</t>
  </si>
  <si>
    <t xml:space="preserve">    West Virginia</t>
  </si>
  <si>
    <t xml:space="preserve">  West</t>
  </si>
  <si>
    <t xml:space="preserve">    Alaska</t>
  </si>
  <si>
    <t xml:space="preserve">    Arizona</t>
  </si>
  <si>
    <t xml:space="preserve">    California</t>
  </si>
  <si>
    <t xml:space="preserve">    Colorado</t>
  </si>
  <si>
    <t xml:space="preserve">    Idaho</t>
  </si>
  <si>
    <t xml:space="preserve">    Montana</t>
  </si>
  <si>
    <t xml:space="preserve">    Nevada</t>
  </si>
  <si>
    <t xml:space="preserve">    New Mexico</t>
  </si>
  <si>
    <t xml:space="preserve">    Oregon</t>
  </si>
  <si>
    <t xml:space="preserve">    Utah</t>
  </si>
  <si>
    <t xml:space="preserve">    Washington</t>
  </si>
  <si>
    <t xml:space="preserve">    Wyoming</t>
  </si>
  <si>
    <t xml:space="preserve">Note:  Jail population counts for 1993, 1988, and 1983 are </t>
  </si>
  <si>
    <t>for June 30.  Data for 1978 are for February 15.</t>
  </si>
  <si>
    <t>Definitions of terms and notes pertaining to individual</t>
  </si>
  <si>
    <t>jurisdictions can be found in "Correctional Populations in</t>
  </si>
  <si>
    <t xml:space="preserve"> the United States."  The most recent of these publications</t>
  </si>
  <si>
    <t>presents data for the reference year 1994 (NCJ-160091).</t>
  </si>
  <si>
    <t>Census of Local Jails 1988, Table 4 (all -- adults and juveniles)</t>
  </si>
  <si>
    <t>Correctional Populations in the US, see jail sources</t>
  </si>
  <si>
    <t>est. 1990</t>
  </si>
  <si>
    <t>Filename: jim10stt06.csv</t>
  </si>
  <si>
    <t>Table 6: Number of inmates in local jails, by characteristic, midyear 2000 and 2005–2010</t>
  </si>
  <si>
    <t>Report title: Jail Inmates at Midyear 2010-Statistical Tables NCJ 233431</t>
  </si>
  <si>
    <t>Data source: Annual Survey of Jails</t>
  </si>
  <si>
    <t>Author: Todd D. Minton</t>
  </si>
  <si>
    <t>Refer questions to: askbjs@usdoj.gov   202-307-0765</t>
  </si>
  <si>
    <t>Date of version: July 11, 2011</t>
  </si>
  <si>
    <t>Table 6. Number of inmates in local jails, by characteristic, midyear 2000 and 2005–2010</t>
  </si>
  <si>
    <t>Characteristic</t>
  </si>
  <si>
    <t>2008/a</t>
  </si>
  <si>
    <t>2009/a</t>
  </si>
  <si>
    <t>Sex</t>
  </si>
  <si>
    <t>Juveniles/b</t>
  </si>
  <si>
    <t>Held as adults/c</t>
  </si>
  <si>
    <t>Held as juveniles</t>
  </si>
  <si>
    <t>Race/Hispanic origin/d</t>
  </si>
  <si>
    <t>White/e</t>
  </si>
  <si>
    <t>Black/African American/e</t>
  </si>
  <si>
    <t>Hispanic/Latino</t>
  </si>
  <si>
    <t>Other/e,f</t>
  </si>
  <si>
    <t>Two or more races/e</t>
  </si>
  <si>
    <t>...</t>
  </si>
  <si>
    <t>Note: Detail may not sum to total due to rounding.</t>
  </si>
  <si>
    <t>...Not collected.</t>
  </si>
  <si>
    <t>a/Based on revised data from selected jail jurisdictions for the number of inmates confined at midyear 2008 and 2009. See Methodology for a description of revised data.</t>
  </si>
  <si>
    <t>b/Juveniles are persons under the age of 18 at midyear.</t>
  </si>
  <si>
    <t>c/Includes juveniles who were tried or awaiting trial as adults.</t>
  </si>
  <si>
    <t>d/Estimates are based on reported data adjusted for nonresponse.</t>
  </si>
  <si>
    <t>e/Excludes persons of Hispanic or Latino origin.</t>
  </si>
  <si>
    <t>f/Includes American Indians, Alaska Natives, Asians, Native Hawaiians, and other Pacific Islanders.</t>
  </si>
  <si>
    <t>from BJS, Prisoners, annual</t>
  </si>
  <si>
    <t>Prisoners in State or Federal facilities</t>
  </si>
  <si>
    <t>BJS prisoner reporting</t>
  </si>
  <si>
    <t>Censuses</t>
  </si>
  <si>
    <t>1970: in custody figures</t>
  </si>
  <si>
    <t>subsequent: jurisdictional figures, adj. to exclude held in local jails</t>
  </si>
  <si>
    <t>Prisoners under State or Federal jurisdiction</t>
  </si>
  <si>
    <t>in local jails under state or federal jurisdiction</t>
  </si>
  <si>
    <t>estimates based on BJS prisoner reporting</t>
  </si>
  <si>
    <t>total BJS</t>
  </si>
  <si>
    <t>see "jail sources" for 2000-2010 figures</t>
  </si>
  <si>
    <t>from "1970-1980" sheet</t>
  </si>
  <si>
    <t>U.S. Prisoner totals, 1970-2010: comparison of alternate figures</t>
  </si>
  <si>
    <t>in local jails under state or fed jurisdiction separated by sex using overall fed-state sex ratio</t>
  </si>
  <si>
    <t>Source tables for statistics on prisoners in jails from 1980</t>
  </si>
  <si>
    <t>Census-based</t>
  </si>
  <si>
    <t>BJS reports</t>
  </si>
  <si>
    <t>Sourcebook</t>
  </si>
  <si>
    <t>Sourcebook of Criminal Justice Statistics provides alternate estimates based on BJS reports</t>
  </si>
  <si>
    <t>Total prisoners, comparative estimates</t>
  </si>
  <si>
    <t>see other sheets for sources and estimates</t>
  </si>
  <si>
    <t xml:space="preserve">      Prisoners in custody on December 31</t>
  </si>
  <si>
    <t>Total inmates in custody/a</t>
  </si>
  <si>
    <t>Inmates held in local jails</t>
  </si>
  <si>
    <t>Incarceration rate/b</t>
  </si>
  <si>
    <t>Percent change, 12/31/04-12/31/05</t>
  </si>
  <si>
    <t>Average annual increase, 12/31/95 - 12/31/05</t>
  </si>
  <si>
    <t xml:space="preserve">Note: Counts include all inmates held in public and private adult correctional facilities. </t>
  </si>
  <si>
    <t>a/Total counts include Federal inmates in non-secure privately operated facilities (7,144 in 2005, 7,065 in 2004, 6,471 in 2003, 6,598 in 2002, 6,515 in 2001, and 6,143 in 2000).</t>
  </si>
  <si>
    <t xml:space="preserve">b/Number of prison and jail inmates per 100,000 U.S. residents at yearend. </t>
  </si>
  <si>
    <t>Filename: p05t02</t>
  </si>
  <si>
    <t>Table 2: Change in the State or Federal prison populations, 1995-2005</t>
  </si>
  <si>
    <t>Table 2.  Change in State and Federal prison populations, 1995-2005</t>
  </si>
  <si>
    <t>Percent change*</t>
  </si>
  <si>
    <t>Average annual increase, 1995-2004</t>
  </si>
  <si>
    <t xml:space="preserve">Note: Counts based on comparable methods were used to calculate the annual increase and percent change. </t>
  </si>
  <si>
    <t xml:space="preserve">*Percent change in total number of prisoners under State and Federal jurisdiction. </t>
  </si>
  <si>
    <t>Filename:  p0002.csv</t>
  </si>
  <si>
    <t>Table #2: Change in the State and Federal prison populations, 1990-2000</t>
  </si>
  <si>
    <t>Report title:  Prisoners in 2000 NCJ 188207</t>
  </si>
  <si>
    <t>Contact:  Allen Beck or Paige Harrison</t>
  </si>
  <si>
    <t>Date of version:  8/8/01</t>
  </si>
  <si>
    <t>Table 2.  Change in the State and Federal prison populations, 1990-2000</t>
  </si>
  <si>
    <t>1990-2000</t>
  </si>
  <si>
    <t>annual increase and percent change. See</t>
  </si>
  <si>
    <t xml:space="preserve">Methodology for changes by State. </t>
  </si>
  <si>
    <t>{these figures used to calculate increase}</t>
  </si>
  <si>
    <t>in private facilities</t>
  </si>
  <si>
    <t>in local facilities</t>
  </si>
  <si>
    <t>in federal facilities</t>
  </si>
  <si>
    <t>Prisoners under federal jurisdiction</t>
  </si>
  <si>
    <t>Prisoners under state jurisdiction</t>
  </si>
  <si>
    <t>in state facilities</t>
  </si>
  <si>
    <t>in state and private</t>
  </si>
  <si>
    <t>in fed and private</t>
  </si>
  <si>
    <t>alternate figure</t>
  </si>
  <si>
    <t>fed non-secure private</t>
  </si>
  <si>
    <t>Filename:  p0001.csv</t>
  </si>
  <si>
    <t>Table #1:  Number of persons held in State or Federal prisons or in local jails, 1990-2000</t>
  </si>
  <si>
    <t>Table 1.  Number of persons held in State or Federal prisons or in local jails, 1990-2000</t>
  </si>
  <si>
    <t>Prisoners in custody on</t>
  </si>
  <si>
    <t>(series subsequently eliminated</t>
  </si>
  <si>
    <t>in other</t>
  </si>
  <si>
    <t>Prisoners in 2000, Table 3; Prisoners in 1999, Table 10</t>
  </si>
  <si>
    <t>in private facilities in 1999: Prisoners in 1999, Table 10 (probably doesn't include private community supervision facilities)</t>
  </si>
  <si>
    <t>1999 total under jurisdictions: Prisoners in 2000, Table 3</t>
  </si>
  <si>
    <t>in other state and local</t>
  </si>
  <si>
    <t>alt. figure from in custody stats, Prisoners in 2005</t>
  </si>
  <si>
    <t>total revised</t>
  </si>
  <si>
    <t>and subsequent issues in series</t>
  </si>
  <si>
    <t>sentenced is prisoners is a maximum sentence of more than a year (excludes less than a year and unsentenced)</t>
  </si>
  <si>
    <t>http://www.albany.edu/sourcebook/csv/t657.csv</t>
  </si>
  <si>
    <t>Table 6.57</t>
  </si>
  <si>
    <t>Federal prison population, and number and percent sentenced for drug offenses</t>
  </si>
  <si>
    <t>United States, 1970-2004</t>
  </si>
  <si>
    <t>Total sen-</t>
  </si>
  <si>
    <t>Sentenced population</t>
  </si>
  <si>
    <t xml:space="preserve">tenced and </t>
  </si>
  <si>
    <t xml:space="preserve">        Drug offenses</t>
  </si>
  <si>
    <t xml:space="preserve"> population</t>
  </si>
  <si>
    <t xml:space="preserve"> of total</t>
  </si>
  <si>
    <t xml:space="preserve">Note: These data represent prisoners housed in Federal Bureau of Prisons facilities; prisoners </t>
  </si>
  <si>
    <t xml:space="preserve">housed in contract facilities are not included. Data for 1970-76 are for June 30; beginning in </t>
  </si>
  <si>
    <t xml:space="preserve">1977, data are for September 30. Some data have been revised by the Source and may differ </t>
  </si>
  <si>
    <t>from previous editions of SOURCEBOOK.</t>
  </si>
  <si>
    <t>Adult prisoners in U.S. jails, by sex, from 1983</t>
  </si>
  <si>
    <t>see "jail sources from 1980" sheet</t>
  </si>
  <si>
    <t>\a\As of November 2004.</t>
  </si>
  <si>
    <t>of Justice, Federal Bureau of Prisons.</t>
  </si>
  <si>
    <t>sentenced population total is for prisoners sentenced to a maximum of more than a year</t>
  </si>
  <si>
    <t>Prisoners in 1993, Table 2</t>
  </si>
  <si>
    <t>reports prisoners in custody</t>
  </si>
  <si>
    <t xml:space="preserve">under custody (1) of fed and state </t>
  </si>
  <si>
    <t>under custody (2) of fed and state</t>
  </si>
  <si>
    <t>Federal and state prisoners</t>
  </si>
  <si>
    <t>Custody status and location of prisoners under federal and state jurisdiction</t>
  </si>
  <si>
    <t>Federal and state prisoners, 1925 to 2010</t>
  </si>
  <si>
    <t>(change from custody to jurisdiction reporting after 1977)</t>
  </si>
  <si>
    <t>Prisoners in custody of the Federal Bureau of Prisons</t>
  </si>
  <si>
    <t>unsentenced does not include prisoners sentenced to a maximum of less than a year</t>
  </si>
  <si>
    <t>Prisoners in custody of state prisons</t>
  </si>
  <si>
    <t>sentenced is all sentenced, even sentences under 1 year</t>
  </si>
  <si>
    <t>Federal and state prisoners by sentencing status, 1974-2010</t>
  </si>
  <si>
    <t>for sources see "fed-state from 1925" sheet</t>
  </si>
  <si>
    <t>median sex ratio, 1974 to 2010</t>
  </si>
  <si>
    <t>Inmates in</t>
  </si>
  <si>
    <t>U.S. resident</t>
  </si>
  <si>
    <t xml:space="preserve">Total inmates </t>
  </si>
  <si>
    <t>local jails</t>
  </si>
  <si>
    <t xml:space="preserve">Incarceration  </t>
  </si>
  <si>
    <t>population</t>
  </si>
  <si>
    <t>on June 30</t>
  </si>
  <si>
    <t>rate /a</t>
  </si>
  <si>
    <t>1999/b</t>
  </si>
  <si>
    <t xml:space="preserve">Percent change </t>
  </si>
  <si>
    <t>1999-2000</t>
  </si>
  <si>
    <t>Annual average increase</t>
  </si>
  <si>
    <t xml:space="preserve"> 1990-2000</t>
  </si>
  <si>
    <t xml:space="preserve">Note:  Counts include all inmates held in public and private adult correctional facilities. </t>
  </si>
  <si>
    <t xml:space="preserve">Jail counts for 1995-2000 exclude persons supervised outside a jail facility. </t>
  </si>
  <si>
    <t>a/Number of prison and jail inmates per 100,000 U.S. residents at yearend.</t>
  </si>
  <si>
    <t xml:space="preserve">b/In 1999, 15 States expanded their reporting criteria to include inmates held in privately </t>
  </si>
  <si>
    <t xml:space="preserve">operated correctional facilities.  For comparisons with previous years, the State count </t>
  </si>
  <si>
    <t>1,137,544 and the total count 1,869,169 should be used.</t>
  </si>
  <si>
    <t>under jurisdiction (1)</t>
  </si>
  <si>
    <t>"under custody (1)" includes prisoners in privately operated penal facilities</t>
  </si>
  <si>
    <t>under jurisdiction (2)</t>
  </si>
  <si>
    <t>custody share</t>
  </si>
  <si>
    <t>federal, sentenced</t>
  </si>
  <si>
    <t>federal, other</t>
  </si>
  <si>
    <t>state, sentenced</t>
  </si>
  <si>
    <t>state, other</t>
  </si>
  <si>
    <t>federal sentenced figure is total, rather than just sentenced; female count includes some DC prisoners with sentences of more than 1 year</t>
  </si>
  <si>
    <t>NPS Bulletin, No. SD-NPS-PSF-2,Prisoners in State and Federal Institutions on December 31, 1974</t>
  </si>
  <si>
    <t>under jurisdiction</t>
  </si>
  <si>
    <t>males and females</t>
  </si>
  <si>
    <t>1981 data missing from series publication</t>
  </si>
  <si>
    <t>{verified that original figures as reported}</t>
  </si>
  <si>
    <t>Prisoners housed in local jails because of overcrowding in state facilities, yearend</t>
  </si>
  <si>
    <t>(from prisoners annual series)</t>
  </si>
  <si>
    <t>inserted from Prisoners in 1999, Table 10</t>
  </si>
  <si>
    <t>inmates "in other state or federal facilities"; includes interstate compact cases, state inmates held in another states' facilities, etc.</t>
  </si>
  <si>
    <t>female</t>
  </si>
  <si>
    <t>males</t>
  </si>
  <si>
    <t>females</t>
  </si>
  <si>
    <t>state, fed short sentence and unsentenced</t>
  </si>
  <si>
    <t>local jail or workhouse</t>
  </si>
  <si>
    <t>all</t>
  </si>
  <si>
    <t>total</t>
  </si>
  <si>
    <t>reformatories for juveniles</t>
  </si>
  <si>
    <t>reformatories for adults or for adults and juveniles</t>
  </si>
  <si>
    <t>Massachusetts</t>
  </si>
  <si>
    <t>male</t>
  </si>
  <si>
    <t>state</t>
  </si>
  <si>
    <t>county</t>
  </si>
  <si>
    <t>city</t>
  </si>
  <si>
    <t>chain or road gangs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</si>
  <si>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</si>
  <si>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</si>
  <si>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</si>
  <si>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</si>
  <si>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</si>
  <si>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</si>
  <si>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</si>
  <si>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</si>
  <si>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</si>
  <si>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</si>
  <si>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</si>
  <si>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</si>
  <si>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</si>
  <si>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</si>
  <si>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</si>
  <si>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</si>
  <si>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</si>
  <si>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</si>
  <si>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</si>
  <si>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</si>
  <si>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</si>
  <si>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</si>
  <si>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</si>
  <si>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</si>
  <si>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</si>
  <si>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</si>
  <si>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</si>
  <si>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</si>
  <si>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</si>
  <si>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</si>
  <si>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</si>
  <si>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</si>
  <si>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</si>
  <si>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</si>
  <si>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</si>
  <si>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</si>
  <si>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</si>
  <si>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</si>
  <si>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</si>
  <si>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</si>
  <si>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</si>
  <si>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</si>
  <si>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</si>
  <si>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</si>
  <si>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</si>
  <si>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</si>
  <si>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</si>
  <si>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</si>
  <si>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</si>
  <si>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</si>
  <si>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</si>
  <si>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</si>
  <si>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</si>
  <si>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</si>
  <si>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</si>
  <si>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</si>
  <si>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</si>
  <si>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</si>
  <si>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</si>
  <si>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</si>
  <si>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</si>
  <si>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</si>
  <si>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</si>
  <si>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</si>
  <si>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</si>
  <si>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</si>
  <si>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</si>
  <si>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</si>
  <si>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</si>
  <si>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</si>
  <si>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</si>
  <si>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</si>
  <si>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</si>
  <si>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</si>
  <si>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</si>
  <si>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</si>
  <si>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</si>
  <si>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</si>
  <si>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</si>
  <si>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other institutions</t>
  </si>
  <si>
    <t>sen.pris. &amp; juvenile delinquents</t>
  </si>
  <si>
    <t>all sentenced for crime, ex. fine nonpayment, mil, and insane</t>
  </si>
  <si>
    <t>age 14</t>
  </si>
  <si>
    <t>commitments</t>
  </si>
  <si>
    <t>ages 18-65</t>
  </si>
  <si>
    <t>ages 65 and over</t>
  </si>
  <si>
    <t>sentenced</t>
  </si>
  <si>
    <t>federal</t>
  </si>
  <si>
    <t>Year</t>
  </si>
  <si>
    <t>Males</t>
  </si>
  <si>
    <t>Females</t>
  </si>
  <si>
    <t>Total</t>
  </si>
  <si>
    <t>lid</t>
  </si>
  <si>
    <t>Maine</t>
  </si>
  <si>
    <t>New Hampshire</t>
  </si>
  <si>
    <t>Vermont</t>
  </si>
  <si>
    <t>Rhode Island</t>
  </si>
  <si>
    <t>Connecticut</t>
  </si>
  <si>
    <t>New York</t>
  </si>
  <si>
    <t>New Jersey</t>
  </si>
  <si>
    <t>Pennsylvania</t>
  </si>
  <si>
    <t>Ohio</t>
  </si>
  <si>
    <t>Indiana</t>
  </si>
  <si>
    <t>Illinois</t>
  </si>
  <si>
    <t>Michigan</t>
  </si>
  <si>
    <t>Wisconsin</t>
  </si>
  <si>
    <t>Minnesota</t>
  </si>
  <si>
    <t>Iowa</t>
  </si>
  <si>
    <t>Missouri</t>
  </si>
  <si>
    <t>North Dakota</t>
  </si>
  <si>
    <t>South Dakota</t>
  </si>
  <si>
    <t>Nebraska</t>
  </si>
  <si>
    <t>Kansas</t>
  </si>
  <si>
    <t>Delaware</t>
  </si>
  <si>
    <t>Maryland</t>
  </si>
  <si>
    <t>Virginia</t>
  </si>
  <si>
    <t>West Virginia</t>
  </si>
  <si>
    <t>North Carolina</t>
  </si>
  <si>
    <t>South Carolina</t>
  </si>
  <si>
    <t>Georgia</t>
  </si>
  <si>
    <t>Florida</t>
  </si>
  <si>
    <t>Kentucky</t>
  </si>
  <si>
    <t>Tennessee</t>
  </si>
  <si>
    <t>Alabama</t>
  </si>
  <si>
    <t>Mississippi</t>
  </si>
  <si>
    <t>Arkansas</t>
  </si>
  <si>
    <t>Louisiana</t>
  </si>
  <si>
    <t>Oklahoma</t>
  </si>
  <si>
    <t>Texas</t>
  </si>
  <si>
    <t>Montana</t>
  </si>
  <si>
    <t>Idaho</t>
  </si>
  <si>
    <t>Wyoming</t>
  </si>
  <si>
    <t>Colorado</t>
  </si>
  <si>
    <t>New Mexico</t>
  </si>
  <si>
    <t>Arizona</t>
  </si>
  <si>
    <t>Utah</t>
  </si>
  <si>
    <t>Nevada</t>
  </si>
  <si>
    <t>Washington</t>
  </si>
  <si>
    <t>Oregon</t>
  </si>
  <si>
    <t>California</t>
  </si>
  <si>
    <t>Dec. 31, 1933</t>
  </si>
  <si>
    <t>Dec. 31, 1932</t>
  </si>
  <si>
    <t>state prisons and penitentiaries</t>
  </si>
  <si>
    <t>all prisoners</t>
  </si>
  <si>
    <t>municipal jails</t>
  </si>
  <si>
    <t>municipal workhouses</t>
  </si>
  <si>
    <t>prison or reformatory</t>
  </si>
  <si>
    <t>15 to 17</t>
  </si>
  <si>
    <t>18 and 19</t>
  </si>
  <si>
    <t>total correctional</t>
  </si>
  <si>
    <t>20 and over</t>
  </si>
  <si>
    <t>under 15</t>
  </si>
  <si>
    <t>15 to 19</t>
  </si>
  <si>
    <t>18 to 19</t>
  </si>
  <si>
    <t>1 to 4</t>
  </si>
  <si>
    <t>5 years</t>
  </si>
  <si>
    <t>6 y</t>
  </si>
  <si>
    <t>7 to 9</t>
  </si>
  <si>
    <t>10 to 13</t>
  </si>
  <si>
    <t>under 1</t>
  </si>
  <si>
    <t>14 years</t>
  </si>
  <si>
    <t>prisons and reformatories</t>
  </si>
  <si>
    <t>local jails and workhouses</t>
  </si>
  <si>
    <t>all correctional institutions</t>
  </si>
  <si>
    <t>ages</t>
  </si>
  <si>
    <t>under 12</t>
  </si>
  <si>
    <t>12 years</t>
  </si>
  <si>
    <t>13 years</t>
  </si>
  <si>
    <t>15 years</t>
  </si>
  <si>
    <t>16 years</t>
  </si>
  <si>
    <t>17 years</t>
  </si>
  <si>
    <t>18 years</t>
  </si>
  <si>
    <t>19 and 20 years</t>
  </si>
  <si>
    <t>state farms</t>
  </si>
  <si>
    <t>county jails</t>
  </si>
  <si>
    <t>county workhouses</t>
  </si>
  <si>
    <t>county farms and chain gangs</t>
  </si>
  <si>
    <t>municipal farms and stockades</t>
  </si>
  <si>
    <t>est. male</t>
  </si>
  <si>
    <t>est. female</t>
  </si>
  <si>
    <t>sentenced prisoners</t>
  </si>
  <si>
    <t>all reported</t>
  </si>
  <si>
    <t>county jails and workhouses</t>
  </si>
  <si>
    <t>municipal jails and workhouses</t>
  </si>
  <si>
    <t>state prisons</t>
  </si>
  <si>
    <t>chain or road gang</t>
  </si>
  <si>
    <t>unsentenced</t>
  </si>
  <si>
    <t>Sentenced prisoners, 1923</t>
  </si>
  <si>
    <t>not reporting</t>
  </si>
  <si>
    <t>with prisoners</t>
  </si>
  <si>
    <t>no prisoners</t>
  </si>
  <si>
    <t>state non-reporting adj.</t>
  </si>
  <si>
    <t>other</t>
  </si>
  <si>
    <t>sum(V38)</t>
  </si>
  <si>
    <t>sum(V41)</t>
  </si>
  <si>
    <t>sum(V44)</t>
  </si>
  <si>
    <t>sum(V47)</t>
  </si>
  <si>
    <t>sum(V50)</t>
  </si>
  <si>
    <t>sum(V39)</t>
  </si>
  <si>
    <t>sum(V42)</t>
  </si>
  <si>
    <t>sum(V45)</t>
  </si>
  <si>
    <t>sum(V48)</t>
  </si>
  <si>
    <t>sum(V51)</t>
  </si>
  <si>
    <t>sum(V40)</t>
  </si>
  <si>
    <t>sum(V43)</t>
  </si>
  <si>
    <t>sum(V46)</t>
  </si>
  <si>
    <t>sum(V49)</t>
  </si>
  <si>
    <t>sum(V52)</t>
  </si>
  <si>
    <t>present</t>
  </si>
  <si>
    <t>male adults</t>
  </si>
  <si>
    <t>female adults</t>
  </si>
  <si>
    <t>male and female juveniles</t>
  </si>
  <si>
    <t>unsentenced prisoners</t>
  </si>
  <si>
    <t>state prisons and state chain gangs</t>
  </si>
  <si>
    <t>all ages</t>
  </si>
  <si>
    <t>under 18</t>
  </si>
  <si>
    <t>Filename: jim12stt02.csv</t>
  </si>
  <si>
    <t>Table 2: Number of inmates in local jails, by characteristics, midyear 2000 and 2005–2012</t>
  </si>
  <si>
    <t>Report title: Jail Inmates at Midyear 2012-Statistical Tables NCJ 241264</t>
  </si>
  <si>
    <t>Data source: Annual Survey of Jails and the 2005 Census of Jail Inmates</t>
  </si>
  <si>
    <t>Date of version: May 22, 2013</t>
  </si>
  <si>
    <t>Table 2. Number of inmates in local jails, by characteristics, midyear 2000 and 2005–2012</t>
  </si>
  <si>
    <t>2011/a</t>
  </si>
  <si>
    <t>2012/a</t>
  </si>
  <si>
    <t>Total/b</t>
  </si>
  <si>
    <t>Adult</t>
  </si>
  <si>
    <t>Juvenile/c</t>
  </si>
  <si>
    <t>Held as adult/d</t>
  </si>
  <si>
    <t>Held as juvenile</t>
  </si>
  <si>
    <t>Race/Hispanic origin/e</t>
  </si>
  <si>
    <t>White/f</t>
  </si>
  <si>
    <t xml:space="preserve">Black/African </t>
  </si>
  <si>
    <t xml:space="preserve">  American/f</t>
  </si>
  <si>
    <t>Other/f,g</t>
  </si>
  <si>
    <t>Two or more races/f</t>
  </si>
  <si>
    <t>…Not collected.</t>
  </si>
  <si>
    <t>a/Data for 2011 and 2012 are adjusted for nonresponse and rounded to the nearest 100.</t>
  </si>
  <si>
    <t>b/Midyear count is the number of inmates held on the last weekday in June.</t>
  </si>
  <si>
    <t>c/Persons under age 18 at midyear.</t>
  </si>
  <si>
    <t>d/Includes juveniles who were tried or awaiting trial as adults.</t>
  </si>
  <si>
    <t>e/Data adjusted for nonresponse and rounded to the nearest 100. See Methodology.</t>
  </si>
  <si>
    <t>f/Excludes persons of Hispanic or Latino origin.</t>
  </si>
  <si>
    <t>g/Includes American Indians, Alaska Natives, Asians, Native Hawaiians, and other Pacific Islanders.</t>
  </si>
  <si>
    <t>Source: Bureau of Justice Statistics, Annual Survey of Jails, 2000 and midyear 2006–2012, and the 2005 Census of Jail Inmates.</t>
  </si>
  <si>
    <t>BJS, Jail Immates at Mid-Year</t>
  </si>
  <si>
    <t>all jail inmates</t>
  </si>
  <si>
    <t>the figures by sex don't include juveniles, who aren't distinguished by sex in published statistical reports</t>
  </si>
  <si>
    <t>juv. &amp; adults</t>
  </si>
  <si>
    <t>2011</t>
  </si>
  <si>
    <t>2012</t>
  </si>
  <si>
    <t>Filename: p11t01.csv</t>
  </si>
  <si>
    <t>Table 1. Prisoners under the jurisdiction of state or federal correctional authorities, December 31, 2000–2011</t>
  </si>
  <si>
    <t>Report title: Prisoners in 2011</t>
  </si>
  <si>
    <t>Author(s): E. Ann Carson and William J. Sabol</t>
  </si>
  <si>
    <t>Date of version: 12/05/2012</t>
  </si>
  <si>
    <t xml:space="preserve"> </t>
  </si>
  <si>
    <t>Federal*</t>
  </si>
  <si>
    <t>Average annual, 2000–2010</t>
  </si>
  <si>
    <t>2010–2011</t>
  </si>
  <si>
    <t>Note: Jurisdiction refers to the legal authority of state or federal correctional officials over a prisoner regardless of where the prisoner is held.</t>
  </si>
  <si>
    <t>*Includes inmates held in nonsecure privately operated community corrections facilities and juveniles held in contract facilities.</t>
  </si>
  <si>
    <t>Source: Bureau of Justice Statistics, National Prisoner Statistics Program, 2000–2011.</t>
  </si>
  <si>
    <t>Filename: p11t05.csv</t>
  </si>
  <si>
    <t>Table 5. Sentenced prisoners under the jurisdiction of state and federal correctional authorities, December 31, 2000–2011</t>
  </si>
  <si>
    <t>Report title: Prisoners in 2011 NCJ 239808</t>
  </si>
  <si>
    <t>Note: Jurisdiction refers to the legal authority of state or federal correctional officials over a prisoner regardless of where the prisoner is held. Counts are based on prisoners with sentences of more than 1 year under the jurisdiction of state or federal correctional officials.</t>
  </si>
  <si>
    <t>total, inc. juvs. in jails</t>
  </si>
  <si>
    <t>Note that the fed-state figure is a jurisdiction figure, not a custody figure.</t>
  </si>
  <si>
    <t>Hence inmates under federal or state jurisdiction, but held in (local) jails are double counted.</t>
  </si>
  <si>
    <t>ave. daily pop.</t>
  </si>
  <si>
    <t xml:space="preserve">adults </t>
  </si>
  <si>
    <t>one-day count (last weekday in June)</t>
  </si>
  <si>
    <t>Average population of federal penal institutions, 1896-1940</t>
  </si>
  <si>
    <t>(for fiscal year ending June 30)</t>
  </si>
  <si>
    <t>p. 283, Table B in U.S. Dept. of Justice, Federal Offenders: 1940, GPO.</t>
  </si>
  <si>
    <t xml:space="preserve">Source: U.S. Department of Justice, Federal Bureau of Prisons (Online). Available: </t>
  </si>
  <si>
    <t xml:space="preserve">http://www.bop.gov/fact0598.html (Sept. 9, 2003); and data provided by the U.S. Department </t>
  </si>
  <si>
    <t>No. HS-24. Federal and State Prisoners by Jurisdicition and Sex: 1925 to 2001</t>
  </si>
  <si>
    <t xml:space="preserve">[Based on U.S. Census Bureau estimated resident population, as of </t>
  </si>
  <si>
    <t>December 31. Includes all persons under jurisdiction of Federal and State</t>
  </si>
  <si>
    <t>authorities rather than those in the custody of such authorities.</t>
  </si>
  <si>
    <t>Represents inmates sentenced to maximum term of more than a year]</t>
  </si>
  <si>
    <t xml:space="preserve">Total </t>
  </si>
  <si>
    <t xml:space="preserve">Rate \1 </t>
  </si>
  <si>
    <t>(NA)</t>
  </si>
  <si>
    <t>1977 \2</t>
  </si>
  <si>
    <t>1977 \3</t>
  </si>
  <si>
    <t xml:space="preserve">1990 </t>
  </si>
  <si>
    <t>Highest value</t>
  </si>
  <si>
    <t>Lowest value</t>
  </si>
  <si>
    <t>SYMBOLS</t>
  </si>
  <si>
    <t>NA Not available.</t>
  </si>
  <si>
    <t>FOOTNOTES</t>
  </si>
  <si>
    <t>\1 Rate per 100,000 estimated population.</t>
  </si>
  <si>
    <t>\2 Custody counts.</t>
  </si>
  <si>
    <t>\3 Jurisdiction counts.</t>
  </si>
  <si>
    <t>Source: U.S. Bureau of Justice Statistics, Prisoners in State and</t>
  </si>
  <si>
    <t>Prisoners in State and Federal Institutions on December 31, annual, and Correctional</t>
  </si>
  <si>
    <t>Populations in the United States, annual.</t>
  </si>
  <si>
    <t>http://www.ojp.usdoj.gov/bjs/prisons.htm</t>
  </si>
  <si>
    <t>*</t>
  </si>
  <si>
    <t>Correctional Populations in the United States</t>
  </si>
  <si>
    <t xml:space="preserve">Survey methodology for prisoner data </t>
  </si>
  <si>
    <t>The Bureau of Justice Statistics (BJS), with the U.S. Bureau of the Census as its collection agent, obtains yearend and</t>
  </si>
  <si>
    <t>midyear counts of prisoners from departments of correction in each of the 50 States, the District of Columbia, and the</t>
  </si>
  <si>
    <t>Federal Bureau of Prisons through the National Prisoner Statistics (NPS) program. In an effort to collect comparable data</t>
  </si>
  <si>
    <t>from all jurisdictions, NPS distinguishes prisoners in custody from those under jurisdiction. To have custody of a prisoner, a</t>
  </si>
  <si>
    <t>State must hold that person in one of its facilities. To have jurisdiction means that a State has legal authority over the</t>
  </si>
  <si>
    <t>prisoner. Prisoners under a State's jurisdiction may be in the custody of a local jail, another State's prison, or other</t>
  </si>
  <si>
    <t>correctional facility. Some States are unable to provide both custody and jurisdiction counts. Excluded from NPS counts are</t>
  </si>
  <si>
    <t>persons confined in locally administered confinement facilities who are under the jurisdiction of local authorities. NPS</t>
  </si>
  <si>
    <t>counts include all inmates in State-operated facilities in Alaska, Connecticut, Delaware, Hawaii, Rhode Island, and</t>
  </si>
  <si>
    <t xml:space="preserve">Vermont, which have combined jail-prison systems. </t>
  </si>
  <si>
    <t>In each jurisdiction, the questionnaire was completed by a central agency reporting for institutions within the correctional</t>
  </si>
  <si>
    <t>system. This procedure was also used by the Federal Bureau of Prisons in supplying data on Federal institutions. Because</t>
  </si>
  <si>
    <t>the information was derived from a complete enumeration rather than a survey, the statistical data are not affected by</t>
  </si>
  <si>
    <t>sampling error. Response errors were held to a minimum by means of a systematic telephone followup and, where</t>
  </si>
  <si>
    <t>necessary, other control procedures. Thus, the yearend counts are generally considered reliable. Because of the absence of</t>
  </si>
  <si>
    <t>standardized administrative and record keeping practices from State to State, the data for admissions and releases are not</t>
  </si>
  <si>
    <t xml:space="preserve">always entirely comparable across jurisdictions. </t>
  </si>
  <si>
    <t>Many States revise the yearend number reported for the previous year. Those revisions are made in the total, not the detail. For example, the</t>
  </si>
  <si>
    <t xml:space="preserve">number of blacks, whites, and members of other races for 1995 were not changed by a State in 1996 to equal its revised 1995 total. </t>
  </si>
  <si>
    <t xml:space="preserve">National Prisoner Statistics category definitions </t>
  </si>
  <si>
    <t>Jurisdiction population, Dec. 31-- Includes all inmates under jurisdiction of State correctional authorities on Dec. 31 regardless of location.</t>
  </si>
  <si>
    <t xml:space="preserve">Does not include other jurisdictions' inmates (for example, inmates from other States, pretrial detainees) merely housed in prisons. </t>
  </si>
  <si>
    <t>Custody population, Dec. 31-- Includes all inmates in the State's custody, that is, housed in State correctional facilities on Dec. 31. Does not</t>
  </si>
  <si>
    <t>include State inmates housed outside State prison facilities; does include other jurisdictions' inmates (for example, inmates from other States,</t>
  </si>
  <si>
    <t xml:space="preserve">the courts, local jails) housed in the State's facilities. </t>
  </si>
  <si>
    <t>Overcrowding, Dec. 31--Includes all State prison inmates housed in local jails on Dec. 31 and as a direct result of State prison overcrowding.</t>
  </si>
  <si>
    <t xml:space="preserve">Does not include State prison inmates held in local jails for other reasons (for example, work release, court appearance, etc.). </t>
  </si>
  <si>
    <t xml:space="preserve">Admissions </t>
  </si>
  <si>
    <t>New court commitments--Includes all inmates who were admitted with new sentences, that is, these inmates were not readmitted for any</t>
  </si>
  <si>
    <t>sentences for which they had already served some prison time. This category includes probation violators entering prison for the first time on</t>
  </si>
  <si>
    <t xml:space="preserve">the probated offenses. Does not include parole violators with new sentences. </t>
  </si>
  <si>
    <t xml:space="preserve">Parole violators with new sentences--Includes all parolees returned with new sentences. </t>
  </si>
  <si>
    <t>Other conditional release violators with new sentences--Includes all individuals on conditional release (other than parole) who are returned</t>
  </si>
  <si>
    <t xml:space="preserve">with new sentences, for example, returns from supervised mandatory release, from shock probation, etc. </t>
  </si>
  <si>
    <t>Parole violators only, no new sentences--Includes all parolees returned only for formal revocations of parole that were not accompanied by</t>
  </si>
  <si>
    <t>new sentences. If the parole was not formally revoked, that is, the parolee was held only temporarily pending a hearing, no admission occurred</t>
  </si>
  <si>
    <t xml:space="preserve">for NPS purposes. </t>
  </si>
  <si>
    <t xml:space="preserve">Other conditional release violators only, no new sentences--Same as above, substituting conditional release violator for parole violator. </t>
  </si>
  <si>
    <t>Transfers from other jurisdictions--Includes all inmates transferred to a State's jurisdiction to continue sentences already in force. Does not</t>
  </si>
  <si>
    <t xml:space="preserve">include admissions if State does not acquire jurisdiction. Does not include movements from prison to prison within State. </t>
  </si>
  <si>
    <t>Absent without leave (AWOL) returns, with or without sentences--Includes all returns from AWOL, that is, failures to return from authorized</t>
  </si>
  <si>
    <t xml:space="preserve">temporary absences such as work furlough, study release, mercy furlough, or other authorized temporary absence. </t>
  </si>
  <si>
    <t>Escapee returns, with or without new sentences--Includes all returns from escape, that is, unlawful departures from a State correctional</t>
  </si>
  <si>
    <t xml:space="preserve">facility or from the custody of State correctional personnel. </t>
  </si>
  <si>
    <t>Returns from appeal/bond--Includes all inmates reinstated to correctional jurisdiction from long-term jurisdictional absences on appeal or</t>
  </si>
  <si>
    <t xml:space="preserve">bond. Does not include returns from short-term movements (less than 30 days) to court (that is, where the State retains jurisdiction). </t>
  </si>
  <si>
    <t xml:space="preserve">Other admissions--Includes all other admissions not covered by the above categories. </t>
  </si>
  <si>
    <t xml:space="preserve">Releases </t>
  </si>
  <si>
    <t>Unconditional--An unconditional release occurs only if the released inmate cannot be imprisoned for any sentence for which he/she was in</t>
  </si>
  <si>
    <t xml:space="preserve">prison. </t>
  </si>
  <si>
    <t xml:space="preserve">Expirations of sentence--Includes all inmates whose maximum court sentences minus credits have been served. </t>
  </si>
  <si>
    <t>Commutations--Includes all inmates whose maximum sentences have been changed (lowered) to time served to allow immediate</t>
  </si>
  <si>
    <t xml:space="preserve">unconditional release. </t>
  </si>
  <si>
    <t xml:space="preserve">Other unconditional releases--Includes all other unconditional releases not covered by the above categories. </t>
  </si>
  <si>
    <t>Conditional--A conditional release occurs if the released inmate, upon violating the conditions of release, can be imprisoned again for any of</t>
  </si>
  <si>
    <t xml:space="preserve">the sentences for which he/she was in prison. </t>
  </si>
  <si>
    <t>Probations--Includes all inmates who have been placed under probation supervision and conditionally released; includes all shock probation</t>
  </si>
  <si>
    <t xml:space="preserve">(split sentence) releases. </t>
  </si>
  <si>
    <t>Supervised mandatory releases--Includes all inmates who must, by law, be conditionally released. This type of release may also be called</t>
  </si>
  <si>
    <t xml:space="preserve">mandatory conditional release. </t>
  </si>
  <si>
    <t xml:space="preserve">Paroles--Includes all inmates conditionally released to parole. </t>
  </si>
  <si>
    <t xml:space="preserve">Other conditional releases--Includes all other conditional releases not covered by the above categories. </t>
  </si>
  <si>
    <t xml:space="preserve">Death: </t>
  </si>
  <si>
    <t xml:space="preserve">Executions--Self-explanatory. </t>
  </si>
  <si>
    <t>Acquired immune deficiency syndrome (AIDS)--The immediate cause of death in AIDS mortalities may be Pneumocystis Carinii Pneumonia,</t>
  </si>
  <si>
    <t xml:space="preserve">Kaposi's Sarcoma, or other diseases related to HIV infection. </t>
  </si>
  <si>
    <t xml:space="preserve">Illness/natural causes--Self-explanatory. AIDS-related deaths not included in this category. </t>
  </si>
  <si>
    <t xml:space="preserve">Suicides--Self-explanatory. </t>
  </si>
  <si>
    <t>Accidental injury to self--Includes all inmates who accidentally cause their own deaths (for example, a fall from a ladder, mishandling electrical</t>
  </si>
  <si>
    <t xml:space="preserve">equipment). </t>
  </si>
  <si>
    <t>Death caused by another person--Includes all inmates whose deaths were caused accidentally or intentionally by another inmate or prison</t>
  </si>
  <si>
    <t xml:space="preserve">personnel. </t>
  </si>
  <si>
    <t xml:space="preserve">Other deaths--Includes all other deaths not covered by the above categories. </t>
  </si>
  <si>
    <t xml:space="preserve">Other releases: </t>
  </si>
  <si>
    <t>Absent without leave (AWOL)--Includes all failures to return from an authorized temporary absence such as work furlough, study release, mercy</t>
  </si>
  <si>
    <t xml:space="preserve">furlough, or other authorized temporary absence. </t>
  </si>
  <si>
    <t>Escapes from confinement--Includes all unlawful departures from a State correctional facility or from the custody of State correctional personnel.</t>
  </si>
  <si>
    <t>Transfers to other jurisdictions--Includes all inmates who were transferred from one State's jurisdiction to another to continue sentences already</t>
  </si>
  <si>
    <t xml:space="preserve">in force. Does not include the release if State does not relinquish jurisdiction. Does not include movements from prison to prison within State. </t>
  </si>
  <si>
    <t>Releases to appeal/bond--Includes all inmates released from correctional jurisdiction to long-term jurisdictional absences on appeal or bond.</t>
  </si>
  <si>
    <t xml:space="preserve">Does not include short-term movements (less than 30 days) to court (that is, where the State correctional system retains jurisdiction). </t>
  </si>
  <si>
    <t xml:space="preserve">Other releases--Includes all other releases not covered by the above categories. </t>
  </si>
  <si>
    <t xml:space="preserve">Race </t>
  </si>
  <si>
    <t>Classification by race often depends on the reporting program and the State. A few States reported two categories: white and nonwhite. A few</t>
  </si>
  <si>
    <t>others categorized Hispanic offenders as belonging to "Other race." The number of persons with certain racial backgrounds were sometimes</t>
  </si>
  <si>
    <t xml:space="preserve">estimated. </t>
  </si>
  <si>
    <t xml:space="preserve">White--A person having origins in any of the original peoples of Europe, North Africa, or the Middle East. </t>
  </si>
  <si>
    <t xml:space="preserve">Black--A person having origins in any of the black racial groups of Africa. </t>
  </si>
  <si>
    <t>American Indian or Alaska Native--A person having origins in any of the original peoples of North America, who maintains cultural</t>
  </si>
  <si>
    <t xml:space="preserve">identification through tribal affiliation or community recognition. </t>
  </si>
  <si>
    <t>Asian or Pacific Islander--A person having origins in any of the original peoples of the Far East, Southeast Asia, the Indian Subcontinent, or</t>
  </si>
  <si>
    <t xml:space="preserve">the Pacific Islands. This area includes, for example, China, India, Japan, Korea, the Philippine Islands, and Samoa. </t>
  </si>
  <si>
    <t xml:space="preserve">Other--Any other race not covered by the above categories. </t>
  </si>
  <si>
    <t xml:space="preserve">Not known--Any inmate whose racial origin is unknown. </t>
  </si>
  <si>
    <t xml:space="preserve">Ethnic origin </t>
  </si>
  <si>
    <t>A person of Hispanic origin may be of any race; however, a few States treat the ethnic category as a racial one. Reporting officials usually rely</t>
  </si>
  <si>
    <t xml:space="preserve">on self-definition, but some States classify according to surname. </t>
  </si>
  <si>
    <t xml:space="preserve">Hispanic--A person of Mexican, Puerto Rican, Cuban, Central or South American, or other Spanish culture or origin, regardless of race. </t>
  </si>
  <si>
    <t>prisoner here means inmates held in jails and state and federal prisons</t>
  </si>
  <si>
    <t>Prisoners in U.S. in 1910</t>
  </si>
  <si>
    <t>Repository:</t>
  </si>
  <si>
    <t>http://acrosswalls.org/datasets/</t>
  </si>
  <si>
    <t>Version: 1.0</t>
  </si>
  <si>
    <t xml:space="preserve">for "under custody (1)", in 1999, </t>
  </si>
  <si>
    <t>15 States expanded their reporting criteria to include inmates held in privately operated correctional facilities.</t>
  </si>
  <si>
    <t>Prisons and Jails, mid-year</t>
  </si>
  <si>
    <t>Total/a</t>
  </si>
  <si>
    <t>White/b</t>
  </si>
  <si>
    <t>Black/b</t>
  </si>
  <si>
    <t>Hispanic</t>
  </si>
  <si>
    <t>male categorized</t>
  </si>
  <si>
    <t>female categorized</t>
  </si>
  <si>
    <t>shares</t>
  </si>
  <si>
    <t>Prisoners</t>
  </si>
  <si>
    <t>year-end</t>
  </si>
  <si>
    <t>est. mid-year</t>
  </si>
  <si>
    <t>Jail inmates</t>
  </si>
  <si>
    <t>sex</t>
  </si>
  <si>
    <t>mid-year</t>
  </si>
  <si>
    <t>categorized</t>
  </si>
  <si>
    <t>Black/African American/f</t>
  </si>
  <si>
    <t>American Indian/Alaska Native/f,g</t>
  </si>
  <si>
    <t>Asian/Native Hawaiian/ Other Pacific Islander/f,g</t>
  </si>
  <si>
    <t>Filename: pjim06t13.csv</t>
  </si>
  <si>
    <t>Table 13: Number of inmates in State or Federal prisons and local jails by gender, race, Hispanic origin, and age, June 30, 2006</t>
  </si>
  <si>
    <t>Report title: Prison and Jail Inmates at Midyear 2006 NCJ 217675</t>
  </si>
  <si>
    <t>Data source: National Prisoner Statistics, 1A</t>
  </si>
  <si>
    <t xml:space="preserve">Authors: William J. Sabol, Todd D. Minton, Paige M. Harrison </t>
  </si>
  <si>
    <t>Date of version: June 27, 2007</t>
  </si>
  <si>
    <t>Table 13. Number of inmates in State or Federal prisons and local jails by gender, race, Hispanic origin, and age, June 30, 2006</t>
  </si>
  <si>
    <t xml:space="preserve">              Males</t>
  </si>
  <si>
    <t xml:space="preserve">         Females</t>
  </si>
  <si>
    <t>Black/African American/b</t>
  </si>
  <si>
    <t xml:space="preserve">   Total</t>
  </si>
  <si>
    <t>18-19</t>
  </si>
  <si>
    <t>20-24</t>
  </si>
  <si>
    <t>25-29</t>
  </si>
  <si>
    <t>30-34</t>
  </si>
  <si>
    <t>35-39</t>
  </si>
  <si>
    <t>40-44</t>
  </si>
  <si>
    <t>45-54</t>
  </si>
  <si>
    <t>55 or older</t>
  </si>
  <si>
    <t>Note: Based on custody counts from the National Prisoner Statistics (NPS-1A) 2006 and the Annual Survey of Jails, 2006. Esimtates by age were obtained from the Survey of Inmates in Local Jails, 2002</t>
  </si>
  <si>
    <t xml:space="preserve">the National Corrections Reporting Program, 2003, and the Federal Justice Statistics Program (FJSP) for inmates on September 30, 2003. Estimates were rounded to the nearest 100. </t>
  </si>
  <si>
    <t xml:space="preserve">Detailed categories exclude person identifying with two or more races. </t>
  </si>
  <si>
    <t>a/Includes American Indians, Alaska Natives, Asians, Native Hawaiians, and other Pacific Islanders.</t>
  </si>
  <si>
    <t xml:space="preserve">b/Not Hispanic or Latino. </t>
  </si>
  <si>
    <t>Filename: p10at12.csv</t>
  </si>
  <si>
    <t>Appendix Table 12. Estimated number of sentenced prisoners under state and federal jurisdiction, by sex, race, and Hispanic origin, December 31, 2000–2010</t>
  </si>
  <si>
    <t>Date of version: 12/13/2011</t>
  </si>
  <si>
    <t>2010/c</t>
  </si>
  <si>
    <t xml:space="preserve">Note: Counts based on prisoners with a sentence of more than 1 year. All estimates include persons under age 18. See Methodology for estimation method. </t>
  </si>
  <si>
    <t>a/Includes American Indians, Alaska Natives, Asians, Native Hawaiians, other Pacific Islanders, and persons identifying as two or more races.</t>
  </si>
  <si>
    <t>b/Excludes persons of Hispanic or Latino origin.</t>
  </si>
  <si>
    <t xml:space="preserve">c/Data source used to estimate race and Hispanic origin changed in 2010. Use caution when comparing to prior years. See Methodology. </t>
  </si>
  <si>
    <t>Sources: BJS, National Prisoner Statistics Program, Federal Justice Statistics Program, National Corrections Reporting Program, Survey of Inmates in State and Local Correctional Facilities, and National Inmate Survey.</t>
  </si>
  <si>
    <t>Filename: p11at06.csv</t>
  </si>
  <si>
    <t>Appendix table 6. Estimated number of sentenced prisoners under state and federal jurisdiction, by sex, race, Hispanic origin, and age, December 31, 2011</t>
  </si>
  <si>
    <t>Age group</t>
  </si>
  <si>
    <t>Total/a,b</t>
  </si>
  <si>
    <t>All male/a,b</t>
  </si>
  <si>
    <t>White/c</t>
  </si>
  <si>
    <t>Black/c</t>
  </si>
  <si>
    <t>All females/a,b</t>
  </si>
  <si>
    <t>Total/d</t>
  </si>
  <si>
    <t>18–19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</si>
  <si>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</si>
  <si>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</si>
  <si>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</si>
  <si>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</si>
  <si>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</si>
  <si>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</si>
  <si>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</si>
  <si>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</si>
  <si>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</si>
  <si>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or older</t>
  </si>
  <si>
    <t>a/Detail may not sum to total due to rounding.</t>
  </si>
  <si>
    <t>b/Includes American Indians, Alaska Natives, Asians, Native Hawaiians, other Pacific Islanders, and persons identifying two or more races.</t>
  </si>
  <si>
    <t>c/Excludes persons of Hispanic or Latino orgin.</t>
  </si>
  <si>
    <t>d/Includes persons age 17 or younger.</t>
  </si>
  <si>
    <t xml:space="preserve">Sources: Bureau of Justice Statistics, National Prisoner Statistics Program, 2011; Federal Justice Statistics Program, 2011; National Corrections Reporting Program, 2010; and Survey of Inmates in State and Local Correctional Facilities, 2004. </t>
  </si>
  <si>
    <t>Filename: jim13stt02.csv</t>
  </si>
  <si>
    <t>Table 2: Number of inmates in local jails, by characteristics, midyear 2000 and 2005–2013</t>
  </si>
  <si>
    <t>Report title: Jail Inmates at Midyear 2013-Statistical Tables NCJ 245350</t>
  </si>
  <si>
    <t>Author: Todd D. Minton and Daniela Golinelli, Ph.D.</t>
  </si>
  <si>
    <t>Date of version: May 8, 2014</t>
  </si>
  <si>
    <t>Table 2. Number of inmates in local jails, by characteristics, midyear 2000 and 2005–2013</t>
  </si>
  <si>
    <t>2013/a</t>
  </si>
  <si>
    <t>a/Data for 2011-2013 are adjusted for nonresponse and rounded to the nearest 100.</t>
  </si>
  <si>
    <t>c/Persons age 17 or younger at midyear.</t>
  </si>
  <si>
    <t xml:space="preserve">g/Previous reports combined American Indians and Alaska Natives and Asians, Native Hawaiians, and other Pacific Islanders into an Other race category. </t>
  </si>
  <si>
    <t>Sources: Bureau of Justice Statistics, Annual Survey of Jails, 2000 and midyear 2006–2013, and the 2005 Census of Jail Inmates.</t>
  </si>
  <si>
    <t>Prisoners (inmates) in prisons and jails about 2006, by sex and race/ethnicity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</si>
</sst>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8" formatCode="0.0%"/>
    <numFmt numFmtId="173" formatCode="[$-409]d\-mmm\-yyyy;@"/>
    <numFmt numFmtId="176" formatCode="0.000"/>
  </numFmts>
  <fonts count="7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37" fontId="0" fillId="0" borderId="0" xfId="0" applyNumberFormat="1"/>
    <xf numFmtId="168" fontId="0" fillId="0" borderId="0" xfId="0" applyNumberFormat="1"/>
    <xf numFmtId="2" fontId="0" fillId="0" borderId="0" xfId="0" applyNumberFormat="1"/>
    <xf numFmtId="15" fontId="0" fillId="0" borderId="0" xfId="0" applyNumberFormat="1"/>
    <xf numFmtId="9" fontId="0" fillId="0" borderId="0" xfId="0" applyNumberFormat="1"/>
    <xf numFmtId="0" fontId="0" fillId="0" borderId="0" xfId="0" quotePrefix="1"/>
    <xf numFmtId="10" fontId="0" fillId="0" borderId="0" xfId="0" applyNumberFormat="1"/>
    <xf numFmtId="173" fontId="0" fillId="0" borderId="0" xfId="0" applyNumberFormat="1"/>
    <xf numFmtId="176" fontId="0" fillId="0" borderId="0" xfId="0" applyNumberFormat="1"/>
    <xf numFmtId="168" fontId="0" fillId="0" borderId="0" xfId="2" applyNumberFormat="1" applyFont="1"/>
    <xf numFmtId="9" fontId="0" fillId="0" borderId="0" xfId="2" applyFont="1"/>
    <xf numFmtId="0" fontId="0" fillId="0" borderId="0" xfId="0" applyNumberFormat="1"/>
    <xf numFmtId="16" fontId="0" fillId="0" borderId="0" xfId="0" applyNumberFormat="1"/>
    <xf numFmtId="0" fontId="2" fillId="0" borderId="0" xfId="1" applyAlignment="1" applyProtection="1"/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lbany.edu/sourcebook/csv/t6142010.csv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bop.gov/fact0598.html%20(Sept.%209,%202003);%20and%20data%20provided%20by%20the%20U.S.%20Depart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workbookViewId="0">
      <selection sqref="A1:E1"/>
    </sheetView>
  </sheetViews>
  <sheetFormatPr defaultRowHeight="12.75" x14ac:dyDescent="0.2"/>
  <cols>
    <col min="1" max="1" width="14" customWidth="1"/>
    <col min="3" max="4" width="11.5703125" customWidth="1"/>
    <col min="5" max="5" width="11.7109375" customWidth="1"/>
    <col min="6" max="6" width="10.28515625" customWidth="1"/>
    <col min="7" max="7" width="10.85546875" customWidth="1"/>
    <col min="8" max="11" width="11.140625" customWidth="1"/>
    <col min="12" max="12" width="3.28515625" customWidth="1"/>
    <col min="13" max="13" width="80.140625" customWidth="1"/>
  </cols>
  <sheetData>
    <row r="1" spans="1:13" x14ac:dyDescent="0.2">
      <c r="A1" s="29" t="s">
        <v>359</v>
      </c>
      <c r="B1" s="29"/>
      <c r="C1" s="29"/>
      <c r="D1" s="29"/>
      <c r="E1" s="29"/>
      <c r="M1" t="s">
        <v>1332</v>
      </c>
    </row>
    <row r="2" spans="1:13" x14ac:dyDescent="0.2">
      <c r="A2" s="1"/>
      <c r="B2" s="1"/>
      <c r="C2" s="1"/>
      <c r="D2" s="1"/>
      <c r="E2" s="1"/>
      <c r="M2" t="s">
        <v>1333</v>
      </c>
    </row>
    <row r="3" spans="1:13" x14ac:dyDescent="0.2">
      <c r="B3" s="1"/>
      <c r="C3" s="1"/>
      <c r="D3" s="1"/>
      <c r="E3" s="1"/>
      <c r="M3" t="s">
        <v>1334</v>
      </c>
    </row>
    <row r="4" spans="1:13" x14ac:dyDescent="0.2">
      <c r="A4" t="s">
        <v>517</v>
      </c>
      <c r="B4" s="1"/>
      <c r="C4" s="1"/>
      <c r="D4" s="1"/>
      <c r="E4" s="1"/>
    </row>
    <row r="5" spans="1:13" x14ac:dyDescent="0.2">
      <c r="A5" t="s">
        <v>1017</v>
      </c>
      <c r="B5" s="3" t="s">
        <v>6</v>
      </c>
      <c r="C5" s="1" t="s">
        <v>1018</v>
      </c>
      <c r="D5" s="1" t="s">
        <v>1019</v>
      </c>
      <c r="E5" s="1" t="s">
        <v>1020</v>
      </c>
      <c r="M5" t="s">
        <v>37</v>
      </c>
    </row>
    <row r="6" spans="1:13" x14ac:dyDescent="0.2">
      <c r="A6">
        <v>1904</v>
      </c>
      <c r="B6" s="2">
        <f t="shared" ref="B6:B17" si="0">C6/D6</f>
        <v>14.382733941325917</v>
      </c>
      <c r="C6" s="1">
        <f>'1904'!B5</f>
        <v>100525.69580938669</v>
      </c>
      <c r="D6" s="1">
        <f>'1904'!C5</f>
        <v>6989.3315290041037</v>
      </c>
      <c r="E6" s="1">
        <f t="shared" ref="E6:E17" si="1">C6+D6</f>
        <v>107515.02733839079</v>
      </c>
      <c r="M6" t="s">
        <v>792</v>
      </c>
    </row>
    <row r="7" spans="1:13" x14ac:dyDescent="0.2">
      <c r="A7">
        <v>1910</v>
      </c>
      <c r="B7" s="2">
        <f t="shared" si="0"/>
        <v>14.92760524621322</v>
      </c>
      <c r="C7" s="1">
        <f>'1910'!B5</f>
        <v>130348.66548374952</v>
      </c>
      <c r="D7" s="1">
        <f>'1910'!C5</f>
        <v>8732.0546955658465</v>
      </c>
      <c r="E7" s="1">
        <f t="shared" si="1"/>
        <v>139080.72017931537</v>
      </c>
    </row>
    <row r="8" spans="1:13" x14ac:dyDescent="0.2">
      <c r="A8">
        <v>1922</v>
      </c>
      <c r="B8" s="2">
        <f t="shared" si="0"/>
        <v>17.357371180927103</v>
      </c>
      <c r="C8" s="1">
        <f>'1917-23'!B8</f>
        <v>156434.52484619475</v>
      </c>
      <c r="D8" s="1">
        <f>'1917-23'!C8</f>
        <v>9012.5701188029307</v>
      </c>
      <c r="E8" s="1">
        <f t="shared" si="1"/>
        <v>165447.09496499767</v>
      </c>
      <c r="M8" t="s">
        <v>445</v>
      </c>
    </row>
    <row r="9" spans="1:13" x14ac:dyDescent="0.2">
      <c r="A9">
        <v>1933</v>
      </c>
      <c r="B9" s="2">
        <f t="shared" si="0"/>
        <v>21.774024493472293</v>
      </c>
      <c r="C9" s="1">
        <f>'1933'!B11</f>
        <v>233555.65763933989</v>
      </c>
      <c r="D9" s="1">
        <f>'1933'!C11</f>
        <v>10726.343111690643</v>
      </c>
      <c r="E9" s="1">
        <f t="shared" si="1"/>
        <v>244282.00075103051</v>
      </c>
      <c r="M9" t="s">
        <v>446</v>
      </c>
    </row>
    <row r="10" spans="1:13" x14ac:dyDescent="0.2">
      <c r="A10">
        <v>1940</v>
      </c>
      <c r="B10" s="2">
        <f t="shared" si="0"/>
        <v>18.878429844896107</v>
      </c>
      <c r="C10" s="1">
        <f>'1940-1960'!B5</f>
        <v>270697.93113569228</v>
      </c>
      <c r="D10" s="1">
        <f>'1940-1960'!C5</f>
        <v>14339.00665255151</v>
      </c>
      <c r="E10" s="1">
        <f t="shared" si="1"/>
        <v>285036.93778824381</v>
      </c>
    </row>
    <row r="11" spans="1:13" x14ac:dyDescent="0.2">
      <c r="A11">
        <v>1950</v>
      </c>
      <c r="B11" s="2">
        <f t="shared" si="0"/>
        <v>19.358368603308964</v>
      </c>
      <c r="C11" s="1">
        <f>'1940-1960'!B6</f>
        <v>251562</v>
      </c>
      <c r="D11" s="1">
        <f>'1940-1960'!C6</f>
        <v>12995</v>
      </c>
      <c r="E11" s="1">
        <f t="shared" si="1"/>
        <v>264557</v>
      </c>
      <c r="M11" t="s">
        <v>447</v>
      </c>
    </row>
    <row r="12" spans="1:13" x14ac:dyDescent="0.2">
      <c r="A12">
        <v>1960</v>
      </c>
      <c r="B12" s="2">
        <f t="shared" si="0"/>
        <v>20.369019943717117</v>
      </c>
      <c r="C12" s="1">
        <f>'1940-1960'!B7</f>
        <v>332952</v>
      </c>
      <c r="D12" s="1">
        <f>'1940-1960'!C7</f>
        <v>16346</v>
      </c>
      <c r="E12" s="1">
        <f t="shared" si="1"/>
        <v>349298</v>
      </c>
      <c r="M12" t="s">
        <v>448</v>
      </c>
    </row>
    <row r="13" spans="1:13" x14ac:dyDescent="0.2">
      <c r="A13">
        <v>1970</v>
      </c>
      <c r="B13" s="2">
        <f t="shared" si="0"/>
        <v>22.067510548523206</v>
      </c>
      <c r="C13" s="1">
        <f>'1970-2010'!B4</f>
        <v>313800</v>
      </c>
      <c r="D13" s="1">
        <f>'1970-2010'!C4</f>
        <v>14220</v>
      </c>
      <c r="E13" s="1">
        <f t="shared" si="1"/>
        <v>328020</v>
      </c>
    </row>
    <row r="14" spans="1:13" x14ac:dyDescent="0.2">
      <c r="A14">
        <v>1980</v>
      </c>
      <c r="B14" s="2">
        <f t="shared" si="0"/>
        <v>16.181999042110306</v>
      </c>
      <c r="C14" s="1">
        <f>'1970-2010'!B5</f>
        <v>439228</v>
      </c>
      <c r="D14" s="1">
        <f>'1970-2010'!C5</f>
        <v>27143</v>
      </c>
      <c r="E14" s="1">
        <f t="shared" si="1"/>
        <v>466371</v>
      </c>
      <c r="M14" s="20" t="s">
        <v>1330</v>
      </c>
    </row>
    <row r="15" spans="1:13" x14ac:dyDescent="0.2">
      <c r="A15">
        <v>1990</v>
      </c>
      <c r="B15" s="2">
        <f t="shared" si="0"/>
        <v>12.133786394045039</v>
      </c>
      <c r="C15" s="1">
        <f>'1970-2010'!B6</f>
        <v>1030207</v>
      </c>
      <c r="D15" s="1">
        <f>'1970-2010'!C6</f>
        <v>84904</v>
      </c>
      <c r="E15" s="1">
        <f t="shared" si="1"/>
        <v>1115111</v>
      </c>
    </row>
    <row r="16" spans="1:13" x14ac:dyDescent="0.2">
      <c r="A16">
        <v>2000</v>
      </c>
      <c r="B16" s="2">
        <f t="shared" si="0"/>
        <v>10.640211359700279</v>
      </c>
      <c r="C16" s="1">
        <f>'1970-2010'!B7</f>
        <v>1806261</v>
      </c>
      <c r="D16" s="1">
        <f>'1970-2010'!C7</f>
        <v>169758</v>
      </c>
      <c r="E16" s="1">
        <f t="shared" si="1"/>
        <v>1976019</v>
      </c>
    </row>
    <row r="17" spans="1:13" x14ac:dyDescent="0.2">
      <c r="A17">
        <v>2010</v>
      </c>
      <c r="B17" s="2">
        <f t="shared" si="0"/>
        <v>10.064521805437428</v>
      </c>
      <c r="C17" s="1">
        <f>'1970-2010'!B8</f>
        <v>2059020</v>
      </c>
      <c r="D17" s="1">
        <f>'1970-2010'!C8</f>
        <v>204582</v>
      </c>
      <c r="E17" s="1">
        <f t="shared" si="1"/>
        <v>2263602</v>
      </c>
    </row>
    <row r="20" spans="1:13" x14ac:dyDescent="0.2">
      <c r="A20" t="s">
        <v>784</v>
      </c>
    </row>
    <row r="21" spans="1:13" x14ac:dyDescent="0.2">
      <c r="B21" s="28" t="s">
        <v>517</v>
      </c>
      <c r="C21" s="28"/>
      <c r="D21" s="28"/>
      <c r="E21" s="28"/>
      <c r="G21" s="28" t="s">
        <v>780</v>
      </c>
      <c r="H21" s="28"/>
      <c r="I21" s="28"/>
      <c r="J21" s="28"/>
      <c r="K21" t="s">
        <v>781</v>
      </c>
    </row>
    <row r="22" spans="1:13" x14ac:dyDescent="0.2">
      <c r="B22" t="s">
        <v>38</v>
      </c>
      <c r="C22" t="s">
        <v>915</v>
      </c>
      <c r="D22" t="s">
        <v>916</v>
      </c>
      <c r="E22" t="s">
        <v>920</v>
      </c>
      <c r="G22" t="s">
        <v>38</v>
      </c>
      <c r="H22" t="s">
        <v>915</v>
      </c>
      <c r="I22" t="s">
        <v>916</v>
      </c>
      <c r="J22" t="s">
        <v>920</v>
      </c>
      <c r="K22" t="s">
        <v>175</v>
      </c>
    </row>
    <row r="23" spans="1:13" x14ac:dyDescent="0.2">
      <c r="A23">
        <v>1970</v>
      </c>
      <c r="B23" s="3">
        <f>C23/D23</f>
        <v>22.067510548523206</v>
      </c>
      <c r="C23" s="1">
        <f>'1970-2010'!B4</f>
        <v>313800</v>
      </c>
      <c r="D23" s="1">
        <f>'1970-2010'!C4</f>
        <v>14220</v>
      </c>
      <c r="E23" s="1">
        <f>C23+D23</f>
        <v>328020</v>
      </c>
      <c r="G23" s="3">
        <f>H23/I23</f>
        <v>19.058114757526365</v>
      </c>
      <c r="H23" s="1">
        <f t="shared" ref="H23:I27" si="2">C51+C59</f>
        <v>348980.56595813652</v>
      </c>
      <c r="I23" s="1">
        <f t="shared" si="2"/>
        <v>18311.389683510974</v>
      </c>
      <c r="J23" s="1">
        <f>H23+I23</f>
        <v>367291.95564164751</v>
      </c>
      <c r="K23" s="13">
        <f>J23/E23-1</f>
        <v>0.11972427181771694</v>
      </c>
    </row>
    <row r="24" spans="1:13" x14ac:dyDescent="0.2">
      <c r="A24">
        <v>1980</v>
      </c>
      <c r="B24" s="3">
        <f>C24/D24</f>
        <v>16.181999042110306</v>
      </c>
      <c r="C24" s="1">
        <f>'1970-2010'!B5</f>
        <v>439228</v>
      </c>
      <c r="D24" s="1">
        <f>'1970-2010'!C5</f>
        <v>27143</v>
      </c>
      <c r="E24" s="1">
        <f>C24+D24</f>
        <v>466371</v>
      </c>
      <c r="G24" s="3">
        <f>H24/I24</f>
        <v>19.205047969755896</v>
      </c>
      <c r="H24" s="1">
        <f t="shared" si="2"/>
        <v>472829.80301261821</v>
      </c>
      <c r="I24" s="1">
        <f t="shared" si="2"/>
        <v>24620.079249852977</v>
      </c>
      <c r="J24" s="1">
        <f>H24+I24</f>
        <v>497449.88226247119</v>
      </c>
      <c r="K24" s="13">
        <f>J24/E24-1</f>
        <v>6.6639825937871766E-2</v>
      </c>
    </row>
    <row r="25" spans="1:13" x14ac:dyDescent="0.2">
      <c r="A25">
        <v>1990</v>
      </c>
      <c r="B25" s="3">
        <f>C25/D25</f>
        <v>12.133786394045039</v>
      </c>
      <c r="C25" s="1">
        <f>'1970-2010'!B6</f>
        <v>1030207</v>
      </c>
      <c r="D25" s="1">
        <f>'1970-2010'!C6</f>
        <v>84904</v>
      </c>
      <c r="E25" s="1">
        <f>C25+D25</f>
        <v>1115111</v>
      </c>
      <c r="G25" s="3">
        <f>H25/I25</f>
        <v>13.496389723910681</v>
      </c>
      <c r="H25" s="1">
        <f t="shared" si="2"/>
        <v>1034250.0649033464</v>
      </c>
      <c r="I25" s="1">
        <f t="shared" si="2"/>
        <v>76631.609345944744</v>
      </c>
      <c r="J25" s="1">
        <f>H25+I25</f>
        <v>1110881.6742492912</v>
      </c>
      <c r="K25" s="13">
        <f>J25/E25-1</f>
        <v>-3.7927396920206524E-3</v>
      </c>
    </row>
    <row r="26" spans="1:13" x14ac:dyDescent="0.2">
      <c r="A26">
        <v>2000</v>
      </c>
      <c r="B26" s="3">
        <f>C26/D26</f>
        <v>10.640211359700279</v>
      </c>
      <c r="C26" s="1">
        <f>'1970-2010'!B7</f>
        <v>1806261</v>
      </c>
      <c r="D26" s="1">
        <f>'1970-2010'!C7</f>
        <v>169758</v>
      </c>
      <c r="E26" s="1">
        <f>C26+D26</f>
        <v>1976019</v>
      </c>
      <c r="G26" s="3">
        <f>H26/I26</f>
        <v>11.206724525725249</v>
      </c>
      <c r="H26" s="1">
        <f t="shared" si="2"/>
        <v>1779438.1250106441</v>
      </c>
      <c r="I26" s="1">
        <f t="shared" si="2"/>
        <v>158783.0700153207</v>
      </c>
      <c r="J26" s="1">
        <f>H26+I26</f>
        <v>1938221.1950259649</v>
      </c>
      <c r="K26" s="13">
        <f>J26/E26-1</f>
        <v>-1.912825988719502E-2</v>
      </c>
    </row>
    <row r="27" spans="1:13" x14ac:dyDescent="0.2">
      <c r="A27">
        <v>2010</v>
      </c>
      <c r="B27" s="3">
        <f>C27/D27</f>
        <v>10.064521805437428</v>
      </c>
      <c r="C27" s="1">
        <f>'1970-2010'!B8</f>
        <v>2059020</v>
      </c>
      <c r="D27" s="1">
        <f>'1970-2010'!C8</f>
        <v>204582</v>
      </c>
      <c r="E27" s="1">
        <f>C27+D27</f>
        <v>2263602</v>
      </c>
      <c r="G27" s="3">
        <f>H27/I27</f>
        <v>10.417077305565936</v>
      </c>
      <c r="H27" s="1">
        <f t="shared" si="2"/>
        <v>2080241.2005700208</v>
      </c>
      <c r="I27" s="1">
        <f t="shared" si="2"/>
        <v>199695.28300020675</v>
      </c>
      <c r="J27" s="1">
        <f>H27+I27</f>
        <v>2279936.4835702274</v>
      </c>
      <c r="K27" s="13">
        <f>J27/E27-1</f>
        <v>7.2161464648941021E-3</v>
      </c>
    </row>
    <row r="28" spans="1:13" x14ac:dyDescent="0.2">
      <c r="B28" s="3"/>
      <c r="C28" s="1"/>
      <c r="D28" s="1"/>
      <c r="E28" s="1"/>
      <c r="G28" s="1"/>
      <c r="H28" s="1"/>
      <c r="I28" s="1"/>
      <c r="J28" s="3"/>
    </row>
    <row r="29" spans="1:13" x14ac:dyDescent="0.2">
      <c r="A29" t="s">
        <v>791</v>
      </c>
      <c r="B29" s="3"/>
      <c r="C29" s="1"/>
      <c r="D29" s="1"/>
      <c r="E29" s="1"/>
      <c r="G29" s="1"/>
      <c r="H29" s="1"/>
      <c r="I29" s="1"/>
      <c r="J29" s="3"/>
    </row>
    <row r="30" spans="1:13" x14ac:dyDescent="0.2">
      <c r="B30" s="1" t="s">
        <v>787</v>
      </c>
      <c r="C30" s="1" t="s">
        <v>788</v>
      </c>
      <c r="D30" s="1" t="s">
        <v>789</v>
      </c>
      <c r="G30" s="1"/>
      <c r="H30" s="1"/>
      <c r="I30" s="1"/>
      <c r="J30" s="3"/>
    </row>
    <row r="31" spans="1:13" x14ac:dyDescent="0.2">
      <c r="A31">
        <v>1970</v>
      </c>
      <c r="B31" s="1">
        <f>E23</f>
        <v>328020</v>
      </c>
      <c r="C31" s="1">
        <f>J23</f>
        <v>367291.95564164751</v>
      </c>
      <c r="D31" s="1"/>
      <c r="G31" s="1"/>
      <c r="H31" s="1"/>
      <c r="I31" s="1"/>
      <c r="J31" s="3"/>
      <c r="M31" t="s">
        <v>790</v>
      </c>
    </row>
    <row r="32" spans="1:13" x14ac:dyDescent="0.2">
      <c r="A32">
        <v>1980</v>
      </c>
      <c r="B32" s="1">
        <f>E24</f>
        <v>466371</v>
      </c>
      <c r="C32" s="1">
        <f>J24</f>
        <v>497449.88226247119</v>
      </c>
      <c r="D32" s="1">
        <f>'jail sources from 1980'!F18+'jail sources from 1980'!H18</f>
        <v>501886</v>
      </c>
      <c r="G32" s="1"/>
      <c r="H32" s="1"/>
      <c r="I32" s="1"/>
      <c r="J32" s="3"/>
    </row>
    <row r="33" spans="1:13" x14ac:dyDescent="0.2">
      <c r="A33">
        <v>1990</v>
      </c>
      <c r="B33" s="1">
        <f>E25</f>
        <v>1115111</v>
      </c>
      <c r="C33" s="1">
        <f>J25</f>
        <v>1110881.6742492912</v>
      </c>
      <c r="D33" s="1">
        <f>'jail sources from 1980'!F28+'jail sources from 1980'!H28</f>
        <v>1148702</v>
      </c>
      <c r="G33" s="1"/>
      <c r="H33" s="1"/>
      <c r="I33" s="1"/>
      <c r="J33" s="3"/>
    </row>
    <row r="34" spans="1:13" x14ac:dyDescent="0.2">
      <c r="A34">
        <v>2000</v>
      </c>
      <c r="B34" s="1">
        <f>E26</f>
        <v>1976019</v>
      </c>
      <c r="C34" s="1">
        <f>J26</f>
        <v>1938221.1950259649</v>
      </c>
      <c r="D34" s="1">
        <f>'jail sources from 1980'!F38+'jail sources from 1980'!H38</f>
        <v>1937482</v>
      </c>
      <c r="G34" s="1"/>
      <c r="H34" s="1"/>
      <c r="I34" s="1"/>
      <c r="J34" s="3"/>
    </row>
    <row r="35" spans="1:13" x14ac:dyDescent="0.2">
      <c r="A35">
        <v>2010</v>
      </c>
      <c r="B35" s="1">
        <f>E27</f>
        <v>2263602</v>
      </c>
      <c r="C35" s="1">
        <f>J27</f>
        <v>2279936.4835702274</v>
      </c>
      <c r="D35" s="1">
        <f>'jail sources from 1980'!F48+'jail sources from 1980'!H48</f>
        <v>2266832</v>
      </c>
      <c r="G35" s="1"/>
      <c r="H35" s="1"/>
      <c r="I35" s="1"/>
      <c r="J35" s="3"/>
    </row>
    <row r="36" spans="1:13" x14ac:dyDescent="0.2">
      <c r="B36" s="3"/>
      <c r="C36" s="1"/>
      <c r="D36" s="1"/>
      <c r="E36" s="1"/>
      <c r="G36" s="1"/>
      <c r="H36" s="1"/>
      <c r="I36" s="1"/>
      <c r="J36" s="3"/>
    </row>
    <row r="37" spans="1:13" x14ac:dyDescent="0.2">
      <c r="B37" s="3"/>
      <c r="C37" s="1"/>
      <c r="D37" s="1"/>
      <c r="E37" s="1"/>
      <c r="G37" s="1"/>
      <c r="H37" s="1"/>
      <c r="I37" s="1"/>
      <c r="J37" s="3"/>
    </row>
    <row r="38" spans="1:13" x14ac:dyDescent="0.2">
      <c r="B38" s="3"/>
      <c r="C38" s="1"/>
      <c r="D38" s="1"/>
      <c r="E38" s="1"/>
      <c r="G38" s="1"/>
      <c r="H38" s="1"/>
      <c r="I38" s="1"/>
      <c r="J38" s="3"/>
    </row>
    <row r="39" spans="1:13" x14ac:dyDescent="0.2">
      <c r="C39" s="1"/>
      <c r="D39" s="1"/>
    </row>
    <row r="40" spans="1:13" x14ac:dyDescent="0.2">
      <c r="A40" t="s">
        <v>775</v>
      </c>
      <c r="C40" s="1"/>
      <c r="D40" s="1"/>
    </row>
    <row r="41" spans="1:13" x14ac:dyDescent="0.2">
      <c r="C41" t="s">
        <v>34</v>
      </c>
      <c r="G41" t="s">
        <v>33</v>
      </c>
    </row>
    <row r="42" spans="1:13" x14ac:dyDescent="0.2">
      <c r="A42" t="s">
        <v>1017</v>
      </c>
      <c r="B42" t="s">
        <v>6</v>
      </c>
      <c r="C42" t="s">
        <v>1018</v>
      </c>
      <c r="D42" t="s">
        <v>1019</v>
      </c>
      <c r="E42" t="s">
        <v>1020</v>
      </c>
      <c r="G42" t="s">
        <v>1018</v>
      </c>
      <c r="H42" t="s">
        <v>1019</v>
      </c>
      <c r="I42" t="s">
        <v>1020</v>
      </c>
      <c r="J42" t="s">
        <v>6</v>
      </c>
    </row>
    <row r="43" spans="1:13" x14ac:dyDescent="0.2">
      <c r="A43">
        <v>1970</v>
      </c>
      <c r="B43" s="3">
        <f>C43/D43</f>
        <v>16.209138137738112</v>
      </c>
      <c r="C43" s="1">
        <f>'1970-2010'!F15</f>
        <v>121682</v>
      </c>
      <c r="D43" s="1">
        <f>'1970-2010'!G15</f>
        <v>7507</v>
      </c>
      <c r="E43" s="1">
        <f>C43+D43</f>
        <v>129189</v>
      </c>
      <c r="G43" s="1">
        <f>'1970-2010'!B15</f>
        <v>192118</v>
      </c>
      <c r="H43" s="1">
        <f>'1970-2010'!C15</f>
        <v>6713</v>
      </c>
      <c r="I43" s="1">
        <f>G43+H43</f>
        <v>198831</v>
      </c>
      <c r="J43" s="3">
        <f>G43/H43</f>
        <v>28.618799344555342</v>
      </c>
      <c r="M43" t="s">
        <v>783</v>
      </c>
    </row>
    <row r="44" spans="1:13" x14ac:dyDescent="0.2">
      <c r="A44">
        <v>1980</v>
      </c>
      <c r="B44" s="3">
        <f>C44/D44</f>
        <v>11.599416103257528</v>
      </c>
      <c r="C44" s="1">
        <f>'1970-2010'!B77</f>
        <v>150978</v>
      </c>
      <c r="D44" s="1">
        <f>'1970-2010'!C77</f>
        <v>13016</v>
      </c>
      <c r="E44" s="1">
        <f>C44+D44</f>
        <v>163994</v>
      </c>
      <c r="G44" s="1">
        <f>'1970-2010'!B79</f>
        <v>288250</v>
      </c>
      <c r="H44" s="1">
        <f>'1970-2010'!C79</f>
        <v>14127</v>
      </c>
      <c r="I44" s="1">
        <f>G44+H44</f>
        <v>302377</v>
      </c>
      <c r="J44" s="3">
        <f>G44/H44</f>
        <v>20.404190557089262</v>
      </c>
    </row>
    <row r="45" spans="1:13" x14ac:dyDescent="0.2">
      <c r="C45" s="1"/>
      <c r="E45" s="1"/>
    </row>
    <row r="47" spans="1:13" x14ac:dyDescent="0.2">
      <c r="A47" t="s">
        <v>774</v>
      </c>
    </row>
    <row r="49" spans="1:13" x14ac:dyDescent="0.2">
      <c r="C49" t="s">
        <v>773</v>
      </c>
      <c r="G49" t="s">
        <v>778</v>
      </c>
    </row>
    <row r="50" spans="1:13" x14ac:dyDescent="0.2">
      <c r="A50" t="s">
        <v>1017</v>
      </c>
      <c r="B50" t="s">
        <v>6</v>
      </c>
      <c r="C50" t="s">
        <v>1018</v>
      </c>
      <c r="D50" t="s">
        <v>1019</v>
      </c>
      <c r="E50" t="s">
        <v>1020</v>
      </c>
      <c r="G50" t="s">
        <v>1018</v>
      </c>
      <c r="H50" t="s">
        <v>1019</v>
      </c>
      <c r="I50" t="s">
        <v>1020</v>
      </c>
      <c r="J50" t="s">
        <v>6</v>
      </c>
    </row>
    <row r="51" spans="1:13" x14ac:dyDescent="0.2">
      <c r="A51">
        <v>1970</v>
      </c>
      <c r="B51" s="3">
        <f>C51/D51</f>
        <v>29.238190291927069</v>
      </c>
      <c r="C51" s="1">
        <f>C70</f>
        <v>199596.39116643291</v>
      </c>
      <c r="D51" s="1">
        <f>D70</f>
        <v>6826.5644752145718</v>
      </c>
      <c r="E51" s="1">
        <f>C51+D51</f>
        <v>206422.95564164748</v>
      </c>
      <c r="M51" t="s">
        <v>776</v>
      </c>
    </row>
    <row r="52" spans="1:13" x14ac:dyDescent="0.2">
      <c r="A52">
        <v>1980</v>
      </c>
      <c r="B52" s="3">
        <f>C52/D52</f>
        <v>23.386800552861843</v>
      </c>
      <c r="C52" s="1">
        <f t="shared" ref="C52:D55" si="3">G52-G60</f>
        <v>302741.98296772665</v>
      </c>
      <c r="D52" s="1">
        <f t="shared" si="3"/>
        <v>12944.993578041189</v>
      </c>
      <c r="E52" s="1">
        <f>C52+D52</f>
        <v>315686.97654576786</v>
      </c>
      <c r="G52" s="1">
        <f>('fed-state from 1925'!F61*'fed-state from 1925'!F62)^0.5</f>
        <v>308841.18614912743</v>
      </c>
      <c r="H52" s="1">
        <f>('fed-state from 1925'!G61*'fed-state from 1925'!G62)^0.5</f>
        <v>13205.790396640406</v>
      </c>
      <c r="I52" s="1">
        <f>G52+H52</f>
        <v>322046.97654576786</v>
      </c>
      <c r="J52" s="3">
        <f>G52/H52</f>
        <v>23.386800552861839</v>
      </c>
      <c r="M52" t="s">
        <v>777</v>
      </c>
    </row>
    <row r="53" spans="1:13" x14ac:dyDescent="0.2">
      <c r="A53">
        <v>1990</v>
      </c>
      <c r="B53" s="3">
        <f>C53/D53</f>
        <v>16.546796006317017</v>
      </c>
      <c r="C53" s="1">
        <f t="shared" si="3"/>
        <v>683704.29868984153</v>
      </c>
      <c r="D53" s="1">
        <f t="shared" si="3"/>
        <v>41319.437214843645</v>
      </c>
      <c r="E53" s="1">
        <f>C53+D53</f>
        <v>725023.73590468522</v>
      </c>
      <c r="G53" s="1">
        <f>('fed-state from 1925'!F71*'fed-state from 1925'!F72)^0.5</f>
        <v>700276.74832169036</v>
      </c>
      <c r="H53" s="1">
        <f>('fed-state from 1925'!G71*'fed-state from 1925'!G72)^0.5</f>
        <v>42320.9875829948</v>
      </c>
      <c r="I53" s="1">
        <f>G53+H53</f>
        <v>742597.73590468522</v>
      </c>
      <c r="J53" s="3">
        <f>G53/H53</f>
        <v>16.546796006317017</v>
      </c>
    </row>
    <row r="54" spans="1:13" x14ac:dyDescent="0.2">
      <c r="A54">
        <v>2000</v>
      </c>
      <c r="B54" s="3">
        <f>C54/D54</f>
        <v>14.001493743354702</v>
      </c>
      <c r="C54" s="1">
        <f t="shared" si="3"/>
        <v>1229276.1250106441</v>
      </c>
      <c r="D54" s="1">
        <f t="shared" si="3"/>
        <v>87796.0700153207</v>
      </c>
      <c r="E54" s="1">
        <f>C54+D54</f>
        <v>1317072.1950259649</v>
      </c>
      <c r="G54" s="1">
        <f>('fed-state from 1925'!F81*'fed-state from 1925'!F82)^0.5</f>
        <v>1288207.2108131517</v>
      </c>
      <c r="H54" s="1">
        <f>('fed-state from 1925'!G81*'fed-state from 1925'!G82)^0.5</f>
        <v>92004.984212813171</v>
      </c>
      <c r="I54" s="1">
        <f>G54+H54</f>
        <v>1380212.1950259649</v>
      </c>
      <c r="J54" s="3">
        <f>G54/H54</f>
        <v>14.0014937433547</v>
      </c>
    </row>
    <row r="55" spans="1:13" x14ac:dyDescent="0.2">
      <c r="A55">
        <v>2010</v>
      </c>
      <c r="B55" s="3">
        <f>C55/D55</f>
        <v>13.266721757666014</v>
      </c>
      <c r="C55" s="1">
        <f t="shared" si="3"/>
        <v>1423881.2005700208</v>
      </c>
      <c r="D55" s="1">
        <f t="shared" si="3"/>
        <v>107327.28300020676</v>
      </c>
      <c r="E55" s="1">
        <f>C55+D55</f>
        <v>1531208.4835702276</v>
      </c>
      <c r="G55" s="1">
        <f>('fed-state from 1925'!F91*'fed-state from 1925'!F92)^0.5</f>
        <v>1501468.9053963122</v>
      </c>
      <c r="H55" s="1">
        <f>('fed-state from 1925'!G91*'fed-state from 1925'!G92)^0.5</f>
        <v>113175.57817391524</v>
      </c>
      <c r="I55" s="1">
        <f>G55+H55</f>
        <v>1614644.4835702274</v>
      </c>
      <c r="J55" s="3">
        <f>G55/H55</f>
        <v>13.266721757666014</v>
      </c>
    </row>
    <row r="57" spans="1:13" x14ac:dyDescent="0.2">
      <c r="C57" t="s">
        <v>32</v>
      </c>
      <c r="G57" t="s">
        <v>779</v>
      </c>
    </row>
    <row r="58" spans="1:13" x14ac:dyDescent="0.2">
      <c r="A58" t="s">
        <v>1017</v>
      </c>
      <c r="B58" t="s">
        <v>6</v>
      </c>
      <c r="C58" t="s">
        <v>1018</v>
      </c>
      <c r="D58" t="s">
        <v>1019</v>
      </c>
      <c r="E58" t="s">
        <v>1020</v>
      </c>
      <c r="G58" t="s">
        <v>1018</v>
      </c>
      <c r="H58" t="s">
        <v>1019</v>
      </c>
      <c r="I58" t="s">
        <v>1020</v>
      </c>
      <c r="J58" t="s">
        <v>6</v>
      </c>
    </row>
    <row r="59" spans="1:13" x14ac:dyDescent="0.2">
      <c r="A59">
        <v>1970</v>
      </c>
      <c r="B59" s="3">
        <f>C59/D59</f>
        <v>13.007091712966739</v>
      </c>
      <c r="C59" s="1">
        <f>'1970-2010'!B53</f>
        <v>149384.17479170361</v>
      </c>
      <c r="D59" s="1">
        <f>'1970-2010'!C53</f>
        <v>11484.825208296401</v>
      </c>
      <c r="E59" s="1">
        <f>C59+D59</f>
        <v>160869</v>
      </c>
      <c r="M59" t="s">
        <v>785</v>
      </c>
    </row>
    <row r="60" spans="1:13" x14ac:dyDescent="0.2">
      <c r="A60">
        <v>1980</v>
      </c>
      <c r="B60" s="3">
        <f>C60/D60</f>
        <v>14.568442992718243</v>
      </c>
      <c r="C60" s="1">
        <f>C86</f>
        <v>170087.82004489159</v>
      </c>
      <c r="D60" s="1">
        <f>D86</f>
        <v>11675.085671811787</v>
      </c>
      <c r="E60" s="1">
        <f>C60+D60</f>
        <v>181762.90571670339</v>
      </c>
      <c r="G60" s="1">
        <f>I60-H60</f>
        <v>6099.2031814007823</v>
      </c>
      <c r="H60" s="1">
        <f>I60/(1+J52)</f>
        <v>260.79681859921726</v>
      </c>
      <c r="I60" s="1">
        <f>'fs jurisdiction'!E72</f>
        <v>6360</v>
      </c>
      <c r="J60" s="3">
        <f>G60/H60</f>
        <v>23.386800552861835</v>
      </c>
      <c r="M60" t="s">
        <v>782</v>
      </c>
    </row>
    <row r="61" spans="1:13" x14ac:dyDescent="0.2">
      <c r="A61">
        <v>1990</v>
      </c>
      <c r="B61" s="3">
        <f>C61/D61</f>
        <v>9.9270519217016027</v>
      </c>
      <c r="C61" s="1">
        <f>C92</f>
        <v>350545.76621350489</v>
      </c>
      <c r="D61" s="1">
        <f>D92</f>
        <v>35312.172131101092</v>
      </c>
      <c r="E61" s="1">
        <f>C61+D61</f>
        <v>385857.93834460597</v>
      </c>
      <c r="G61" s="1">
        <f>I61-H61</f>
        <v>16572.449631848845</v>
      </c>
      <c r="H61" s="1">
        <f>I61/(1+J53)</f>
        <v>1001.5503681511536</v>
      </c>
      <c r="I61" s="1">
        <f>'fs jurisdiction'!F82</f>
        <v>17574</v>
      </c>
      <c r="J61" s="3">
        <f>G61/H61</f>
        <v>16.546796006317017</v>
      </c>
    </row>
    <row r="62" spans="1:13" x14ac:dyDescent="0.2">
      <c r="A62">
        <v>2000</v>
      </c>
      <c r="B62" s="3">
        <f>C62/D62</f>
        <v>7.7501796103511911</v>
      </c>
      <c r="C62" s="1">
        <f>'jail sources from 1980'!C298</f>
        <v>550162</v>
      </c>
      <c r="D62" s="1">
        <f>'jail sources from 1980'!C299</f>
        <v>70987</v>
      </c>
      <c r="E62" s="1">
        <f>C62+D62</f>
        <v>621149</v>
      </c>
      <c r="G62" s="1">
        <f>I62-H62</f>
        <v>58931.085802507536</v>
      </c>
      <c r="H62" s="1">
        <f>I62/(1+J54)</f>
        <v>4208.914197492466</v>
      </c>
      <c r="I62" s="1">
        <f>'fs jurisdiction'!E35+'fs jurisdiction'!E52</f>
        <v>63140</v>
      </c>
      <c r="J62" s="3">
        <f>G62/H62</f>
        <v>14.0014937433547</v>
      </c>
    </row>
    <row r="63" spans="1:13" x14ac:dyDescent="0.2">
      <c r="A63">
        <v>2010</v>
      </c>
      <c r="B63" s="3">
        <f>C63/D63</f>
        <v>7.1059241295686819</v>
      </c>
      <c r="C63" s="1">
        <f>'jail sources from 1980'!I298</f>
        <v>656360</v>
      </c>
      <c r="D63" s="1">
        <f>'jail sources from 1980'!I299</f>
        <v>92368</v>
      </c>
      <c r="E63" s="1">
        <f>C63+D63</f>
        <v>748728</v>
      </c>
      <c r="G63" s="1">
        <f>I63-H63</f>
        <v>77587.70482629152</v>
      </c>
      <c r="H63" s="1">
        <f>I63/(1+J55)</f>
        <v>5848.2951737084859</v>
      </c>
      <c r="I63" s="1">
        <f>'fs jurisdiction'!E45+'fs jurisdiction'!E62</f>
        <v>83436</v>
      </c>
      <c r="J63" s="3">
        <f>G63/H63</f>
        <v>13.266721757666016</v>
      </c>
    </row>
    <row r="64" spans="1:13" x14ac:dyDescent="0.2">
      <c r="B64" s="3"/>
      <c r="C64" s="1"/>
      <c r="D64" s="1"/>
      <c r="E64" s="1"/>
      <c r="H64" s="1"/>
      <c r="I64" s="1"/>
      <c r="K64" s="1"/>
    </row>
    <row r="65" spans="1:13" x14ac:dyDescent="0.2">
      <c r="B65" s="3"/>
      <c r="C65" s="1"/>
      <c r="D65" s="1"/>
      <c r="E65" s="1"/>
      <c r="H65" s="1"/>
      <c r="I65" s="1"/>
      <c r="K65" s="1"/>
    </row>
    <row r="66" spans="1:13" x14ac:dyDescent="0.2">
      <c r="A66" t="s">
        <v>574</v>
      </c>
      <c r="H66" s="1" t="s">
        <v>572</v>
      </c>
    </row>
    <row r="67" spans="1:13" ht="13.5" customHeight="1" x14ac:dyDescent="0.2">
      <c r="B67" t="s">
        <v>6</v>
      </c>
      <c r="C67" t="s">
        <v>1018</v>
      </c>
      <c r="D67" t="s">
        <v>1019</v>
      </c>
      <c r="E67" t="s">
        <v>1020</v>
      </c>
      <c r="G67" s="5"/>
      <c r="H67" t="s">
        <v>573</v>
      </c>
      <c r="I67" s="1" t="s">
        <v>38</v>
      </c>
      <c r="K67" s="1"/>
    </row>
    <row r="68" spans="1:13" ht="13.5" customHeight="1" x14ac:dyDescent="0.2">
      <c r="A68" t="s">
        <v>570</v>
      </c>
      <c r="B68" s="3">
        <f>C68/D68</f>
        <v>31.1864410310442</v>
      </c>
      <c r="C68" s="1">
        <f>('fed-state from 1925'!B51*'fed-state from 1925'!B52)^0.5</f>
        <v>190102.24596779491</v>
      </c>
      <c r="D68" s="1">
        <f>('fed-state from 1925'!C51*'fed-state from 1925'!C52)^0.5</f>
        <v>6095.66977452027</v>
      </c>
      <c r="E68" s="1">
        <f>C68+D68</f>
        <v>196197.91574231518</v>
      </c>
      <c r="G68" s="5"/>
      <c r="H68" s="13">
        <f>AVERAGE('fs sentenced'!D6:D8)</f>
        <v>4.9534412815419065E-2</v>
      </c>
      <c r="I68" s="2">
        <f>AVERAGE('fs sentenced'!E6:E8)</f>
        <v>12.989757881154681</v>
      </c>
      <c r="K68" s="1"/>
      <c r="M68" t="s">
        <v>580</v>
      </c>
    </row>
    <row r="69" spans="1:13" ht="13.5" customHeight="1" x14ac:dyDescent="0.2">
      <c r="A69" t="s">
        <v>571</v>
      </c>
      <c r="B69" s="3">
        <f>C69/D69</f>
        <v>12.989757881154681</v>
      </c>
      <c r="C69" s="1">
        <f>E69-D69</f>
        <v>9494.1451986380016</v>
      </c>
      <c r="D69" s="1">
        <f>E69/(1+I68)</f>
        <v>730.89470069430206</v>
      </c>
      <c r="E69" s="1">
        <f>H68*E68/(1-H68)</f>
        <v>10225.039899332303</v>
      </c>
      <c r="G69" s="5"/>
      <c r="H69" s="1"/>
      <c r="I69" s="1"/>
      <c r="K69" s="1"/>
      <c r="M69" t="s">
        <v>581</v>
      </c>
    </row>
    <row r="70" spans="1:13" ht="13.5" customHeight="1" x14ac:dyDescent="0.2">
      <c r="A70" t="s">
        <v>920</v>
      </c>
      <c r="B70" s="3">
        <f>C70/D70</f>
        <v>29.238190291927069</v>
      </c>
      <c r="C70" s="1">
        <f>C68+C69</f>
        <v>199596.39116643291</v>
      </c>
      <c r="D70" s="1">
        <f>D68+D69</f>
        <v>6826.5644752145718</v>
      </c>
      <c r="E70" s="1">
        <f>C70+D70</f>
        <v>206422.95564164748</v>
      </c>
      <c r="G70" s="5"/>
      <c r="H70" s="1"/>
      <c r="I70" s="1"/>
      <c r="K70" s="1"/>
    </row>
    <row r="71" spans="1:13" ht="13.5" customHeight="1" x14ac:dyDescent="0.2">
      <c r="B71" s="3"/>
      <c r="C71" s="1"/>
      <c r="D71" s="1"/>
      <c r="E71" s="1"/>
      <c r="G71" s="5"/>
      <c r="H71" s="1"/>
      <c r="I71" s="1"/>
      <c r="K71" s="1"/>
    </row>
    <row r="72" spans="1:13" ht="13.5" customHeight="1" x14ac:dyDescent="0.2">
      <c r="B72" s="3"/>
      <c r="C72" s="1"/>
      <c r="D72" s="1"/>
      <c r="E72" s="1"/>
      <c r="G72" s="5"/>
      <c r="H72" s="1"/>
      <c r="I72" s="1"/>
      <c r="K72" s="1"/>
    </row>
    <row r="73" spans="1:13" ht="13.5" customHeight="1" x14ac:dyDescent="0.2">
      <c r="B73" s="3"/>
      <c r="C73" s="1"/>
      <c r="D73" s="1"/>
      <c r="E73" s="1"/>
      <c r="G73" s="5"/>
      <c r="H73" s="1"/>
      <c r="I73" s="1"/>
      <c r="K73" s="1"/>
    </row>
    <row r="74" spans="1:13" ht="13.5" customHeight="1" x14ac:dyDescent="0.2">
      <c r="A74" t="s">
        <v>576</v>
      </c>
      <c r="B74" s="3"/>
      <c r="C74" s="1"/>
      <c r="D74" s="1"/>
      <c r="E74" s="1"/>
      <c r="G74" s="5"/>
      <c r="H74" s="1"/>
      <c r="I74" s="1"/>
      <c r="K74" s="1"/>
    </row>
    <row r="75" spans="1:13" ht="13.5" customHeight="1" x14ac:dyDescent="0.2">
      <c r="B75" t="s">
        <v>6</v>
      </c>
      <c r="C75" t="s">
        <v>1018</v>
      </c>
      <c r="D75" t="s">
        <v>1019</v>
      </c>
      <c r="E75" t="s">
        <v>1020</v>
      </c>
      <c r="G75" s="5"/>
      <c r="H75" s="1"/>
      <c r="I75" s="1"/>
      <c r="K75" s="1"/>
    </row>
    <row r="76" spans="1:13" ht="13.5" customHeight="1" x14ac:dyDescent="0.2">
      <c r="A76" t="s">
        <v>31</v>
      </c>
      <c r="G76" s="5"/>
      <c r="H76" s="1"/>
      <c r="I76" s="1"/>
      <c r="K76" s="1"/>
    </row>
    <row r="77" spans="1:13" ht="13.5" customHeight="1" x14ac:dyDescent="0.2">
      <c r="A77">
        <v>1978</v>
      </c>
      <c r="B77" s="3">
        <f>C77/D77</f>
        <v>15.900183248895116</v>
      </c>
      <c r="C77" s="1">
        <v>147506</v>
      </c>
      <c r="D77" s="1">
        <v>9277</v>
      </c>
      <c r="E77" s="1">
        <f>C77+D77</f>
        <v>156783</v>
      </c>
      <c r="G77" s="5"/>
      <c r="H77" s="1"/>
      <c r="I77" s="1"/>
      <c r="K77" s="1"/>
      <c r="M77" t="s">
        <v>579</v>
      </c>
    </row>
    <row r="78" spans="1:13" ht="13.5" customHeight="1" x14ac:dyDescent="0.2">
      <c r="A78">
        <v>1983</v>
      </c>
      <c r="B78" s="3">
        <f>C78/D78</f>
        <v>13.17167135190391</v>
      </c>
      <c r="C78" s="1">
        <v>206163</v>
      </c>
      <c r="D78" s="1">
        <v>15652</v>
      </c>
      <c r="E78" s="1">
        <f>C78+D78</f>
        <v>221815</v>
      </c>
      <c r="G78" s="5"/>
      <c r="H78" s="1"/>
      <c r="I78" s="1"/>
      <c r="K78" s="1"/>
    </row>
    <row r="79" spans="1:13" x14ac:dyDescent="0.2">
      <c r="A79" t="s">
        <v>26</v>
      </c>
    </row>
    <row r="80" spans="1:13" x14ac:dyDescent="0.2">
      <c r="A80">
        <v>1978</v>
      </c>
      <c r="B80" s="3">
        <f>C80/D80</f>
        <v>4.7949640287769784</v>
      </c>
      <c r="C80">
        <v>1333</v>
      </c>
      <c r="D80">
        <v>278</v>
      </c>
      <c r="E80">
        <v>1611</v>
      </c>
    </row>
    <row r="81" spans="1:13" x14ac:dyDescent="0.2">
      <c r="A81">
        <v>1982</v>
      </c>
      <c r="B81" s="3">
        <f>C81/D81</f>
        <v>10.375</v>
      </c>
      <c r="C81">
        <v>1577</v>
      </c>
      <c r="D81">
        <v>152</v>
      </c>
      <c r="E81" s="1">
        <f>C81+D81</f>
        <v>1729</v>
      </c>
      <c r="M81" t="s">
        <v>577</v>
      </c>
    </row>
    <row r="82" spans="1:13" x14ac:dyDescent="0.2">
      <c r="A82">
        <v>1983</v>
      </c>
      <c r="B82" s="3">
        <f>C82/D82</f>
        <v>13.837606837606838</v>
      </c>
      <c r="C82">
        <v>1619</v>
      </c>
      <c r="D82">
        <v>117</v>
      </c>
      <c r="E82">
        <v>1736</v>
      </c>
    </row>
    <row r="83" spans="1:13" x14ac:dyDescent="0.2">
      <c r="A83" t="s">
        <v>919</v>
      </c>
    </row>
    <row r="84" spans="1:13" x14ac:dyDescent="0.2">
      <c r="A84">
        <v>1979</v>
      </c>
      <c r="B84" s="3">
        <f>C84/D84</f>
        <v>15.577080062794348</v>
      </c>
      <c r="C84" s="1">
        <f>C77+C80</f>
        <v>148839</v>
      </c>
      <c r="D84" s="1">
        <f>D77+D80</f>
        <v>9555</v>
      </c>
      <c r="E84" s="1">
        <f>C84+D84</f>
        <v>158394</v>
      </c>
    </row>
    <row r="85" spans="1:13" x14ac:dyDescent="0.2">
      <c r="A85">
        <v>1983</v>
      </c>
      <c r="B85" s="3">
        <f>C85/D85</f>
        <v>13.176612340668401</v>
      </c>
      <c r="C85" s="1">
        <f>C78+C82</f>
        <v>207782</v>
      </c>
      <c r="D85" s="1">
        <f>D78+D82</f>
        <v>15769</v>
      </c>
      <c r="E85" s="1">
        <f>C85+D85</f>
        <v>223551</v>
      </c>
    </row>
    <row r="86" spans="1:13" x14ac:dyDescent="0.2">
      <c r="A86" t="s">
        <v>25</v>
      </c>
      <c r="B86" s="3">
        <f>C86/D86</f>
        <v>14.568442992718243</v>
      </c>
      <c r="C86" s="1">
        <f>C84*(C85/C84)^0.4</f>
        <v>170087.82004489159</v>
      </c>
      <c r="D86" s="1">
        <f>D84*(D85/D84)^0.4</f>
        <v>11675.085671811787</v>
      </c>
      <c r="E86" s="1">
        <f>C86+D86</f>
        <v>181762.90571670339</v>
      </c>
      <c r="M86" t="s">
        <v>578</v>
      </c>
    </row>
    <row r="87" spans="1:13" x14ac:dyDescent="0.2">
      <c r="B87" s="3"/>
      <c r="C87" s="9"/>
      <c r="D87" s="9"/>
      <c r="E87" s="1"/>
      <c r="G87" s="10"/>
    </row>
    <row r="88" spans="1:13" x14ac:dyDescent="0.2">
      <c r="B88" s="3"/>
      <c r="C88" s="9"/>
      <c r="D88" s="9"/>
      <c r="E88" s="1"/>
      <c r="G88" s="10"/>
    </row>
    <row r="89" spans="1:13" x14ac:dyDescent="0.2">
      <c r="A89" t="s">
        <v>31</v>
      </c>
      <c r="B89" t="s">
        <v>6</v>
      </c>
      <c r="C89" t="s">
        <v>1018</v>
      </c>
      <c r="D89" t="s">
        <v>1019</v>
      </c>
      <c r="E89" t="s">
        <v>1020</v>
      </c>
      <c r="G89" s="10"/>
    </row>
    <row r="90" spans="1:13" x14ac:dyDescent="0.2">
      <c r="A90">
        <v>1988</v>
      </c>
      <c r="B90" s="3">
        <f>C90/D90</f>
        <v>10.29752392226497</v>
      </c>
      <c r="C90" s="9">
        <v>313158</v>
      </c>
      <c r="D90" s="9">
        <v>30411</v>
      </c>
      <c r="E90" s="1">
        <f>C90+D90</f>
        <v>343569</v>
      </c>
      <c r="G90" s="10"/>
      <c r="M90" t="s">
        <v>739</v>
      </c>
    </row>
    <row r="91" spans="1:13" x14ac:dyDescent="0.2">
      <c r="A91">
        <v>1993</v>
      </c>
      <c r="B91" s="3">
        <f>C91/D91</f>
        <v>9.3961841390548617</v>
      </c>
      <c r="C91" s="1">
        <f>'jail sources from 1980'!C220</f>
        <v>415161</v>
      </c>
      <c r="D91" s="1">
        <f>'jail sources from 1980'!D220</f>
        <v>44184</v>
      </c>
      <c r="E91" s="1">
        <f>C91+D91</f>
        <v>459345</v>
      </c>
      <c r="G91" s="10"/>
      <c r="M91" t="s">
        <v>740</v>
      </c>
    </row>
    <row r="92" spans="1:13" x14ac:dyDescent="0.2">
      <c r="A92" t="s">
        <v>741</v>
      </c>
      <c r="B92" s="3">
        <f>C92/D92</f>
        <v>9.9270519217016027</v>
      </c>
      <c r="C92" s="1">
        <f>C90*(C91/C90)^0.4</f>
        <v>350545.76621350489</v>
      </c>
      <c r="D92" s="1">
        <f>D90*(D91/D90)^0.4</f>
        <v>35312.172131101092</v>
      </c>
      <c r="E92" s="1">
        <f>C92+D92</f>
        <v>385857.93834460597</v>
      </c>
      <c r="G92" s="10"/>
    </row>
    <row r="93" spans="1:13" x14ac:dyDescent="0.2">
      <c r="B93" s="3"/>
      <c r="C93" s="1"/>
      <c r="D93" s="9"/>
      <c r="E93" s="9"/>
      <c r="G93" s="10"/>
    </row>
    <row r="94" spans="1:13" x14ac:dyDescent="0.2">
      <c r="B94" s="3"/>
      <c r="C94" s="1"/>
      <c r="D94" s="9"/>
      <c r="E94" s="9"/>
      <c r="G94" s="10"/>
    </row>
    <row r="95" spans="1:13" x14ac:dyDescent="0.2">
      <c r="B95" s="3"/>
      <c r="C95" s="1"/>
      <c r="D95" s="9"/>
      <c r="E95" s="9"/>
      <c r="G95" s="10"/>
    </row>
    <row r="97" spans="1:13" x14ac:dyDescent="0.2">
      <c r="A97" t="s">
        <v>566</v>
      </c>
    </row>
    <row r="98" spans="1:13" x14ac:dyDescent="0.2">
      <c r="B98" t="s">
        <v>6</v>
      </c>
      <c r="C98" t="s">
        <v>1018</v>
      </c>
      <c r="D98" t="s">
        <v>1019</v>
      </c>
      <c r="E98" t="s">
        <v>1020</v>
      </c>
      <c r="F98" s="18" t="s">
        <v>1195</v>
      </c>
    </row>
    <row r="99" spans="1:13" x14ac:dyDescent="0.2">
      <c r="A99">
        <v>1983</v>
      </c>
      <c r="B99" s="3">
        <f t="shared" ref="B99:B126" si="4">C99/D99</f>
        <v>17.997173511767421</v>
      </c>
      <c r="C99" s="1">
        <f>'fed-state from 1925'!F65+'jails from 1983'!B6</f>
        <v>623998</v>
      </c>
      <c r="D99" s="1">
        <f>'fed-state from 1925'!G65+'jails from 1983'!C6</f>
        <v>34672</v>
      </c>
      <c r="E99" s="1">
        <f>C99+D99</f>
        <v>658670</v>
      </c>
      <c r="F99" s="1">
        <f>'fed-state from 1925'!H65+'jails from 1983'!F6</f>
        <v>660406</v>
      </c>
      <c r="M99" t="s">
        <v>567</v>
      </c>
    </row>
    <row r="100" spans="1:13" x14ac:dyDescent="0.2">
      <c r="A100">
        <v>1984</v>
      </c>
      <c r="B100" s="3">
        <f t="shared" si="4"/>
        <v>17.578055236211</v>
      </c>
      <c r="C100" s="1">
        <f>'fed-state from 1925'!F66+'jails from 1983'!B7</f>
        <v>657472</v>
      </c>
      <c r="D100" s="1">
        <f>'fed-state from 1925'!G66+'jails from 1983'!C7</f>
        <v>37403</v>
      </c>
      <c r="E100" s="1">
        <f t="shared" ref="E100:E126" si="5">C100+D100</f>
        <v>694875</v>
      </c>
      <c r="F100" s="1">
        <f>'fed-state from 1925'!H66+'jails from 1983'!F7</f>
        <v>696357</v>
      </c>
    </row>
    <row r="101" spans="1:13" x14ac:dyDescent="0.2">
      <c r="A101">
        <v>1985</v>
      </c>
      <c r="B101" s="3">
        <f t="shared" si="4"/>
        <v>16.990809129123424</v>
      </c>
      <c r="C101" s="1">
        <f>'fed-state from 1925'!F67+'jails from 1983'!B8</f>
        <v>715432</v>
      </c>
      <c r="D101" s="1">
        <f>'fed-state from 1925'!G67+'jails from 1983'!C8</f>
        <v>42107</v>
      </c>
      <c r="E101" s="1">
        <f t="shared" si="5"/>
        <v>757539</v>
      </c>
      <c r="F101" s="1">
        <f>'fed-state from 1925'!H67+'jails from 1983'!F8</f>
        <v>759168</v>
      </c>
      <c r="M101" s="18" t="s">
        <v>1196</v>
      </c>
    </row>
    <row r="102" spans="1:13" x14ac:dyDescent="0.2">
      <c r="A102">
        <v>1986</v>
      </c>
      <c r="B102" s="3">
        <f t="shared" si="4"/>
        <v>15.983740343882383</v>
      </c>
      <c r="C102" s="1">
        <f>'fed-state from 1925'!F68+'jails from 1983'!B9</f>
        <v>769713</v>
      </c>
      <c r="D102" s="1">
        <f>'fed-state from 1925'!G68+'jails from 1983'!C9</f>
        <v>48156</v>
      </c>
      <c r="E102" s="1">
        <f t="shared" si="5"/>
        <v>817869</v>
      </c>
      <c r="F102" s="1">
        <f>'fed-state from 1925'!H68+'jails from 1983'!F9</f>
        <v>819577</v>
      </c>
      <c r="M102" s="18" t="s">
        <v>1197</v>
      </c>
    </row>
    <row r="103" spans="1:13" x14ac:dyDescent="0.2">
      <c r="A103">
        <v>1987</v>
      </c>
      <c r="B103" s="3">
        <f t="shared" si="4"/>
        <v>15.580986712969953</v>
      </c>
      <c r="C103" s="1">
        <f>'fed-state from 1925'!F69+'jails from 1983'!B10</f>
        <v>825543</v>
      </c>
      <c r="D103" s="1">
        <f>'fed-state from 1925'!G69+'jails from 1983'!C10</f>
        <v>52984</v>
      </c>
      <c r="E103" s="1">
        <f t="shared" si="5"/>
        <v>878527</v>
      </c>
      <c r="F103" s="1">
        <f>'fed-state from 1925'!H69+'jails from 1983'!F10</f>
        <v>880308</v>
      </c>
    </row>
    <row r="104" spans="1:13" x14ac:dyDescent="0.2">
      <c r="A104">
        <v>1988</v>
      </c>
      <c r="B104" s="3">
        <f t="shared" si="4"/>
        <v>14.415258145044602</v>
      </c>
      <c r="C104" s="1">
        <f>'fed-state from 1925'!F70+'jails from 1983'!B11</f>
        <v>906590</v>
      </c>
      <c r="D104" s="1">
        <f>'fed-state from 1925'!G70+'jails from 1983'!C11</f>
        <v>62891</v>
      </c>
      <c r="E104" s="1">
        <f t="shared" si="5"/>
        <v>969481</v>
      </c>
      <c r="F104" s="1">
        <f>'fed-state from 1925'!H70+'jails from 1983'!F11</f>
        <v>971157</v>
      </c>
    </row>
    <row r="105" spans="1:13" x14ac:dyDescent="0.2">
      <c r="A105">
        <v>1989</v>
      </c>
      <c r="B105" s="3">
        <f t="shared" si="4"/>
        <v>13.196074404035995</v>
      </c>
      <c r="C105" s="1">
        <f>'fed-state from 1925'!F71+'jails from 1983'!B12</f>
        <v>1027961</v>
      </c>
      <c r="D105" s="1">
        <f>'fed-state from 1925'!G71+'jails from 1983'!C12</f>
        <v>77899</v>
      </c>
      <c r="E105" s="1">
        <f t="shared" si="5"/>
        <v>1105860</v>
      </c>
      <c r="F105" s="1">
        <f>'fed-state from 1925'!H71+'jails from 1983'!F12</f>
        <v>1108110</v>
      </c>
    </row>
    <row r="106" spans="1:13" x14ac:dyDescent="0.2">
      <c r="A106">
        <v>1990</v>
      </c>
      <c r="B106" s="3">
        <f t="shared" si="4"/>
        <v>13.482901197346886</v>
      </c>
      <c r="C106" s="1">
        <f>'fed-state from 1925'!F72+'jails from 1983'!B13</f>
        <v>1095661</v>
      </c>
      <c r="D106" s="1">
        <f>'fed-state from 1925'!G72+'jails from 1983'!C13</f>
        <v>81263</v>
      </c>
      <c r="E106" s="1">
        <f t="shared" si="5"/>
        <v>1176924</v>
      </c>
      <c r="F106" s="1">
        <f>'fed-state from 1925'!H72+'jails from 1983'!F13</f>
        <v>1179225</v>
      </c>
    </row>
    <row r="107" spans="1:13" x14ac:dyDescent="0.2">
      <c r="A107">
        <v>1991</v>
      </c>
      <c r="B107" s="3">
        <f t="shared" si="4"/>
        <v>13.333999356942721</v>
      </c>
      <c r="C107" s="1">
        <f>'fed-state from 1925'!F73+'jails from 1983'!B14</f>
        <v>1161178</v>
      </c>
      <c r="D107" s="1">
        <f>'fed-state from 1925'!G73+'jails from 1983'!C14</f>
        <v>87084</v>
      </c>
      <c r="E107" s="1">
        <f t="shared" si="5"/>
        <v>1248262</v>
      </c>
      <c r="F107" s="1">
        <f>'fed-state from 1925'!H73+'jails from 1983'!F14</f>
        <v>1250612</v>
      </c>
    </row>
    <row r="108" spans="1:13" x14ac:dyDescent="0.2">
      <c r="A108">
        <v>1992</v>
      </c>
      <c r="B108" s="3">
        <f t="shared" si="4"/>
        <v>13.538550133271908</v>
      </c>
      <c r="C108" s="1">
        <f>'fed-state from 1925'!F74+'jails from 1983'!B15</f>
        <v>1234269</v>
      </c>
      <c r="D108" s="1">
        <f>'fed-state from 1925'!G74+'jails from 1983'!C15</f>
        <v>91167</v>
      </c>
      <c r="E108" s="1">
        <f t="shared" si="5"/>
        <v>1325436</v>
      </c>
      <c r="F108" s="1">
        <f>'fed-state from 1925'!H74+'jails from 1983'!F15</f>
        <v>1328240</v>
      </c>
    </row>
    <row r="109" spans="1:13" x14ac:dyDescent="0.2">
      <c r="A109">
        <v>1993</v>
      </c>
      <c r="B109" s="3">
        <f t="shared" si="4"/>
        <v>12.933014167073766</v>
      </c>
      <c r="C109" s="1">
        <f>'fed-state from 1925'!F75+'jails from 1983'!B16</f>
        <v>1323694</v>
      </c>
      <c r="D109" s="1">
        <f>'fed-state from 1925'!G75+'jails from 1983'!C16</f>
        <v>102350</v>
      </c>
      <c r="E109" s="1">
        <f t="shared" si="5"/>
        <v>1426044</v>
      </c>
      <c r="F109" s="1">
        <f>'fed-state from 1925'!H75+'jails from 1983'!F16</f>
        <v>1430248</v>
      </c>
    </row>
    <row r="110" spans="1:13" x14ac:dyDescent="0.2">
      <c r="A110">
        <v>1994</v>
      </c>
      <c r="B110" s="3">
        <f t="shared" si="4"/>
        <v>12.602206664303438</v>
      </c>
      <c r="C110" s="1">
        <f>'fed-state from 1925'!F76+'jails from 1983'!B17</f>
        <v>1422033</v>
      </c>
      <c r="D110" s="1">
        <f>'fed-state from 1925'!G76+'jails from 1983'!C17</f>
        <v>112840</v>
      </c>
      <c r="E110" s="1">
        <f t="shared" si="5"/>
        <v>1534873</v>
      </c>
      <c r="F110" s="1">
        <f>'fed-state from 1925'!H76+'jails from 1983'!F17</f>
        <v>1541547</v>
      </c>
    </row>
    <row r="111" spans="1:13" x14ac:dyDescent="0.2">
      <c r="A111">
        <v>1995</v>
      </c>
      <c r="B111" s="3">
        <f t="shared" si="4"/>
        <v>12.569350744773228</v>
      </c>
      <c r="C111" s="1">
        <f>'fed-state from 1925'!F77+'jails from 1983'!B18</f>
        <v>1505406</v>
      </c>
      <c r="D111" s="1">
        <f>'fed-state from 1925'!G77+'jails from 1983'!C18</f>
        <v>119768</v>
      </c>
      <c r="E111" s="1">
        <f t="shared" si="5"/>
        <v>1625174</v>
      </c>
      <c r="F111" s="1">
        <f>'fed-state from 1925'!H77+'jails from 1983'!F18</f>
        <v>1632918</v>
      </c>
    </row>
    <row r="112" spans="1:13" x14ac:dyDescent="0.2">
      <c r="A112">
        <v>1996</v>
      </c>
      <c r="B112" s="3">
        <f t="shared" si="4"/>
        <v>11.96217953623632</v>
      </c>
      <c r="C112" s="1">
        <f>'fed-state from 1925'!F78+'jails from 1983'!B19</f>
        <v>1563098</v>
      </c>
      <c r="D112" s="1">
        <f>'fed-state from 1925'!G78+'jails from 1983'!C19</f>
        <v>130670</v>
      </c>
      <c r="E112" s="1">
        <f t="shared" si="5"/>
        <v>1693768</v>
      </c>
      <c r="F112" s="1">
        <f>'fed-state from 1925'!H78+'jails from 1983'!F19</f>
        <v>1701860</v>
      </c>
    </row>
    <row r="113" spans="1:6" x14ac:dyDescent="0.2">
      <c r="A113">
        <v>1997</v>
      </c>
      <c r="B113" s="3">
        <f t="shared" si="4"/>
        <v>11.99130365751566</v>
      </c>
      <c r="C113" s="1">
        <f>'fed-state from 1925'!F79+'jails from 1983'!B20</f>
        <v>1661563</v>
      </c>
      <c r="D113" s="1">
        <f>'fed-state from 1925'!G79+'jails from 1983'!C20</f>
        <v>138564</v>
      </c>
      <c r="E113" s="1">
        <f t="shared" si="5"/>
        <v>1800127</v>
      </c>
      <c r="F113" s="1">
        <f>'fed-state from 1925'!H79+'jails from 1983'!F20</f>
        <v>1809232</v>
      </c>
    </row>
    <row r="114" spans="1:6" x14ac:dyDescent="0.2">
      <c r="A114">
        <v>1998</v>
      </c>
      <c r="B114" s="3">
        <f t="shared" si="4"/>
        <v>11.723649127543961</v>
      </c>
      <c r="C114" s="1">
        <f>'fed-state from 1925'!F80+'jails from 1983'!B21</f>
        <v>1736800</v>
      </c>
      <c r="D114" s="1">
        <f>'fed-state from 1925'!G80+'jails from 1983'!C21</f>
        <v>148145</v>
      </c>
      <c r="E114" s="1">
        <f t="shared" si="5"/>
        <v>1884945</v>
      </c>
      <c r="F114" s="1">
        <f>'fed-state from 1925'!H80+'jails from 1983'!F21</f>
        <v>1893035</v>
      </c>
    </row>
    <row r="115" spans="1:6" x14ac:dyDescent="0.2">
      <c r="A115">
        <v>1999</v>
      </c>
      <c r="B115" s="3">
        <f t="shared" si="4"/>
        <v>11.404905801274547</v>
      </c>
      <c r="C115" s="1">
        <f>'fed-state from 1925'!F81+'jails from 1983'!B22</f>
        <v>1802169</v>
      </c>
      <c r="D115" s="1">
        <f>'fed-state from 1925'!G81+'jails from 1983'!C22</f>
        <v>158017</v>
      </c>
      <c r="E115" s="1">
        <f t="shared" si="5"/>
        <v>1960186</v>
      </c>
      <c r="F115" s="1">
        <f>'fed-state from 1925'!H81+'jails from 1983'!F22</f>
        <v>1969644</v>
      </c>
    </row>
    <row r="116" spans="1:6" x14ac:dyDescent="0.2">
      <c r="A116">
        <v>2000</v>
      </c>
      <c r="B116" s="3">
        <f t="shared" si="4"/>
        <v>11.26502885589136</v>
      </c>
      <c r="C116" s="1">
        <f>'fed-state from 1925'!F82+'jails from 1983'!B23</f>
        <v>1846541</v>
      </c>
      <c r="D116" s="1">
        <f>'fed-state from 1925'!G82+'jails from 1983'!C23</f>
        <v>163918</v>
      </c>
      <c r="E116" s="1">
        <f t="shared" si="5"/>
        <v>2010459</v>
      </c>
      <c r="F116" s="1">
        <f>'fed-state from 1925'!H82+'jails from 1983'!F23</f>
        <v>2018074</v>
      </c>
    </row>
    <row r="117" spans="1:6" x14ac:dyDescent="0.2">
      <c r="A117">
        <v>2001</v>
      </c>
      <c r="B117" s="3">
        <f t="shared" si="4"/>
        <v>11.244323671497584</v>
      </c>
      <c r="C117" s="1">
        <f>'fed-state from 1925'!F83+'jails from 1983'!B24</f>
        <v>1862060</v>
      </c>
      <c r="D117" s="1">
        <f>'fed-state from 1925'!G83+'jails from 1983'!C24</f>
        <v>165600</v>
      </c>
      <c r="E117" s="1">
        <f t="shared" si="5"/>
        <v>2027660</v>
      </c>
      <c r="F117" s="1">
        <f>'fed-state from 1925'!H83+'jails from 1983'!F24</f>
        <v>2035272</v>
      </c>
    </row>
    <row r="118" spans="1:6" x14ac:dyDescent="0.2">
      <c r="A118">
        <v>2002</v>
      </c>
      <c r="B118" s="3">
        <f t="shared" si="4"/>
        <v>11.02863890672292</v>
      </c>
      <c r="C118" s="1">
        <f>'fed-state from 1925'!F84+'jails from 1983'!B25</f>
        <v>1923924</v>
      </c>
      <c r="D118" s="1">
        <f>'fed-state from 1925'!G84+'jails from 1983'!C25</f>
        <v>174448</v>
      </c>
      <c r="E118" s="1">
        <f t="shared" si="5"/>
        <v>2098372</v>
      </c>
      <c r="F118" s="1">
        <f>'fed-state from 1925'!H84+'jails from 1983'!F25</f>
        <v>2105619</v>
      </c>
    </row>
    <row r="119" spans="1:6" x14ac:dyDescent="0.2">
      <c r="A119">
        <v>2003</v>
      </c>
      <c r="B119" s="3">
        <f t="shared" si="4"/>
        <v>10.797694196037174</v>
      </c>
      <c r="C119" s="1">
        <f>'fed-state from 1925'!F85+'jails from 1983'!B26</f>
        <v>1970536</v>
      </c>
      <c r="D119" s="1">
        <f>'fed-state from 1925'!G85+'jails from 1983'!C26</f>
        <v>182496</v>
      </c>
      <c r="E119" s="1">
        <f t="shared" si="5"/>
        <v>2153032</v>
      </c>
      <c r="F119" s="1">
        <f>'fed-state from 1925'!H85+'jails from 1983'!F26</f>
        <v>2159902</v>
      </c>
    </row>
    <row r="120" spans="1:6" x14ac:dyDescent="0.2">
      <c r="A120">
        <v>2004</v>
      </c>
      <c r="B120" s="3">
        <f t="shared" si="4"/>
        <v>10.489915077077066</v>
      </c>
      <c r="C120" s="1">
        <f>'fed-state from 1925'!F86+'jails from 1983'!B27</f>
        <v>2012186</v>
      </c>
      <c r="D120" s="1">
        <f>'fed-state from 1925'!G86+'jails from 1983'!C27</f>
        <v>191821</v>
      </c>
      <c r="E120" s="1">
        <f t="shared" si="5"/>
        <v>2204007</v>
      </c>
      <c r="F120" s="1">
        <f>'fed-state from 1925'!H86+'jails from 1983'!F27</f>
        <v>2211090</v>
      </c>
    </row>
    <row r="121" spans="1:6" x14ac:dyDescent="0.2">
      <c r="A121">
        <v>2005</v>
      </c>
      <c r="B121" s="3">
        <f t="shared" si="4"/>
        <v>10.250093060884153</v>
      </c>
      <c r="C121" s="1">
        <f>'fed-state from 1925'!F87+'jails from 1983'!B28</f>
        <v>2065199</v>
      </c>
      <c r="D121" s="1">
        <f>'fed-state from 1925'!G87+'jails from 1983'!C28</f>
        <v>201481</v>
      </c>
      <c r="E121" s="1">
        <f t="shared" si="5"/>
        <v>2266680</v>
      </c>
      <c r="F121" s="1">
        <f>'fed-state from 1925'!H87+'jails from 1983'!F28</f>
        <v>2273439</v>
      </c>
    </row>
    <row r="122" spans="1:6" x14ac:dyDescent="0.2">
      <c r="A122">
        <v>2006</v>
      </c>
      <c r="B122" s="3">
        <f t="shared" si="4"/>
        <v>10.04235037465617</v>
      </c>
      <c r="C122" s="1">
        <f>'fed-state from 1925'!F88+'jails from 1983'!B29</f>
        <v>2117530</v>
      </c>
      <c r="D122" s="1">
        <f>'fed-state from 1925'!G88+'jails from 1983'!C29</f>
        <v>210860</v>
      </c>
      <c r="E122" s="1">
        <f t="shared" si="5"/>
        <v>2328390</v>
      </c>
      <c r="F122" s="1">
        <f>'fed-state from 1925'!H88+'jails from 1983'!F29</f>
        <v>2334493</v>
      </c>
    </row>
    <row r="123" spans="1:6" x14ac:dyDescent="0.2">
      <c r="A123">
        <v>2007</v>
      </c>
      <c r="B123" s="3">
        <f t="shared" si="4"/>
        <v>10.059774341362351</v>
      </c>
      <c r="C123" s="1">
        <f>'fed-state from 1925'!F89+'jails from 1983'!B30</f>
        <v>2155870</v>
      </c>
      <c r="D123" s="1">
        <f>'fed-state from 1925'!G89+'jails from 1983'!C30</f>
        <v>214306</v>
      </c>
      <c r="E123" s="1">
        <f t="shared" si="5"/>
        <v>2370176</v>
      </c>
      <c r="F123" s="1">
        <f>'fed-state from 1925'!H89+'jails from 1983'!F30</f>
        <v>2377009</v>
      </c>
    </row>
    <row r="124" spans="1:6" x14ac:dyDescent="0.2">
      <c r="A124">
        <v>2008</v>
      </c>
      <c r="B124" s="3">
        <f t="shared" si="4"/>
        <v>10.16133106312914</v>
      </c>
      <c r="C124" s="1">
        <f>'fed-state from 1925'!F90+'jails from 1983'!B31</f>
        <v>2172330</v>
      </c>
      <c r="D124" s="1">
        <f>'fed-state from 1925'!G90+'jails from 1983'!C31</f>
        <v>213784</v>
      </c>
      <c r="E124" s="1">
        <f t="shared" si="5"/>
        <v>2386114</v>
      </c>
      <c r="F124" s="1">
        <f>'fed-state from 1925'!H90+'jails from 1983'!F31</f>
        <v>2393838</v>
      </c>
    </row>
    <row r="125" spans="1:6" x14ac:dyDescent="0.2">
      <c r="A125">
        <v>2009</v>
      </c>
      <c r="B125" s="3">
        <f t="shared" si="4"/>
        <v>10.495647461301358</v>
      </c>
      <c r="C125" s="1">
        <f>'fed-state from 1925'!F91+'jails from 1983'!B32</f>
        <v>2169041</v>
      </c>
      <c r="D125" s="1">
        <f>'fed-state from 1925'!G91+'jails from 1983'!C32</f>
        <v>206661</v>
      </c>
      <c r="E125" s="1">
        <f t="shared" si="5"/>
        <v>2375702</v>
      </c>
      <c r="F125" s="1">
        <f>'fed-state from 1925'!H91+'jails from 1983'!F32</f>
        <v>2382921</v>
      </c>
    </row>
    <row r="126" spans="1:6" x14ac:dyDescent="0.2">
      <c r="A126">
        <v>2010</v>
      </c>
      <c r="B126" s="3">
        <f t="shared" si="4"/>
        <v>10.501633691654742</v>
      </c>
      <c r="C126" s="1">
        <f>'fed-state from 1925'!F92+'jails from 1983'!B33</f>
        <v>2150220</v>
      </c>
      <c r="D126" s="1">
        <f>'fed-state from 1925'!G92+'jails from 1983'!C33</f>
        <v>204751</v>
      </c>
      <c r="E126" s="1">
        <f t="shared" si="5"/>
        <v>2354971</v>
      </c>
      <c r="F126" s="1">
        <f>'fed-state from 1925'!H92+'jails from 1983'!F33</f>
        <v>2362531</v>
      </c>
    </row>
    <row r="127" spans="1:6" x14ac:dyDescent="0.2">
      <c r="A127">
        <v>2011</v>
      </c>
      <c r="B127" s="3">
        <f>C127/D127</f>
        <v>10.404632438796797</v>
      </c>
      <c r="C127" s="1">
        <f>'fed-state from 1925'!F93+'jails from 1983'!B34</f>
        <v>2129693</v>
      </c>
      <c r="D127" s="1">
        <f>'fed-state from 1925'!G93+'jails from 1983'!C34</f>
        <v>204687</v>
      </c>
      <c r="E127" s="1">
        <f>C127+D127</f>
        <v>2334380</v>
      </c>
      <c r="F127" s="1">
        <f>'fed-state from 1925'!H93+'jails from 1983'!F34</f>
        <v>2334381</v>
      </c>
    </row>
    <row r="129" spans="5:6" x14ac:dyDescent="0.2">
      <c r="E129" s="18"/>
    </row>
    <row r="130" spans="5:6" x14ac:dyDescent="0.2">
      <c r="F130" s="13"/>
    </row>
  </sheetData>
  <mergeCells count="3">
    <mergeCell ref="G21:J21"/>
    <mergeCell ref="B21:E21"/>
    <mergeCell ref="A1:E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9"/>
  <sheetViews>
    <sheetView workbookViewId="0">
      <selection activeCell="G8" sqref="G8"/>
    </sheetView>
  </sheetViews>
  <sheetFormatPr defaultRowHeight="12.75" x14ac:dyDescent="0.2"/>
  <sheetData>
    <row r="1" spans="1:10" x14ac:dyDescent="0.2">
      <c r="A1" s="30" t="s">
        <v>786</v>
      </c>
      <c r="B1" s="30"/>
      <c r="C1" s="30"/>
      <c r="D1" s="30"/>
      <c r="E1" s="30"/>
      <c r="F1" s="30"/>
    </row>
    <row r="4" spans="1:10" x14ac:dyDescent="0.2">
      <c r="A4" t="s">
        <v>389</v>
      </c>
    </row>
    <row r="5" spans="1:10" x14ac:dyDescent="0.2">
      <c r="A5" t="s">
        <v>518</v>
      </c>
    </row>
    <row r="7" spans="1:10" x14ac:dyDescent="0.2">
      <c r="A7" t="s">
        <v>519</v>
      </c>
    </row>
    <row r="9" spans="1:10" x14ac:dyDescent="0.2">
      <c r="A9" t="s">
        <v>520</v>
      </c>
    </row>
    <row r="11" spans="1:10" x14ac:dyDescent="0.2">
      <c r="A11" t="s">
        <v>521</v>
      </c>
    </row>
    <row r="13" spans="1:10" x14ac:dyDescent="0.2">
      <c r="B13" t="s">
        <v>1020</v>
      </c>
    </row>
    <row r="14" spans="1:10" x14ac:dyDescent="0.2">
      <c r="B14" t="s">
        <v>522</v>
      </c>
    </row>
    <row r="15" spans="1:10" x14ac:dyDescent="0.2">
      <c r="B15" t="s">
        <v>523</v>
      </c>
    </row>
    <row r="16" spans="1:10" x14ac:dyDescent="0.2">
      <c r="B16" t="s">
        <v>524</v>
      </c>
      <c r="D16" t="s">
        <v>23</v>
      </c>
      <c r="F16" t="s">
        <v>525</v>
      </c>
      <c r="H16" t="s">
        <v>22</v>
      </c>
      <c r="J16" t="s">
        <v>24</v>
      </c>
    </row>
    <row r="18" spans="1:10" x14ac:dyDescent="0.2">
      <c r="A18">
        <v>1980</v>
      </c>
      <c r="B18" s="1">
        <v>1840400</v>
      </c>
      <c r="D18" s="1">
        <v>1118097</v>
      </c>
      <c r="F18" s="1">
        <v>182288</v>
      </c>
      <c r="G18" t="s">
        <v>399</v>
      </c>
      <c r="H18" s="1">
        <v>319598</v>
      </c>
      <c r="J18" s="1">
        <v>220438</v>
      </c>
    </row>
    <row r="19" spans="1:10" x14ac:dyDescent="0.2">
      <c r="A19">
        <v>1981</v>
      </c>
      <c r="B19" s="1">
        <v>2006600</v>
      </c>
      <c r="D19" s="1">
        <v>1225934</v>
      </c>
      <c r="F19" s="1">
        <v>195085</v>
      </c>
      <c r="G19" t="s">
        <v>399</v>
      </c>
      <c r="H19" s="1">
        <v>360029</v>
      </c>
      <c r="J19" s="1">
        <v>225539</v>
      </c>
    </row>
    <row r="20" spans="1:10" x14ac:dyDescent="0.2">
      <c r="A20">
        <v>1982</v>
      </c>
      <c r="B20" s="1">
        <v>2192600</v>
      </c>
      <c r="D20" s="1">
        <v>1357264</v>
      </c>
      <c r="F20" s="1">
        <v>207853</v>
      </c>
      <c r="H20" s="1">
        <v>402914</v>
      </c>
      <c r="J20" s="1">
        <v>224604</v>
      </c>
    </row>
    <row r="21" spans="1:10" x14ac:dyDescent="0.2">
      <c r="A21">
        <v>1983</v>
      </c>
      <c r="B21" s="1">
        <v>2475100</v>
      </c>
      <c r="D21" s="1">
        <v>1582947</v>
      </c>
      <c r="F21" s="1">
        <v>221815</v>
      </c>
      <c r="H21" s="1">
        <v>423898</v>
      </c>
      <c r="J21" s="1">
        <v>246440</v>
      </c>
    </row>
    <row r="22" spans="1:10" x14ac:dyDescent="0.2">
      <c r="A22">
        <v>1984</v>
      </c>
      <c r="B22" s="1">
        <v>2689200</v>
      </c>
      <c r="D22" s="1">
        <v>1740948</v>
      </c>
      <c r="F22" s="1">
        <v>233018</v>
      </c>
      <c r="H22" s="1">
        <v>448264</v>
      </c>
      <c r="J22" s="1">
        <v>266992</v>
      </c>
    </row>
    <row r="23" spans="1:10" x14ac:dyDescent="0.2">
      <c r="A23">
        <v>1985</v>
      </c>
      <c r="B23" s="1">
        <v>3011500</v>
      </c>
      <c r="D23" s="1">
        <v>1968712</v>
      </c>
      <c r="F23" s="1">
        <v>254986</v>
      </c>
      <c r="H23" s="1">
        <v>487593</v>
      </c>
      <c r="J23" s="1">
        <v>300203</v>
      </c>
    </row>
    <row r="24" spans="1:10" x14ac:dyDescent="0.2">
      <c r="A24">
        <v>1986</v>
      </c>
      <c r="B24" s="1">
        <v>3239400</v>
      </c>
      <c r="D24" s="1">
        <v>2114621</v>
      </c>
      <c r="F24" s="1">
        <v>272735</v>
      </c>
      <c r="H24" s="1">
        <v>526436</v>
      </c>
      <c r="J24" s="1">
        <v>325638</v>
      </c>
    </row>
    <row r="25" spans="1:10" x14ac:dyDescent="0.2">
      <c r="A25">
        <v>1987</v>
      </c>
      <c r="B25" s="1">
        <v>3459600</v>
      </c>
      <c r="D25" s="1">
        <v>2247158</v>
      </c>
      <c r="F25" s="1">
        <v>294092</v>
      </c>
      <c r="H25" s="1">
        <v>562814</v>
      </c>
      <c r="J25" s="1">
        <v>355505</v>
      </c>
    </row>
    <row r="26" spans="1:10" x14ac:dyDescent="0.2">
      <c r="A26">
        <v>1988</v>
      </c>
      <c r="B26" s="1">
        <v>3714100</v>
      </c>
      <c r="D26" s="1">
        <v>2356483</v>
      </c>
      <c r="F26" s="1">
        <v>341893</v>
      </c>
      <c r="H26" s="1">
        <v>607766</v>
      </c>
      <c r="J26" s="1">
        <v>407977</v>
      </c>
    </row>
    <row r="27" spans="1:10" x14ac:dyDescent="0.2">
      <c r="A27">
        <v>1989</v>
      </c>
      <c r="B27" s="1">
        <v>4055600</v>
      </c>
      <c r="D27" s="1">
        <v>2522125</v>
      </c>
      <c r="F27" s="1">
        <v>393303</v>
      </c>
      <c r="H27" s="1">
        <v>683367</v>
      </c>
      <c r="J27" s="1">
        <v>456803</v>
      </c>
    </row>
    <row r="28" spans="1:10" x14ac:dyDescent="0.2">
      <c r="A28">
        <v>1990</v>
      </c>
      <c r="B28" s="1">
        <v>4350300</v>
      </c>
      <c r="D28" s="1">
        <v>2670234</v>
      </c>
      <c r="F28" s="1">
        <v>405320</v>
      </c>
      <c r="H28" s="1">
        <v>743382</v>
      </c>
      <c r="J28" s="1">
        <v>531407</v>
      </c>
    </row>
    <row r="29" spans="1:10" x14ac:dyDescent="0.2">
      <c r="A29">
        <v>1991</v>
      </c>
      <c r="B29" s="1">
        <v>4535600</v>
      </c>
      <c r="D29" s="1">
        <v>2728472</v>
      </c>
      <c r="F29" s="1">
        <v>424129</v>
      </c>
      <c r="G29" t="s">
        <v>400</v>
      </c>
      <c r="H29" s="1">
        <v>792535</v>
      </c>
      <c r="J29" s="1">
        <v>590442</v>
      </c>
    </row>
    <row r="30" spans="1:10" x14ac:dyDescent="0.2">
      <c r="A30">
        <v>1992</v>
      </c>
      <c r="B30" s="1">
        <v>4762600</v>
      </c>
      <c r="D30" s="1">
        <v>2811611</v>
      </c>
      <c r="F30" s="1">
        <v>441781</v>
      </c>
      <c r="G30" t="s">
        <v>400</v>
      </c>
      <c r="H30" s="1">
        <v>850566</v>
      </c>
      <c r="J30" s="1">
        <v>658601</v>
      </c>
    </row>
    <row r="31" spans="1:10" x14ac:dyDescent="0.2">
      <c r="A31">
        <v>1993</v>
      </c>
      <c r="B31" s="1">
        <v>4944000</v>
      </c>
      <c r="D31" s="1">
        <v>2903061</v>
      </c>
      <c r="F31" s="1">
        <v>455500</v>
      </c>
      <c r="G31" t="s">
        <v>400</v>
      </c>
      <c r="H31" s="1">
        <v>909381</v>
      </c>
      <c r="J31" s="1">
        <v>676100</v>
      </c>
    </row>
    <row r="32" spans="1:10" x14ac:dyDescent="0.2">
      <c r="A32">
        <v>1994</v>
      </c>
      <c r="B32" s="1">
        <v>5141300</v>
      </c>
      <c r="D32" s="1">
        <v>2981022</v>
      </c>
      <c r="F32" s="1">
        <v>479800</v>
      </c>
      <c r="H32" s="1">
        <v>990147</v>
      </c>
      <c r="J32" s="1">
        <v>690371</v>
      </c>
    </row>
    <row r="33" spans="1:10" x14ac:dyDescent="0.2">
      <c r="A33">
        <v>1995</v>
      </c>
      <c r="B33" s="1">
        <v>5342900</v>
      </c>
      <c r="D33" s="1">
        <v>3077861</v>
      </c>
      <c r="F33" s="1">
        <v>507044</v>
      </c>
      <c r="H33" s="1">
        <v>1078542</v>
      </c>
      <c r="J33" s="1">
        <v>679421</v>
      </c>
    </row>
    <row r="34" spans="1:10" x14ac:dyDescent="0.2">
      <c r="A34">
        <v>1996</v>
      </c>
      <c r="B34" s="1">
        <v>5490700</v>
      </c>
      <c r="D34" s="1">
        <v>3164996</v>
      </c>
      <c r="F34" s="1">
        <v>518492</v>
      </c>
      <c r="H34" s="1">
        <v>1127528</v>
      </c>
      <c r="J34" s="1">
        <v>679733</v>
      </c>
    </row>
    <row r="35" spans="1:10" x14ac:dyDescent="0.2">
      <c r="A35">
        <v>1997</v>
      </c>
      <c r="B35" s="1">
        <v>5734900</v>
      </c>
      <c r="D35" t="s">
        <v>526</v>
      </c>
      <c r="F35" s="1">
        <v>567079</v>
      </c>
      <c r="H35" s="1">
        <v>1176564</v>
      </c>
      <c r="J35" s="1">
        <v>694787</v>
      </c>
    </row>
    <row r="36" spans="1:10" x14ac:dyDescent="0.2">
      <c r="A36">
        <v>1998</v>
      </c>
      <c r="B36" s="1">
        <v>6134200</v>
      </c>
      <c r="D36" t="s">
        <v>527</v>
      </c>
      <c r="F36" s="1">
        <v>592462</v>
      </c>
      <c r="H36" s="1">
        <v>1224469</v>
      </c>
      <c r="J36" s="1">
        <v>696385</v>
      </c>
    </row>
    <row r="37" spans="1:10" x14ac:dyDescent="0.2">
      <c r="A37">
        <v>1999</v>
      </c>
      <c r="B37" s="1">
        <v>6340800</v>
      </c>
      <c r="D37" t="s">
        <v>528</v>
      </c>
      <c r="F37" s="1">
        <v>605943</v>
      </c>
      <c r="H37" s="1">
        <v>1287172</v>
      </c>
      <c r="J37" s="1">
        <v>714457</v>
      </c>
    </row>
    <row r="38" spans="1:10" x14ac:dyDescent="0.2">
      <c r="A38">
        <v>2000</v>
      </c>
      <c r="B38" s="1">
        <v>6460000</v>
      </c>
      <c r="D38" s="1">
        <v>3839532</v>
      </c>
      <c r="F38" s="1">
        <v>621149</v>
      </c>
      <c r="H38" s="1">
        <v>1316333</v>
      </c>
      <c r="J38" s="1">
        <v>725527</v>
      </c>
    </row>
    <row r="39" spans="1:10" x14ac:dyDescent="0.2">
      <c r="A39">
        <v>2001</v>
      </c>
      <c r="B39" s="1">
        <v>6581700</v>
      </c>
      <c r="D39" s="1">
        <v>3931731</v>
      </c>
      <c r="F39" s="1">
        <v>631240</v>
      </c>
      <c r="H39" s="1">
        <v>1330007</v>
      </c>
      <c r="J39" s="1">
        <v>732333</v>
      </c>
    </row>
    <row r="40" spans="1:10" x14ac:dyDescent="0.2">
      <c r="A40">
        <v>2002</v>
      </c>
      <c r="B40" s="1">
        <v>6758800</v>
      </c>
      <c r="D40" s="1">
        <v>4024067</v>
      </c>
      <c r="F40" s="1">
        <v>665475</v>
      </c>
      <c r="H40" s="1">
        <v>1367547</v>
      </c>
      <c r="J40" s="1">
        <v>750934</v>
      </c>
    </row>
    <row r="41" spans="1:10" x14ac:dyDescent="0.2">
      <c r="A41">
        <v>2003</v>
      </c>
      <c r="B41" s="1">
        <v>6924500</v>
      </c>
      <c r="D41" s="1">
        <v>4120012</v>
      </c>
      <c r="F41" s="1">
        <v>691301</v>
      </c>
      <c r="H41" s="1">
        <v>1390279</v>
      </c>
      <c r="J41" s="1">
        <v>769925</v>
      </c>
    </row>
    <row r="42" spans="1:10" x14ac:dyDescent="0.2">
      <c r="A42">
        <v>2004</v>
      </c>
      <c r="B42" s="1">
        <v>6995000</v>
      </c>
      <c r="D42" s="1">
        <v>4143792</v>
      </c>
      <c r="F42" s="1">
        <v>713990</v>
      </c>
      <c r="H42" s="1">
        <v>1421345</v>
      </c>
      <c r="J42" s="1">
        <v>771852</v>
      </c>
    </row>
    <row r="43" spans="1:10" x14ac:dyDescent="0.2">
      <c r="A43">
        <v>2005</v>
      </c>
      <c r="B43" s="1">
        <v>7051300</v>
      </c>
      <c r="D43" s="1">
        <v>4162495</v>
      </c>
      <c r="F43" s="1">
        <v>747529</v>
      </c>
      <c r="H43" s="1">
        <v>1448344</v>
      </c>
      <c r="J43" s="1">
        <v>784354</v>
      </c>
    </row>
    <row r="44" spans="1:10" x14ac:dyDescent="0.2">
      <c r="A44">
        <v>2006</v>
      </c>
      <c r="B44" s="1">
        <v>7202100</v>
      </c>
      <c r="D44" s="1">
        <v>4237023</v>
      </c>
      <c r="F44" s="1">
        <v>765819</v>
      </c>
      <c r="H44" s="1">
        <v>1492973</v>
      </c>
      <c r="J44" s="1">
        <v>798202</v>
      </c>
    </row>
    <row r="45" spans="1:10" x14ac:dyDescent="0.2">
      <c r="A45" t="s">
        <v>529</v>
      </c>
      <c r="B45" s="1">
        <v>7337900</v>
      </c>
      <c r="D45" s="1">
        <v>4293163</v>
      </c>
      <c r="F45" s="1">
        <v>780174</v>
      </c>
      <c r="H45" s="1">
        <v>1517867</v>
      </c>
      <c r="J45" s="1">
        <v>826097</v>
      </c>
    </row>
    <row r="46" spans="1:10" x14ac:dyDescent="0.2">
      <c r="A46" t="s">
        <v>530</v>
      </c>
      <c r="B46" s="1">
        <v>7312400</v>
      </c>
      <c r="D46" s="1">
        <v>4270917</v>
      </c>
      <c r="F46" s="1">
        <v>785533</v>
      </c>
      <c r="H46" s="1">
        <v>1522834</v>
      </c>
      <c r="J46" s="1">
        <v>828169</v>
      </c>
    </row>
    <row r="47" spans="1:10" x14ac:dyDescent="0.2">
      <c r="A47">
        <v>2009</v>
      </c>
      <c r="B47" s="1">
        <v>7232800</v>
      </c>
      <c r="D47" s="1">
        <v>4203967</v>
      </c>
      <c r="F47" s="1">
        <v>767434</v>
      </c>
      <c r="H47" s="1">
        <v>1524478</v>
      </c>
      <c r="J47" s="1">
        <v>819308</v>
      </c>
    </row>
    <row r="48" spans="1:10" x14ac:dyDescent="0.2">
      <c r="A48">
        <v>2010</v>
      </c>
      <c r="B48" s="1">
        <v>7076200</v>
      </c>
      <c r="D48" s="1">
        <v>4055514</v>
      </c>
      <c r="F48" s="1">
        <v>748728</v>
      </c>
      <c r="H48" s="1">
        <v>1518104</v>
      </c>
      <c r="J48" s="1">
        <v>840676</v>
      </c>
    </row>
    <row r="50" spans="1:11" x14ac:dyDescent="0.2">
      <c r="A50" t="s">
        <v>531</v>
      </c>
    </row>
    <row r="51" spans="1:11" x14ac:dyDescent="0.2">
      <c r="A51" t="s">
        <v>532</v>
      </c>
    </row>
    <row r="52" spans="1:11" x14ac:dyDescent="0.2">
      <c r="A52" t="s">
        <v>533</v>
      </c>
      <c r="B52">
        <v>1.3</v>
      </c>
      <c r="C52" t="s">
        <v>375</v>
      </c>
      <c r="D52">
        <v>1</v>
      </c>
      <c r="E52" t="s">
        <v>375</v>
      </c>
      <c r="F52">
        <v>2.4</v>
      </c>
      <c r="G52" t="s">
        <v>375</v>
      </c>
      <c r="H52">
        <v>1.6</v>
      </c>
      <c r="I52" t="s">
        <v>375</v>
      </c>
      <c r="J52">
        <v>1.4</v>
      </c>
      <c r="K52" t="s">
        <v>375</v>
      </c>
    </row>
    <row r="54" spans="1:11" x14ac:dyDescent="0.2">
      <c r="A54" t="s">
        <v>534</v>
      </c>
    </row>
    <row r="55" spans="1:11" x14ac:dyDescent="0.2">
      <c r="A55" t="s">
        <v>535</v>
      </c>
    </row>
    <row r="56" spans="1:11" x14ac:dyDescent="0.2">
      <c r="A56" t="s">
        <v>536</v>
      </c>
    </row>
    <row r="57" spans="1:11" x14ac:dyDescent="0.2">
      <c r="A57" t="s">
        <v>537</v>
      </c>
    </row>
    <row r="58" spans="1:11" x14ac:dyDescent="0.2">
      <c r="A58" t="s">
        <v>538</v>
      </c>
    </row>
    <row r="59" spans="1:11" x14ac:dyDescent="0.2">
      <c r="A59" t="s">
        <v>539</v>
      </c>
    </row>
    <row r="60" spans="1:11" x14ac:dyDescent="0.2">
      <c r="A60" t="s">
        <v>540</v>
      </c>
    </row>
    <row r="61" spans="1:11" x14ac:dyDescent="0.2">
      <c r="A61" t="s">
        <v>541</v>
      </c>
    </row>
    <row r="62" spans="1:11" x14ac:dyDescent="0.2">
      <c r="A62" t="s">
        <v>542</v>
      </c>
    </row>
    <row r="64" spans="1:11" x14ac:dyDescent="0.2">
      <c r="A64" t="s">
        <v>543</v>
      </c>
    </row>
    <row r="65" spans="1:1" x14ac:dyDescent="0.2">
      <c r="A65" t="s">
        <v>544</v>
      </c>
    </row>
    <row r="66" spans="1:1" x14ac:dyDescent="0.2">
      <c r="A66" t="s">
        <v>545</v>
      </c>
    </row>
    <row r="67" spans="1:1" x14ac:dyDescent="0.2">
      <c r="A67" t="s">
        <v>546</v>
      </c>
    </row>
    <row r="68" spans="1:1" x14ac:dyDescent="0.2">
      <c r="A68" t="s">
        <v>547</v>
      </c>
    </row>
    <row r="69" spans="1:1" x14ac:dyDescent="0.2">
      <c r="A69" t="s">
        <v>548</v>
      </c>
    </row>
    <row r="70" spans="1:1" x14ac:dyDescent="0.2">
      <c r="A70" t="s">
        <v>549</v>
      </c>
    </row>
    <row r="71" spans="1:1" x14ac:dyDescent="0.2">
      <c r="A71" t="s">
        <v>550</v>
      </c>
    </row>
    <row r="72" spans="1:1" x14ac:dyDescent="0.2">
      <c r="A72" t="s">
        <v>551</v>
      </c>
    </row>
    <row r="73" spans="1:1" x14ac:dyDescent="0.2">
      <c r="A73" t="s">
        <v>552</v>
      </c>
    </row>
    <row r="74" spans="1:1" x14ac:dyDescent="0.2">
      <c r="A74" t="s">
        <v>553</v>
      </c>
    </row>
    <row r="75" spans="1:1" x14ac:dyDescent="0.2">
      <c r="A75" t="s">
        <v>554</v>
      </c>
    </row>
    <row r="76" spans="1:1" x14ac:dyDescent="0.2">
      <c r="A76" t="s">
        <v>555</v>
      </c>
    </row>
    <row r="77" spans="1:1" x14ac:dyDescent="0.2">
      <c r="A77" t="s">
        <v>556</v>
      </c>
    </row>
    <row r="79" spans="1:1" x14ac:dyDescent="0.2">
      <c r="A79" t="s">
        <v>557</v>
      </c>
    </row>
    <row r="80" spans="1:1" x14ac:dyDescent="0.2">
      <c r="A80" t="s">
        <v>558</v>
      </c>
    </row>
    <row r="81" spans="1:1" x14ac:dyDescent="0.2">
      <c r="A81" t="s">
        <v>559</v>
      </c>
    </row>
    <row r="82" spans="1:1" x14ac:dyDescent="0.2">
      <c r="A82" t="s">
        <v>560</v>
      </c>
    </row>
    <row r="83" spans="1:1" x14ac:dyDescent="0.2">
      <c r="A83" t="s">
        <v>561</v>
      </c>
    </row>
    <row r="84" spans="1:1" x14ac:dyDescent="0.2">
      <c r="A84" t="s">
        <v>562</v>
      </c>
    </row>
    <row r="85" spans="1:1" x14ac:dyDescent="0.2">
      <c r="A85" t="s">
        <v>563</v>
      </c>
    </row>
    <row r="86" spans="1:1" x14ac:dyDescent="0.2">
      <c r="A86" t="s">
        <v>564</v>
      </c>
    </row>
    <row r="87" spans="1:1" x14ac:dyDescent="0.2">
      <c r="A87" t="s">
        <v>565</v>
      </c>
    </row>
    <row r="88" spans="1:1" x14ac:dyDescent="0.2">
      <c r="A88" t="s">
        <v>568</v>
      </c>
    </row>
    <row r="91" spans="1:1" x14ac:dyDescent="0.2">
      <c r="A91" t="s">
        <v>389</v>
      </c>
    </row>
    <row r="92" spans="1:1" x14ac:dyDescent="0.2">
      <c r="A92" t="s">
        <v>582</v>
      </c>
    </row>
    <row r="94" spans="1:1" x14ac:dyDescent="0.2">
      <c r="A94" t="s">
        <v>583</v>
      </c>
    </row>
    <row r="96" spans="1:1" x14ac:dyDescent="0.2">
      <c r="A96" t="s">
        <v>584</v>
      </c>
    </row>
    <row r="97" spans="1:12" x14ac:dyDescent="0.2">
      <c r="A97" t="s">
        <v>585</v>
      </c>
    </row>
    <row r="99" spans="1:12" x14ac:dyDescent="0.2">
      <c r="A99" t="s">
        <v>586</v>
      </c>
    </row>
    <row r="101" spans="1:12" x14ac:dyDescent="0.2">
      <c r="L101" t="s">
        <v>587</v>
      </c>
    </row>
    <row r="102" spans="1:12" x14ac:dyDescent="0.2">
      <c r="F102" t="s">
        <v>588</v>
      </c>
      <c r="J102" t="s">
        <v>589</v>
      </c>
      <c r="K102" t="s">
        <v>590</v>
      </c>
      <c r="L102" t="s">
        <v>591</v>
      </c>
    </row>
    <row r="103" spans="1:12" x14ac:dyDescent="0.2">
      <c r="E103" t="s">
        <v>592</v>
      </c>
      <c r="H103" t="s">
        <v>593</v>
      </c>
      <c r="J103" t="s">
        <v>594</v>
      </c>
      <c r="K103" t="s">
        <v>595</v>
      </c>
      <c r="L103" t="s">
        <v>595</v>
      </c>
    </row>
    <row r="104" spans="1:12" x14ac:dyDescent="0.2">
      <c r="C104" t="s">
        <v>596</v>
      </c>
      <c r="D104" t="s">
        <v>1020</v>
      </c>
      <c r="E104" t="s">
        <v>20</v>
      </c>
      <c r="F104" t="s">
        <v>21</v>
      </c>
      <c r="G104" t="s">
        <v>597</v>
      </c>
      <c r="H104" t="s">
        <v>598</v>
      </c>
      <c r="J104" t="s">
        <v>599</v>
      </c>
      <c r="K104" t="s">
        <v>600</v>
      </c>
      <c r="L104" t="s">
        <v>601</v>
      </c>
    </row>
    <row r="106" spans="1:12" x14ac:dyDescent="0.2">
      <c r="A106">
        <v>1983</v>
      </c>
      <c r="C106" s="1">
        <v>223551</v>
      </c>
      <c r="D106" s="1">
        <v>221815</v>
      </c>
      <c r="E106" s="1">
        <v>206163</v>
      </c>
      <c r="F106" s="1">
        <v>15652</v>
      </c>
      <c r="G106" s="1">
        <v>1736</v>
      </c>
      <c r="H106" t="s">
        <v>602</v>
      </c>
      <c r="J106" s="1">
        <v>227541</v>
      </c>
      <c r="K106" s="1">
        <v>261556</v>
      </c>
      <c r="L106" s="8">
        <v>0.85</v>
      </c>
    </row>
    <row r="107" spans="1:12" x14ac:dyDescent="0.2">
      <c r="A107">
        <v>1984</v>
      </c>
      <c r="C107" s="1">
        <v>234500</v>
      </c>
      <c r="D107" s="1">
        <v>233018</v>
      </c>
      <c r="E107" s="1">
        <v>216275</v>
      </c>
      <c r="F107" s="1">
        <v>16743</v>
      </c>
      <c r="G107" s="1">
        <v>1482</v>
      </c>
      <c r="H107" t="s">
        <v>602</v>
      </c>
      <c r="J107" s="1">
        <v>230641</v>
      </c>
      <c r="K107" s="1">
        <v>261432</v>
      </c>
      <c r="L107">
        <v>90</v>
      </c>
    </row>
    <row r="108" spans="1:12" x14ac:dyDescent="0.2">
      <c r="A108">
        <v>1985</v>
      </c>
      <c r="C108" s="1">
        <v>256615</v>
      </c>
      <c r="D108" s="1">
        <v>254986</v>
      </c>
      <c r="E108" s="1">
        <v>235909</v>
      </c>
      <c r="F108" s="1">
        <v>19077</v>
      </c>
      <c r="G108" s="1">
        <v>1629</v>
      </c>
      <c r="H108">
        <v>108</v>
      </c>
      <c r="J108" s="1">
        <v>265010</v>
      </c>
      <c r="K108" s="1">
        <v>272830</v>
      </c>
      <c r="L108">
        <v>94</v>
      </c>
    </row>
    <row r="109" spans="1:12" x14ac:dyDescent="0.2">
      <c r="A109">
        <v>1986</v>
      </c>
      <c r="C109" s="1">
        <v>274444</v>
      </c>
      <c r="D109" s="1">
        <v>272736</v>
      </c>
      <c r="E109" s="1">
        <v>251235</v>
      </c>
      <c r="F109" s="1">
        <v>21501</v>
      </c>
      <c r="G109" s="1">
        <v>1708</v>
      </c>
      <c r="H109">
        <v>114</v>
      </c>
      <c r="J109" s="1">
        <v>265517</v>
      </c>
      <c r="K109" s="1">
        <v>285726</v>
      </c>
      <c r="L109">
        <v>96</v>
      </c>
    </row>
    <row r="110" spans="1:12" x14ac:dyDescent="0.2">
      <c r="A110">
        <v>1987</v>
      </c>
      <c r="C110" s="1">
        <v>295873</v>
      </c>
      <c r="D110" s="1">
        <v>294092</v>
      </c>
      <c r="E110" s="1">
        <v>270172</v>
      </c>
      <c r="F110" s="1">
        <v>23920</v>
      </c>
      <c r="G110" s="1">
        <v>1781</v>
      </c>
      <c r="H110">
        <v>122</v>
      </c>
      <c r="J110" s="1">
        <v>290300</v>
      </c>
      <c r="K110" s="1">
        <v>301198</v>
      </c>
      <c r="L110">
        <v>98</v>
      </c>
    </row>
    <row r="111" spans="1:12" x14ac:dyDescent="0.2">
      <c r="A111">
        <v>1988</v>
      </c>
      <c r="C111" s="1">
        <v>343569</v>
      </c>
      <c r="D111" s="1">
        <v>341893</v>
      </c>
      <c r="E111" s="1">
        <v>311594</v>
      </c>
      <c r="F111" s="1">
        <v>30299</v>
      </c>
      <c r="G111" s="1">
        <v>1676</v>
      </c>
      <c r="H111">
        <v>141</v>
      </c>
      <c r="J111" s="1">
        <v>336017</v>
      </c>
      <c r="K111" s="1">
        <v>339633</v>
      </c>
      <c r="L111">
        <v>101</v>
      </c>
    </row>
    <row r="112" spans="1:12" x14ac:dyDescent="0.2">
      <c r="A112">
        <v>1989</v>
      </c>
      <c r="C112" s="1">
        <v>395553</v>
      </c>
      <c r="D112" s="1">
        <v>393303</v>
      </c>
      <c r="E112" s="1">
        <v>356050</v>
      </c>
      <c r="F112" s="1">
        <v>37253</v>
      </c>
      <c r="G112" s="1">
        <v>2250</v>
      </c>
      <c r="H112">
        <v>160</v>
      </c>
      <c r="J112" s="1">
        <v>386845</v>
      </c>
      <c r="K112" s="1">
        <v>367769</v>
      </c>
      <c r="L112">
        <v>108</v>
      </c>
    </row>
    <row r="113" spans="1:12" x14ac:dyDescent="0.2">
      <c r="A113">
        <v>1990</v>
      </c>
      <c r="C113" s="1">
        <v>405320</v>
      </c>
      <c r="D113" s="1">
        <v>403019</v>
      </c>
      <c r="E113" s="1">
        <v>365821</v>
      </c>
      <c r="F113" s="1">
        <v>37198</v>
      </c>
      <c r="G113" s="1">
        <v>2301</v>
      </c>
      <c r="H113">
        <v>163</v>
      </c>
      <c r="J113" s="1">
        <v>408075</v>
      </c>
      <c r="K113" s="1">
        <v>389171</v>
      </c>
      <c r="L113">
        <v>104</v>
      </c>
    </row>
    <row r="114" spans="1:12" x14ac:dyDescent="0.2">
      <c r="A114">
        <v>1991</v>
      </c>
      <c r="C114" s="1">
        <v>426479</v>
      </c>
      <c r="D114" s="1">
        <v>424129</v>
      </c>
      <c r="E114" s="1">
        <v>384628</v>
      </c>
      <c r="F114" s="1">
        <v>39501</v>
      </c>
      <c r="G114" s="1">
        <v>2350</v>
      </c>
      <c r="H114">
        <v>169</v>
      </c>
      <c r="J114" s="1">
        <v>422609</v>
      </c>
      <c r="K114" s="1">
        <v>421237</v>
      </c>
      <c r="L114">
        <v>101</v>
      </c>
    </row>
    <row r="115" spans="1:12" x14ac:dyDescent="0.2">
      <c r="A115">
        <v>1992</v>
      </c>
      <c r="C115" s="1">
        <v>444584</v>
      </c>
      <c r="D115" s="1">
        <v>441780</v>
      </c>
      <c r="E115" s="1">
        <v>401106</v>
      </c>
      <c r="F115" s="1">
        <v>40674</v>
      </c>
      <c r="G115" s="1">
        <v>2804</v>
      </c>
      <c r="H115">
        <v>174</v>
      </c>
      <c r="J115" s="1">
        <v>441889</v>
      </c>
      <c r="K115" s="1">
        <v>449197</v>
      </c>
      <c r="L115">
        <v>99</v>
      </c>
    </row>
    <row r="116" spans="1:12" x14ac:dyDescent="0.2">
      <c r="A116">
        <v>1993</v>
      </c>
      <c r="B116" t="s">
        <v>603</v>
      </c>
      <c r="C116" s="1">
        <v>459804</v>
      </c>
      <c r="D116" s="1">
        <v>455500</v>
      </c>
      <c r="E116" s="1">
        <v>411500</v>
      </c>
      <c r="F116" s="1">
        <v>44100</v>
      </c>
      <c r="G116" s="1">
        <v>4300</v>
      </c>
      <c r="H116">
        <v>178</v>
      </c>
      <c r="J116" s="1">
        <v>466155</v>
      </c>
      <c r="K116" s="1">
        <v>475224</v>
      </c>
      <c r="L116">
        <v>97</v>
      </c>
    </row>
    <row r="117" spans="1:12" x14ac:dyDescent="0.2">
      <c r="A117">
        <v>1994</v>
      </c>
      <c r="B117" t="s">
        <v>603</v>
      </c>
      <c r="C117" s="1">
        <v>486474</v>
      </c>
      <c r="D117" s="1">
        <v>479800</v>
      </c>
      <c r="E117" s="1">
        <v>431300</v>
      </c>
      <c r="F117" s="1">
        <v>48500</v>
      </c>
      <c r="G117" s="1">
        <v>6700</v>
      </c>
      <c r="H117">
        <v>188</v>
      </c>
      <c r="J117" s="1">
        <v>479757</v>
      </c>
      <c r="K117" s="1">
        <v>504324</v>
      </c>
      <c r="L117">
        <v>96</v>
      </c>
    </row>
    <row r="118" spans="1:12" x14ac:dyDescent="0.2">
      <c r="A118">
        <v>1995</v>
      </c>
      <c r="B118" t="s">
        <v>603</v>
      </c>
      <c r="C118" s="1">
        <v>507044</v>
      </c>
      <c r="D118" s="1">
        <v>499300</v>
      </c>
      <c r="E118" s="1">
        <v>448000</v>
      </c>
      <c r="F118" s="1">
        <v>51300</v>
      </c>
      <c r="G118" s="1">
        <v>7800</v>
      </c>
      <c r="H118">
        <v>193</v>
      </c>
      <c r="J118" s="1">
        <v>509828</v>
      </c>
      <c r="K118" s="1">
        <v>545763</v>
      </c>
      <c r="L118">
        <v>93</v>
      </c>
    </row>
    <row r="119" spans="1:12" x14ac:dyDescent="0.2">
      <c r="A119">
        <v>1996</v>
      </c>
      <c r="B119" t="s">
        <v>603</v>
      </c>
      <c r="C119" s="1">
        <v>518492</v>
      </c>
      <c r="D119" s="1">
        <v>510400</v>
      </c>
      <c r="E119" s="1">
        <v>454700</v>
      </c>
      <c r="F119" s="1">
        <v>55700</v>
      </c>
      <c r="G119" s="1">
        <v>8100</v>
      </c>
      <c r="H119">
        <v>196</v>
      </c>
      <c r="J119" s="1">
        <v>515432</v>
      </c>
      <c r="K119" s="1">
        <v>562971</v>
      </c>
      <c r="L119">
        <v>92</v>
      </c>
    </row>
    <row r="120" spans="1:12" x14ac:dyDescent="0.2">
      <c r="A120">
        <v>1997</v>
      </c>
      <c r="C120" s="1">
        <v>567079</v>
      </c>
      <c r="D120" s="1">
        <v>557974</v>
      </c>
      <c r="E120" s="1">
        <v>498678</v>
      </c>
      <c r="F120" s="1">
        <v>59296</v>
      </c>
      <c r="G120" s="1">
        <v>9105</v>
      </c>
      <c r="H120">
        <v>212</v>
      </c>
      <c r="J120" s="1">
        <v>556586</v>
      </c>
      <c r="K120" s="1">
        <v>586564</v>
      </c>
      <c r="L120">
        <v>97</v>
      </c>
    </row>
    <row r="121" spans="1:12" x14ac:dyDescent="0.2">
      <c r="A121">
        <v>1998</v>
      </c>
      <c r="C121" s="1">
        <v>592462</v>
      </c>
      <c r="D121" s="1">
        <v>584372</v>
      </c>
      <c r="E121" s="1">
        <v>520581</v>
      </c>
      <c r="F121" s="1">
        <v>63791</v>
      </c>
      <c r="G121" s="1">
        <v>8090</v>
      </c>
      <c r="H121">
        <v>219</v>
      </c>
      <c r="J121" s="1">
        <v>593808</v>
      </c>
      <c r="K121" s="1">
        <v>612780</v>
      </c>
      <c r="L121">
        <v>97</v>
      </c>
    </row>
    <row r="122" spans="1:12" x14ac:dyDescent="0.2">
      <c r="A122">
        <v>1999</v>
      </c>
      <c r="C122" s="1">
        <v>605943</v>
      </c>
      <c r="D122" s="1">
        <v>596485</v>
      </c>
      <c r="E122" s="1">
        <v>528998</v>
      </c>
      <c r="F122" s="1">
        <v>67487</v>
      </c>
      <c r="G122" s="1">
        <v>9458</v>
      </c>
      <c r="H122">
        <v>215</v>
      </c>
      <c r="J122" s="1">
        <v>607978</v>
      </c>
      <c r="K122" s="1">
        <v>652321</v>
      </c>
      <c r="L122">
        <v>93</v>
      </c>
    </row>
    <row r="123" spans="1:12" x14ac:dyDescent="0.2">
      <c r="A123">
        <v>2000</v>
      </c>
      <c r="C123" s="1">
        <v>621149</v>
      </c>
      <c r="D123" s="1">
        <v>613534</v>
      </c>
      <c r="E123" s="1">
        <v>543120</v>
      </c>
      <c r="F123" s="1">
        <v>70414</v>
      </c>
      <c r="G123" s="1">
        <v>7615</v>
      </c>
      <c r="H123">
        <v>220</v>
      </c>
      <c r="J123" s="1">
        <v>618319</v>
      </c>
      <c r="K123" s="1">
        <v>677787</v>
      </c>
      <c r="L123">
        <v>92</v>
      </c>
    </row>
    <row r="124" spans="1:12" x14ac:dyDescent="0.2">
      <c r="A124">
        <v>2001</v>
      </c>
      <c r="C124" s="1">
        <v>631240</v>
      </c>
      <c r="D124" s="1">
        <v>623628</v>
      </c>
      <c r="E124" s="1">
        <v>551007</v>
      </c>
      <c r="F124" s="1">
        <v>72621</v>
      </c>
      <c r="G124" s="1">
        <v>7613</v>
      </c>
      <c r="H124">
        <v>222</v>
      </c>
      <c r="J124" s="1">
        <v>625966</v>
      </c>
      <c r="K124" s="1">
        <v>699309</v>
      </c>
      <c r="L124">
        <v>90</v>
      </c>
    </row>
    <row r="125" spans="1:12" x14ac:dyDescent="0.2">
      <c r="A125">
        <v>2002</v>
      </c>
      <c r="C125" s="1">
        <v>665475</v>
      </c>
      <c r="D125" s="1">
        <v>658228</v>
      </c>
      <c r="E125" s="1">
        <v>581411</v>
      </c>
      <c r="F125" s="1">
        <v>76817</v>
      </c>
      <c r="G125" s="1">
        <v>7248</v>
      </c>
      <c r="H125">
        <v>231</v>
      </c>
      <c r="J125" s="1">
        <v>652082</v>
      </c>
      <c r="K125" s="1">
        <v>713899</v>
      </c>
      <c r="L125">
        <v>93</v>
      </c>
    </row>
    <row r="126" spans="1:12" x14ac:dyDescent="0.2">
      <c r="A126">
        <v>2003</v>
      </c>
      <c r="C126" s="1">
        <v>691301</v>
      </c>
      <c r="D126" s="1">
        <v>684431</v>
      </c>
      <c r="E126" s="1">
        <v>602781</v>
      </c>
      <c r="F126" s="1">
        <v>81650</v>
      </c>
      <c r="G126" s="1">
        <v>6869</v>
      </c>
      <c r="H126">
        <v>238</v>
      </c>
      <c r="J126" s="1">
        <v>680760</v>
      </c>
      <c r="K126" s="1">
        <v>736471</v>
      </c>
      <c r="L126">
        <v>94</v>
      </c>
    </row>
    <row r="127" spans="1:12" x14ac:dyDescent="0.2">
      <c r="A127">
        <v>2004</v>
      </c>
      <c r="C127" s="1">
        <v>713990</v>
      </c>
      <c r="D127" s="1">
        <v>706907</v>
      </c>
      <c r="E127" s="1">
        <v>619908</v>
      </c>
      <c r="F127" s="1">
        <v>86999</v>
      </c>
      <c r="G127" s="1">
        <v>7083</v>
      </c>
      <c r="H127">
        <v>243</v>
      </c>
      <c r="J127" s="1">
        <v>706242</v>
      </c>
      <c r="K127" s="1">
        <v>755603</v>
      </c>
      <c r="L127">
        <v>94</v>
      </c>
    </row>
    <row r="128" spans="1:12" x14ac:dyDescent="0.2">
      <c r="A128">
        <v>2005</v>
      </c>
      <c r="C128" s="1">
        <v>747529</v>
      </c>
      <c r="D128" s="1">
        <v>740770</v>
      </c>
      <c r="E128" s="1">
        <v>646807</v>
      </c>
      <c r="F128" s="1">
        <v>93963</v>
      </c>
      <c r="G128" s="1">
        <v>6759</v>
      </c>
      <c r="H128">
        <v>252</v>
      </c>
      <c r="J128" s="1">
        <v>733442</v>
      </c>
      <c r="K128" s="1">
        <v>786954</v>
      </c>
      <c r="L128">
        <v>95</v>
      </c>
    </row>
    <row r="129" spans="1:12" x14ac:dyDescent="0.2">
      <c r="A129">
        <v>2006</v>
      </c>
      <c r="C129" s="1">
        <v>765819</v>
      </c>
      <c r="D129" s="1">
        <v>759717</v>
      </c>
      <c r="E129" s="1">
        <v>661164</v>
      </c>
      <c r="F129" s="1">
        <v>98552</v>
      </c>
      <c r="G129" s="1">
        <v>6102</v>
      </c>
      <c r="H129">
        <v>256</v>
      </c>
      <c r="J129" s="1">
        <v>755320</v>
      </c>
      <c r="K129" s="1">
        <v>794984</v>
      </c>
      <c r="L129">
        <v>96</v>
      </c>
    </row>
    <row r="130" spans="1:12" x14ac:dyDescent="0.2">
      <c r="A130">
        <v>2007</v>
      </c>
      <c r="C130" s="1">
        <v>780174</v>
      </c>
      <c r="D130" s="1">
        <v>773341</v>
      </c>
      <c r="E130" s="1">
        <v>673346</v>
      </c>
      <c r="F130" s="1">
        <v>99995</v>
      </c>
      <c r="G130" s="1">
        <v>6833</v>
      </c>
      <c r="H130">
        <v>259</v>
      </c>
      <c r="J130" s="1">
        <v>773138</v>
      </c>
      <c r="K130" s="1">
        <v>810543</v>
      </c>
      <c r="L130">
        <v>96</v>
      </c>
    </row>
    <row r="131" spans="1:12" x14ac:dyDescent="0.2">
      <c r="A131">
        <v>2008</v>
      </c>
      <c r="C131" s="1">
        <v>785556</v>
      </c>
      <c r="D131" s="1">
        <v>777832</v>
      </c>
      <c r="E131" s="1">
        <v>678660</v>
      </c>
      <c r="F131" s="1">
        <v>99172</v>
      </c>
      <c r="G131" s="1">
        <v>7703</v>
      </c>
      <c r="H131">
        <v>258</v>
      </c>
      <c r="J131" s="1">
        <v>776573</v>
      </c>
      <c r="K131" s="1">
        <v>828714</v>
      </c>
      <c r="L131">
        <v>95</v>
      </c>
    </row>
    <row r="132" spans="1:12" x14ac:dyDescent="0.2">
      <c r="A132">
        <v>2009</v>
      </c>
      <c r="C132" s="1">
        <v>767434</v>
      </c>
      <c r="D132" s="1">
        <v>760216</v>
      </c>
      <c r="E132" s="1">
        <v>667039</v>
      </c>
      <c r="F132" s="1">
        <v>93176</v>
      </c>
      <c r="G132" s="1">
        <v>7218</v>
      </c>
      <c r="H132">
        <v>250</v>
      </c>
      <c r="J132" s="1">
        <v>768135</v>
      </c>
      <c r="K132" s="1">
        <v>849895</v>
      </c>
      <c r="L132">
        <v>90</v>
      </c>
    </row>
    <row r="133" spans="1:12" x14ac:dyDescent="0.2">
      <c r="A133">
        <v>2010</v>
      </c>
      <c r="C133" s="1">
        <v>748728</v>
      </c>
      <c r="D133" s="1">
        <v>741168</v>
      </c>
      <c r="E133" s="1">
        <v>649284</v>
      </c>
      <c r="F133" s="1">
        <v>91884</v>
      </c>
      <c r="G133" s="1">
        <v>7560</v>
      </c>
      <c r="H133">
        <v>242</v>
      </c>
      <c r="J133" s="1">
        <v>748553</v>
      </c>
      <c r="K133" s="1">
        <v>866974</v>
      </c>
      <c r="L133">
        <v>86</v>
      </c>
    </row>
    <row r="135" spans="1:12" x14ac:dyDescent="0.2">
      <c r="A135" t="s">
        <v>604</v>
      </c>
    </row>
    <row r="136" spans="1:12" x14ac:dyDescent="0.2">
      <c r="A136" t="s">
        <v>605</v>
      </c>
    </row>
    <row r="137" spans="1:12" x14ac:dyDescent="0.2">
      <c r="A137" t="s">
        <v>606</v>
      </c>
    </row>
    <row r="138" spans="1:12" x14ac:dyDescent="0.2">
      <c r="A138" t="s">
        <v>607</v>
      </c>
    </row>
    <row r="139" spans="1:12" x14ac:dyDescent="0.2">
      <c r="A139" t="s">
        <v>608</v>
      </c>
    </row>
    <row r="140" spans="1:12" x14ac:dyDescent="0.2">
      <c r="A140" t="s">
        <v>609</v>
      </c>
    </row>
    <row r="141" spans="1:12" x14ac:dyDescent="0.2">
      <c r="A141" t="s">
        <v>610</v>
      </c>
    </row>
    <row r="142" spans="1:12" x14ac:dyDescent="0.2">
      <c r="A142" t="s">
        <v>611</v>
      </c>
    </row>
    <row r="143" spans="1:12" x14ac:dyDescent="0.2">
      <c r="A143" t="s">
        <v>612</v>
      </c>
    </row>
    <row r="144" spans="1:12" x14ac:dyDescent="0.2">
      <c r="A144" t="s">
        <v>613</v>
      </c>
    </row>
    <row r="145" spans="1:1" x14ac:dyDescent="0.2">
      <c r="A145" t="s">
        <v>614</v>
      </c>
    </row>
    <row r="146" spans="1:1" x14ac:dyDescent="0.2">
      <c r="A146" t="s">
        <v>615</v>
      </c>
    </row>
    <row r="147" spans="1:1" x14ac:dyDescent="0.2">
      <c r="A147" t="s">
        <v>616</v>
      </c>
    </row>
    <row r="148" spans="1:1" x14ac:dyDescent="0.2">
      <c r="A148" t="s">
        <v>617</v>
      </c>
    </row>
    <row r="149" spans="1:1" x14ac:dyDescent="0.2">
      <c r="A149" t="s">
        <v>618</v>
      </c>
    </row>
    <row r="150" spans="1:1" x14ac:dyDescent="0.2">
      <c r="A150" t="s">
        <v>619</v>
      </c>
    </row>
    <row r="151" spans="1:1" x14ac:dyDescent="0.2">
      <c r="A151" t="s">
        <v>620</v>
      </c>
    </row>
    <row r="152" spans="1:1" x14ac:dyDescent="0.2">
      <c r="A152" t="s">
        <v>621</v>
      </c>
    </row>
    <row r="153" spans="1:1" x14ac:dyDescent="0.2">
      <c r="A153" t="s">
        <v>622</v>
      </c>
    </row>
    <row r="154" spans="1:1" x14ac:dyDescent="0.2">
      <c r="A154" t="s">
        <v>623</v>
      </c>
    </row>
    <row r="155" spans="1:1" x14ac:dyDescent="0.2">
      <c r="A155" t="s">
        <v>624</v>
      </c>
    </row>
    <row r="156" spans="1:1" x14ac:dyDescent="0.2">
      <c r="A156" t="s">
        <v>625</v>
      </c>
    </row>
    <row r="157" spans="1:1" x14ac:dyDescent="0.2">
      <c r="A157" t="s">
        <v>626</v>
      </c>
    </row>
    <row r="159" spans="1:1" x14ac:dyDescent="0.2">
      <c r="A159" t="s">
        <v>627</v>
      </c>
    </row>
    <row r="160" spans="1:1" x14ac:dyDescent="0.2">
      <c r="A160" t="s">
        <v>628</v>
      </c>
    </row>
    <row r="161" spans="1:1" x14ac:dyDescent="0.2">
      <c r="A161" t="s">
        <v>629</v>
      </c>
    </row>
    <row r="162" spans="1:1" x14ac:dyDescent="0.2">
      <c r="A162" t="s">
        <v>630</v>
      </c>
    </row>
    <row r="163" spans="1:1" x14ac:dyDescent="0.2">
      <c r="A163" t="s">
        <v>631</v>
      </c>
    </row>
    <row r="164" spans="1:1" x14ac:dyDescent="0.2">
      <c r="A164" t="s">
        <v>632</v>
      </c>
    </row>
    <row r="165" spans="1:1" x14ac:dyDescent="0.2">
      <c r="A165" t="s">
        <v>633</v>
      </c>
    </row>
    <row r="166" spans="1:1" x14ac:dyDescent="0.2">
      <c r="A166" t="s">
        <v>634</v>
      </c>
    </row>
    <row r="167" spans="1:1" x14ac:dyDescent="0.2">
      <c r="A167" t="s">
        <v>635</v>
      </c>
    </row>
    <row r="168" spans="1:1" x14ac:dyDescent="0.2">
      <c r="A168" t="s">
        <v>636</v>
      </c>
    </row>
    <row r="169" spans="1:1" x14ac:dyDescent="0.2">
      <c r="A169" t="s">
        <v>637</v>
      </c>
    </row>
    <row r="170" spans="1:1" x14ac:dyDescent="0.2">
      <c r="A170" t="s">
        <v>638</v>
      </c>
    </row>
    <row r="171" spans="1:1" x14ac:dyDescent="0.2">
      <c r="A171" t="s">
        <v>639</v>
      </c>
    </row>
    <row r="172" spans="1:1" x14ac:dyDescent="0.2">
      <c r="A172" t="s">
        <v>640</v>
      </c>
    </row>
    <row r="173" spans="1:1" x14ac:dyDescent="0.2">
      <c r="A173" t="s">
        <v>641</v>
      </c>
    </row>
    <row r="174" spans="1:1" x14ac:dyDescent="0.2">
      <c r="A174" t="s">
        <v>642</v>
      </c>
    </row>
    <row r="175" spans="1:1" x14ac:dyDescent="0.2">
      <c r="A175" t="s">
        <v>643</v>
      </c>
    </row>
    <row r="176" spans="1:1" x14ac:dyDescent="0.2">
      <c r="A176" t="s">
        <v>644</v>
      </c>
    </row>
    <row r="177" spans="1:1" x14ac:dyDescent="0.2">
      <c r="A177" t="s">
        <v>645</v>
      </c>
    </row>
    <row r="178" spans="1:1" x14ac:dyDescent="0.2">
      <c r="A178" t="s">
        <v>646</v>
      </c>
    </row>
    <row r="179" spans="1:1" x14ac:dyDescent="0.2">
      <c r="A179" t="s">
        <v>647</v>
      </c>
    </row>
    <row r="180" spans="1:1" x14ac:dyDescent="0.2">
      <c r="A180" t="s">
        <v>648</v>
      </c>
    </row>
    <row r="181" spans="1:1" x14ac:dyDescent="0.2">
      <c r="A181" t="s">
        <v>649</v>
      </c>
    </row>
    <row r="182" spans="1:1" x14ac:dyDescent="0.2">
      <c r="A182" t="s">
        <v>650</v>
      </c>
    </row>
    <row r="184" spans="1:1" x14ac:dyDescent="0.2">
      <c r="A184" t="s">
        <v>651</v>
      </c>
    </row>
    <row r="185" spans="1:1" x14ac:dyDescent="0.2">
      <c r="A185" t="s">
        <v>652</v>
      </c>
    </row>
    <row r="186" spans="1:1" x14ac:dyDescent="0.2">
      <c r="A186" t="s">
        <v>653</v>
      </c>
    </row>
    <row r="187" spans="1:1" x14ac:dyDescent="0.2">
      <c r="A187" t="s">
        <v>654</v>
      </c>
    </row>
    <row r="188" spans="1:1" x14ac:dyDescent="0.2">
      <c r="A188" t="s">
        <v>655</v>
      </c>
    </row>
    <row r="189" spans="1:1" x14ac:dyDescent="0.2">
      <c r="A189" t="s">
        <v>656</v>
      </c>
    </row>
    <row r="190" spans="1:1" x14ac:dyDescent="0.2">
      <c r="A190" t="s">
        <v>657</v>
      </c>
    </row>
    <row r="191" spans="1:1" x14ac:dyDescent="0.2">
      <c r="A191" t="s">
        <v>658</v>
      </c>
    </row>
    <row r="192" spans="1:1" x14ac:dyDescent="0.2">
      <c r="A192" t="s">
        <v>659</v>
      </c>
    </row>
    <row r="193" spans="1:1" x14ac:dyDescent="0.2">
      <c r="A193" t="s">
        <v>660</v>
      </c>
    </row>
    <row r="194" spans="1:1" x14ac:dyDescent="0.2">
      <c r="A194" t="s">
        <v>661</v>
      </c>
    </row>
    <row r="195" spans="1:1" x14ac:dyDescent="0.2">
      <c r="A195" t="s">
        <v>662</v>
      </c>
    </row>
    <row r="196" spans="1:1" x14ac:dyDescent="0.2">
      <c r="A196" t="s">
        <v>663</v>
      </c>
    </row>
    <row r="197" spans="1:1" x14ac:dyDescent="0.2">
      <c r="A197" t="s">
        <v>664</v>
      </c>
    </row>
    <row r="198" spans="1:1" x14ac:dyDescent="0.2">
      <c r="A198" t="s">
        <v>665</v>
      </c>
    </row>
    <row r="199" spans="1:1" x14ac:dyDescent="0.2">
      <c r="A199" t="s">
        <v>666</v>
      </c>
    </row>
    <row r="200" spans="1:1" x14ac:dyDescent="0.2">
      <c r="A200" t="s">
        <v>667</v>
      </c>
    </row>
    <row r="205" spans="1:1" x14ac:dyDescent="0.2">
      <c r="A205" t="s">
        <v>362</v>
      </c>
    </row>
    <row r="206" spans="1:1" x14ac:dyDescent="0.2">
      <c r="A206" t="s">
        <v>668</v>
      </c>
    </row>
    <row r="207" spans="1:1" x14ac:dyDescent="0.2">
      <c r="A207" t="s">
        <v>669</v>
      </c>
    </row>
    <row r="208" spans="1:1" x14ac:dyDescent="0.2">
      <c r="A208" t="s">
        <v>670</v>
      </c>
    </row>
    <row r="209" spans="1:16" x14ac:dyDescent="0.2">
      <c r="A209" t="s">
        <v>671</v>
      </c>
    </row>
    <row r="210" spans="1:16" x14ac:dyDescent="0.2">
      <c r="A210" t="s">
        <v>672</v>
      </c>
    </row>
    <row r="211" spans="1:16" x14ac:dyDescent="0.2">
      <c r="A211" t="s">
        <v>673</v>
      </c>
    </row>
    <row r="212" spans="1:16" x14ac:dyDescent="0.2">
      <c r="A212" t="s">
        <v>674</v>
      </c>
    </row>
    <row r="214" spans="1:16" x14ac:dyDescent="0.2">
      <c r="A214" t="s">
        <v>675</v>
      </c>
    </row>
    <row r="215" spans="1:16" x14ac:dyDescent="0.2">
      <c r="A215" t="s">
        <v>676</v>
      </c>
    </row>
    <row r="217" spans="1:16" x14ac:dyDescent="0.2">
      <c r="A217" t="s">
        <v>677</v>
      </c>
    </row>
    <row r="218" spans="1:16" x14ac:dyDescent="0.2">
      <c r="C218" t="s">
        <v>678</v>
      </c>
      <c r="G218" t="s">
        <v>679</v>
      </c>
      <c r="K218" t="s">
        <v>680</v>
      </c>
      <c r="O218" t="s">
        <v>681</v>
      </c>
    </row>
    <row r="219" spans="1:16" x14ac:dyDescent="0.2">
      <c r="B219" t="s">
        <v>1020</v>
      </c>
      <c r="C219" t="s">
        <v>20</v>
      </c>
      <c r="D219" t="s">
        <v>21</v>
      </c>
      <c r="F219" t="s">
        <v>1020</v>
      </c>
      <c r="G219" t="s">
        <v>20</v>
      </c>
      <c r="H219" t="s">
        <v>21</v>
      </c>
      <c r="J219" t="s">
        <v>1020</v>
      </c>
      <c r="K219" t="s">
        <v>20</v>
      </c>
      <c r="L219" t="s">
        <v>21</v>
      </c>
      <c r="N219" t="s">
        <v>1020</v>
      </c>
      <c r="O219" t="s">
        <v>20</v>
      </c>
      <c r="P219" t="s">
        <v>21</v>
      </c>
    </row>
    <row r="220" spans="1:16" x14ac:dyDescent="0.2">
      <c r="A220" t="s">
        <v>682</v>
      </c>
      <c r="B220">
        <v>459804</v>
      </c>
      <c r="C220">
        <v>415161</v>
      </c>
      <c r="D220">
        <v>44184</v>
      </c>
      <c r="F220">
        <v>343569</v>
      </c>
      <c r="G220">
        <v>313158</v>
      </c>
      <c r="H220">
        <v>30411</v>
      </c>
      <c r="J220">
        <v>223551</v>
      </c>
      <c r="K220">
        <v>207782</v>
      </c>
      <c r="L220">
        <v>15769</v>
      </c>
      <c r="N220">
        <v>158394</v>
      </c>
      <c r="O220">
        <v>148839</v>
      </c>
      <c r="P220">
        <v>9555</v>
      </c>
    </row>
    <row r="222" spans="1:16" x14ac:dyDescent="0.2">
      <c r="A222" t="s">
        <v>683</v>
      </c>
      <c r="B222">
        <v>73871</v>
      </c>
      <c r="C222">
        <v>67958</v>
      </c>
      <c r="D222">
        <v>5913</v>
      </c>
      <c r="F222">
        <v>57613</v>
      </c>
      <c r="G222">
        <v>52965</v>
      </c>
      <c r="H222">
        <v>4648</v>
      </c>
      <c r="J222">
        <v>36634</v>
      </c>
      <c r="K222">
        <v>34615</v>
      </c>
      <c r="L222">
        <v>2019</v>
      </c>
      <c r="N222">
        <v>24228</v>
      </c>
      <c r="O222">
        <v>23039</v>
      </c>
      <c r="P222">
        <v>1189</v>
      </c>
    </row>
    <row r="223" spans="1:16" x14ac:dyDescent="0.2">
      <c r="A223" t="s">
        <v>684</v>
      </c>
      <c r="B223">
        <v>704</v>
      </c>
      <c r="C223">
        <v>658</v>
      </c>
      <c r="D223">
        <v>46</v>
      </c>
      <c r="F223">
        <v>669</v>
      </c>
      <c r="G223">
        <v>642</v>
      </c>
      <c r="H223">
        <v>27</v>
      </c>
      <c r="J223">
        <v>560</v>
      </c>
      <c r="K223">
        <v>547</v>
      </c>
      <c r="L223">
        <v>13</v>
      </c>
      <c r="N223">
        <v>325</v>
      </c>
      <c r="O223">
        <v>316</v>
      </c>
      <c r="P223">
        <v>9</v>
      </c>
    </row>
    <row r="224" spans="1:16" x14ac:dyDescent="0.2">
      <c r="A224" t="s">
        <v>685</v>
      </c>
      <c r="B224">
        <v>7878</v>
      </c>
      <c r="C224">
        <v>7522</v>
      </c>
      <c r="D224">
        <v>356</v>
      </c>
      <c r="F224">
        <v>5454</v>
      </c>
      <c r="G224">
        <v>5430</v>
      </c>
      <c r="H224">
        <v>24</v>
      </c>
      <c r="J224">
        <v>3304</v>
      </c>
      <c r="K224">
        <v>3301</v>
      </c>
      <c r="L224">
        <v>3</v>
      </c>
      <c r="N224">
        <v>2317</v>
      </c>
      <c r="O224">
        <v>2281</v>
      </c>
      <c r="P224">
        <v>36</v>
      </c>
    </row>
    <row r="225" spans="1:16" x14ac:dyDescent="0.2">
      <c r="A225" t="s">
        <v>686</v>
      </c>
      <c r="B225">
        <v>1127</v>
      </c>
      <c r="C225">
        <v>990</v>
      </c>
      <c r="D225">
        <v>137</v>
      </c>
      <c r="F225">
        <v>789</v>
      </c>
      <c r="G225">
        <v>749</v>
      </c>
      <c r="H225">
        <v>40</v>
      </c>
      <c r="J225">
        <v>475</v>
      </c>
      <c r="K225">
        <v>451</v>
      </c>
      <c r="L225">
        <v>24</v>
      </c>
      <c r="N225">
        <v>370</v>
      </c>
      <c r="O225">
        <v>347</v>
      </c>
      <c r="P225">
        <v>23</v>
      </c>
    </row>
    <row r="226" spans="1:16" x14ac:dyDescent="0.2">
      <c r="A226" t="s">
        <v>687</v>
      </c>
      <c r="B226">
        <v>15122</v>
      </c>
      <c r="C226">
        <v>14035</v>
      </c>
      <c r="D226">
        <v>1087</v>
      </c>
      <c r="F226">
        <v>11124</v>
      </c>
      <c r="G226">
        <v>10241</v>
      </c>
      <c r="H226">
        <v>883</v>
      </c>
      <c r="J226">
        <v>5971</v>
      </c>
      <c r="K226">
        <v>5596</v>
      </c>
      <c r="L226">
        <v>375</v>
      </c>
      <c r="N226">
        <v>3873</v>
      </c>
      <c r="O226">
        <v>3648</v>
      </c>
      <c r="P226">
        <v>225</v>
      </c>
    </row>
    <row r="227" spans="1:16" x14ac:dyDescent="0.2">
      <c r="A227" t="s">
        <v>688</v>
      </c>
      <c r="B227">
        <v>29809</v>
      </c>
      <c r="C227">
        <v>27156</v>
      </c>
      <c r="D227">
        <v>2653</v>
      </c>
      <c r="F227">
        <v>25928</v>
      </c>
      <c r="G227">
        <v>23240</v>
      </c>
      <c r="H227">
        <v>2688</v>
      </c>
      <c r="J227">
        <v>16154</v>
      </c>
      <c r="K227">
        <v>15100</v>
      </c>
      <c r="L227">
        <v>1054</v>
      </c>
      <c r="N227">
        <v>10936</v>
      </c>
      <c r="O227">
        <v>10302</v>
      </c>
      <c r="P227">
        <v>634</v>
      </c>
    </row>
    <row r="228" spans="1:16" x14ac:dyDescent="0.2">
      <c r="A228" t="s">
        <v>689</v>
      </c>
      <c r="B228">
        <v>19231</v>
      </c>
      <c r="C228">
        <v>17597</v>
      </c>
      <c r="D228">
        <v>1634</v>
      </c>
      <c r="F228">
        <v>13649</v>
      </c>
      <c r="G228">
        <v>12663</v>
      </c>
      <c r="H228">
        <v>986</v>
      </c>
      <c r="J228">
        <v>10170</v>
      </c>
      <c r="K228">
        <v>9620</v>
      </c>
      <c r="L228">
        <v>550</v>
      </c>
      <c r="N228">
        <v>6407</v>
      </c>
      <c r="O228">
        <v>6145</v>
      </c>
      <c r="P228">
        <v>262</v>
      </c>
    </row>
    <row r="230" spans="1:16" x14ac:dyDescent="0.2">
      <c r="A230" t="s">
        <v>690</v>
      </c>
      <c r="B230">
        <v>70646</v>
      </c>
      <c r="C230">
        <v>64424</v>
      </c>
      <c r="D230">
        <v>6222</v>
      </c>
      <c r="F230">
        <v>50646</v>
      </c>
      <c r="G230">
        <v>46927</v>
      </c>
      <c r="H230">
        <v>3719</v>
      </c>
      <c r="J230">
        <v>39538</v>
      </c>
      <c r="K230">
        <v>37000</v>
      </c>
      <c r="L230">
        <v>2538</v>
      </c>
      <c r="N230">
        <v>28452</v>
      </c>
      <c r="O230">
        <v>26687</v>
      </c>
      <c r="P230">
        <v>1765</v>
      </c>
    </row>
    <row r="231" spans="1:16" x14ac:dyDescent="0.2">
      <c r="A231" t="s">
        <v>691</v>
      </c>
      <c r="B231">
        <v>14549</v>
      </c>
      <c r="C231">
        <v>13482</v>
      </c>
      <c r="D231">
        <v>1067</v>
      </c>
      <c r="F231">
        <v>9891</v>
      </c>
      <c r="G231">
        <v>9333</v>
      </c>
      <c r="H231">
        <v>558</v>
      </c>
      <c r="J231">
        <v>8849</v>
      </c>
      <c r="K231">
        <v>8468</v>
      </c>
      <c r="L231">
        <v>381</v>
      </c>
      <c r="N231">
        <v>5781</v>
      </c>
      <c r="O231">
        <v>5499</v>
      </c>
      <c r="P231">
        <v>282</v>
      </c>
    </row>
    <row r="232" spans="1:16" x14ac:dyDescent="0.2">
      <c r="A232" t="s">
        <v>692</v>
      </c>
      <c r="B232">
        <v>8297</v>
      </c>
      <c r="C232">
        <v>7653</v>
      </c>
      <c r="D232">
        <v>644</v>
      </c>
      <c r="F232">
        <v>5235</v>
      </c>
      <c r="G232">
        <v>4870</v>
      </c>
      <c r="H232">
        <v>365</v>
      </c>
      <c r="J232">
        <v>3599</v>
      </c>
      <c r="K232">
        <v>3359</v>
      </c>
      <c r="L232">
        <v>240</v>
      </c>
      <c r="N232">
        <v>2453</v>
      </c>
      <c r="O232">
        <v>2334</v>
      </c>
      <c r="P232">
        <v>119</v>
      </c>
    </row>
    <row r="233" spans="1:16" x14ac:dyDescent="0.2">
      <c r="A233" t="s">
        <v>693</v>
      </c>
      <c r="B233">
        <v>1602</v>
      </c>
      <c r="C233">
        <v>1477</v>
      </c>
      <c r="D233">
        <v>125</v>
      </c>
      <c r="F233">
        <v>1036</v>
      </c>
      <c r="G233">
        <v>958</v>
      </c>
      <c r="H233">
        <v>78</v>
      </c>
      <c r="J233">
        <v>839</v>
      </c>
      <c r="K233">
        <v>798</v>
      </c>
      <c r="L233">
        <v>41</v>
      </c>
      <c r="N233">
        <v>664</v>
      </c>
      <c r="O233">
        <v>611</v>
      </c>
      <c r="P233">
        <v>53</v>
      </c>
    </row>
    <row r="234" spans="1:16" x14ac:dyDescent="0.2">
      <c r="A234" t="s">
        <v>694</v>
      </c>
      <c r="B234">
        <v>2797</v>
      </c>
      <c r="C234">
        <v>2520</v>
      </c>
      <c r="D234">
        <v>277</v>
      </c>
      <c r="F234">
        <v>1906</v>
      </c>
      <c r="G234">
        <v>1772</v>
      </c>
      <c r="H234">
        <v>134</v>
      </c>
      <c r="J234">
        <v>1328</v>
      </c>
      <c r="K234">
        <v>1244</v>
      </c>
      <c r="L234">
        <v>84</v>
      </c>
      <c r="N234">
        <v>998</v>
      </c>
      <c r="O234">
        <v>937</v>
      </c>
      <c r="P234">
        <v>61</v>
      </c>
    </row>
    <row r="235" spans="1:16" x14ac:dyDescent="0.2">
      <c r="A235" t="s">
        <v>695</v>
      </c>
      <c r="B235">
        <v>12479</v>
      </c>
      <c r="C235">
        <v>11395</v>
      </c>
      <c r="D235">
        <v>1084</v>
      </c>
      <c r="F235">
        <v>9404</v>
      </c>
      <c r="G235">
        <v>8687</v>
      </c>
      <c r="H235">
        <v>717</v>
      </c>
      <c r="J235">
        <v>7637</v>
      </c>
      <c r="K235">
        <v>7064</v>
      </c>
      <c r="L235">
        <v>573</v>
      </c>
      <c r="N235">
        <v>5729</v>
      </c>
      <c r="O235">
        <v>5282</v>
      </c>
      <c r="P235">
        <v>447</v>
      </c>
    </row>
    <row r="236" spans="1:16" x14ac:dyDescent="0.2">
      <c r="A236" t="s">
        <v>696</v>
      </c>
      <c r="B236">
        <v>3654</v>
      </c>
      <c r="C236">
        <v>3395</v>
      </c>
      <c r="D236">
        <v>259</v>
      </c>
      <c r="F236">
        <v>3227</v>
      </c>
      <c r="G236">
        <v>3034</v>
      </c>
      <c r="H236">
        <v>193</v>
      </c>
      <c r="J236">
        <v>1954</v>
      </c>
      <c r="K236">
        <v>1849</v>
      </c>
      <c r="L236">
        <v>105</v>
      </c>
      <c r="N236">
        <v>1517</v>
      </c>
      <c r="O236">
        <v>1431</v>
      </c>
      <c r="P236">
        <v>86</v>
      </c>
    </row>
    <row r="237" spans="1:16" x14ac:dyDescent="0.2">
      <c r="A237" t="s">
        <v>697</v>
      </c>
      <c r="B237">
        <v>5030</v>
      </c>
      <c r="C237">
        <v>4572</v>
      </c>
      <c r="D237">
        <v>458</v>
      </c>
      <c r="F237">
        <v>4154</v>
      </c>
      <c r="G237">
        <v>3845</v>
      </c>
      <c r="H237">
        <v>309</v>
      </c>
      <c r="J237">
        <v>3783</v>
      </c>
      <c r="K237">
        <v>3523</v>
      </c>
      <c r="L237">
        <v>260</v>
      </c>
      <c r="N237">
        <v>2849</v>
      </c>
      <c r="O237">
        <v>2668</v>
      </c>
      <c r="P237">
        <v>181</v>
      </c>
    </row>
    <row r="238" spans="1:16" x14ac:dyDescent="0.2">
      <c r="A238" t="s">
        <v>698</v>
      </c>
      <c r="B238">
        <v>1680</v>
      </c>
      <c r="C238">
        <v>1545</v>
      </c>
      <c r="D238">
        <v>135</v>
      </c>
      <c r="F238">
        <v>1156</v>
      </c>
      <c r="G238">
        <v>1044</v>
      </c>
      <c r="H238">
        <v>112</v>
      </c>
      <c r="J238">
        <v>844</v>
      </c>
      <c r="K238">
        <v>796</v>
      </c>
      <c r="L238">
        <v>48</v>
      </c>
      <c r="N238">
        <v>676</v>
      </c>
      <c r="O238">
        <v>647</v>
      </c>
      <c r="P238">
        <v>29</v>
      </c>
    </row>
    <row r="239" spans="1:16" x14ac:dyDescent="0.2">
      <c r="A239" t="s">
        <v>699</v>
      </c>
      <c r="B239">
        <v>361</v>
      </c>
      <c r="C239">
        <v>327</v>
      </c>
      <c r="D239">
        <v>34</v>
      </c>
      <c r="F239">
        <v>288</v>
      </c>
      <c r="G239">
        <v>262</v>
      </c>
      <c r="H239">
        <v>26</v>
      </c>
      <c r="J239">
        <v>243</v>
      </c>
      <c r="K239">
        <v>222</v>
      </c>
      <c r="L239">
        <v>21</v>
      </c>
      <c r="N239">
        <v>118</v>
      </c>
      <c r="O239">
        <v>105</v>
      </c>
      <c r="P239">
        <v>13</v>
      </c>
    </row>
    <row r="240" spans="1:16" x14ac:dyDescent="0.2">
      <c r="A240" t="s">
        <v>700</v>
      </c>
      <c r="B240">
        <v>11695</v>
      </c>
      <c r="C240">
        <v>10332</v>
      </c>
      <c r="D240">
        <v>1363</v>
      </c>
      <c r="F240">
        <v>9160</v>
      </c>
      <c r="G240">
        <v>8355</v>
      </c>
      <c r="H240">
        <v>805</v>
      </c>
      <c r="J240">
        <v>7116</v>
      </c>
      <c r="K240">
        <v>6549</v>
      </c>
      <c r="L240">
        <v>567</v>
      </c>
      <c r="N240">
        <v>5465</v>
      </c>
      <c r="O240">
        <v>5109</v>
      </c>
      <c r="P240">
        <v>356</v>
      </c>
    </row>
    <row r="241" spans="1:16" x14ac:dyDescent="0.2">
      <c r="A241" t="s">
        <v>701</v>
      </c>
      <c r="B241">
        <v>623</v>
      </c>
      <c r="C241">
        <v>557</v>
      </c>
      <c r="D241">
        <v>66</v>
      </c>
      <c r="F241">
        <v>522</v>
      </c>
      <c r="G241">
        <v>478</v>
      </c>
      <c r="H241">
        <v>44</v>
      </c>
      <c r="J241">
        <v>316</v>
      </c>
      <c r="K241">
        <v>289</v>
      </c>
      <c r="L241">
        <v>27</v>
      </c>
      <c r="N241">
        <v>276</v>
      </c>
      <c r="O241">
        <v>258</v>
      </c>
      <c r="P241">
        <v>18</v>
      </c>
    </row>
    <row r="242" spans="1:16" x14ac:dyDescent="0.2">
      <c r="A242" t="s">
        <v>702</v>
      </c>
      <c r="B242">
        <v>7879</v>
      </c>
      <c r="C242">
        <v>7169</v>
      </c>
      <c r="D242">
        <v>710</v>
      </c>
      <c r="F242">
        <v>4667</v>
      </c>
      <c r="G242">
        <v>4289</v>
      </c>
      <c r="H242">
        <v>378</v>
      </c>
      <c r="J242">
        <v>3030</v>
      </c>
      <c r="K242">
        <v>2839</v>
      </c>
      <c r="L242">
        <v>191</v>
      </c>
      <c r="N242">
        <v>1926</v>
      </c>
      <c r="O242">
        <v>1806</v>
      </c>
      <c r="P242">
        <v>120</v>
      </c>
    </row>
    <row r="244" spans="1:16" x14ac:dyDescent="0.2">
      <c r="A244" t="s">
        <v>703</v>
      </c>
      <c r="B244">
        <v>210599</v>
      </c>
      <c r="C244">
        <v>189230</v>
      </c>
      <c r="D244">
        <v>20910</v>
      </c>
      <c r="F244">
        <v>143751</v>
      </c>
      <c r="G244">
        <v>131750</v>
      </c>
      <c r="H244">
        <v>12001</v>
      </c>
      <c r="J244">
        <v>89479</v>
      </c>
      <c r="K244">
        <v>83696</v>
      </c>
      <c r="L244">
        <v>5783</v>
      </c>
      <c r="N244">
        <v>67444</v>
      </c>
      <c r="O244">
        <v>63992</v>
      </c>
      <c r="P244">
        <v>3452</v>
      </c>
    </row>
    <row r="245" spans="1:16" x14ac:dyDescent="0.2">
      <c r="A245" t="s">
        <v>704</v>
      </c>
      <c r="B245">
        <v>7072</v>
      </c>
      <c r="C245">
        <v>6485</v>
      </c>
      <c r="D245">
        <v>587</v>
      </c>
      <c r="F245">
        <v>4819</v>
      </c>
      <c r="G245">
        <v>4469</v>
      </c>
      <c r="H245">
        <v>350</v>
      </c>
      <c r="J245">
        <v>4464</v>
      </c>
      <c r="K245">
        <v>4216</v>
      </c>
      <c r="L245">
        <v>248</v>
      </c>
      <c r="N245">
        <v>5049</v>
      </c>
      <c r="O245">
        <v>4903</v>
      </c>
      <c r="P245">
        <v>146</v>
      </c>
    </row>
    <row r="246" spans="1:16" x14ac:dyDescent="0.2">
      <c r="A246" t="s">
        <v>705</v>
      </c>
      <c r="B246">
        <v>2846</v>
      </c>
      <c r="C246">
        <v>2632</v>
      </c>
      <c r="D246">
        <v>214</v>
      </c>
      <c r="F246">
        <v>1994</v>
      </c>
      <c r="G246">
        <v>1861</v>
      </c>
      <c r="H246">
        <v>133</v>
      </c>
      <c r="J246">
        <v>1602</v>
      </c>
      <c r="K246">
        <v>1508</v>
      </c>
      <c r="L246">
        <v>94</v>
      </c>
      <c r="N246">
        <v>1334</v>
      </c>
      <c r="O246">
        <v>1261</v>
      </c>
      <c r="P246">
        <v>73</v>
      </c>
    </row>
    <row r="247" spans="1:16" x14ac:dyDescent="0.2">
      <c r="A247" t="s">
        <v>706</v>
      </c>
      <c r="B247">
        <v>1687</v>
      </c>
      <c r="C247">
        <v>1509</v>
      </c>
      <c r="D247">
        <v>178</v>
      </c>
      <c r="F247">
        <v>1693</v>
      </c>
      <c r="G247">
        <v>1209</v>
      </c>
      <c r="H247">
        <v>484</v>
      </c>
      <c r="J247">
        <v>2843</v>
      </c>
      <c r="K247">
        <v>2570</v>
      </c>
      <c r="L247">
        <v>273</v>
      </c>
      <c r="N247">
        <v>1407</v>
      </c>
      <c r="O247">
        <v>1292</v>
      </c>
      <c r="P247">
        <v>115</v>
      </c>
    </row>
    <row r="248" spans="1:16" x14ac:dyDescent="0.2">
      <c r="A248" t="s">
        <v>707</v>
      </c>
      <c r="B248">
        <v>34183</v>
      </c>
      <c r="C248">
        <v>30500</v>
      </c>
      <c r="D248">
        <v>3683</v>
      </c>
      <c r="F248">
        <v>28236</v>
      </c>
      <c r="G248">
        <v>25460</v>
      </c>
      <c r="H248">
        <v>2776</v>
      </c>
      <c r="J248">
        <v>14668</v>
      </c>
      <c r="K248">
        <v>13489</v>
      </c>
      <c r="L248">
        <v>1179</v>
      </c>
      <c r="N248">
        <v>10305</v>
      </c>
      <c r="O248">
        <v>9615</v>
      </c>
      <c r="P248">
        <v>690</v>
      </c>
    </row>
    <row r="249" spans="1:16" x14ac:dyDescent="0.2">
      <c r="A249" t="s">
        <v>708</v>
      </c>
      <c r="B249">
        <v>22663</v>
      </c>
      <c r="C249">
        <v>20943</v>
      </c>
      <c r="D249">
        <v>1720</v>
      </c>
      <c r="F249">
        <v>17482</v>
      </c>
      <c r="G249">
        <v>16364</v>
      </c>
      <c r="H249">
        <v>1118</v>
      </c>
      <c r="J249">
        <v>10214</v>
      </c>
      <c r="K249">
        <v>9659</v>
      </c>
      <c r="L249">
        <v>555</v>
      </c>
      <c r="N249">
        <v>8278</v>
      </c>
      <c r="O249">
        <v>7933</v>
      </c>
      <c r="P249">
        <v>345</v>
      </c>
    </row>
    <row r="250" spans="1:16" x14ac:dyDescent="0.2">
      <c r="A250" t="s">
        <v>709</v>
      </c>
      <c r="B250">
        <v>6813</v>
      </c>
      <c r="C250">
        <v>6198</v>
      </c>
      <c r="D250">
        <v>547</v>
      </c>
      <c r="F250">
        <v>4695</v>
      </c>
      <c r="G250">
        <v>4304</v>
      </c>
      <c r="H250">
        <v>391</v>
      </c>
      <c r="J250">
        <v>3711</v>
      </c>
      <c r="K250">
        <v>3471</v>
      </c>
      <c r="L250">
        <v>240</v>
      </c>
      <c r="N250">
        <v>2149</v>
      </c>
      <c r="O250">
        <v>2024</v>
      </c>
      <c r="P250">
        <v>125</v>
      </c>
    </row>
    <row r="251" spans="1:16" x14ac:dyDescent="0.2">
      <c r="A251" t="s">
        <v>710</v>
      </c>
      <c r="B251">
        <v>16208</v>
      </c>
      <c r="C251">
        <v>14800</v>
      </c>
      <c r="D251">
        <v>1408</v>
      </c>
      <c r="F251">
        <v>11222</v>
      </c>
      <c r="G251">
        <v>10397</v>
      </c>
      <c r="H251">
        <v>825</v>
      </c>
      <c r="J251">
        <v>8507</v>
      </c>
      <c r="K251">
        <v>8046</v>
      </c>
      <c r="L251">
        <v>461</v>
      </c>
      <c r="N251">
        <v>5232</v>
      </c>
      <c r="O251">
        <v>4996</v>
      </c>
      <c r="P251">
        <v>236</v>
      </c>
    </row>
    <row r="252" spans="1:16" x14ac:dyDescent="0.2">
      <c r="A252" t="s">
        <v>711</v>
      </c>
      <c r="B252">
        <v>9358</v>
      </c>
      <c r="C252">
        <v>8524</v>
      </c>
      <c r="D252">
        <v>834</v>
      </c>
      <c r="F252">
        <v>7486</v>
      </c>
      <c r="G252">
        <v>6897</v>
      </c>
      <c r="H252">
        <v>589</v>
      </c>
      <c r="J252">
        <v>4608</v>
      </c>
      <c r="K252">
        <v>4343</v>
      </c>
      <c r="L252">
        <v>265</v>
      </c>
      <c r="N252">
        <v>3553</v>
      </c>
      <c r="O252">
        <v>3418</v>
      </c>
      <c r="P252">
        <v>135</v>
      </c>
    </row>
    <row r="253" spans="1:16" x14ac:dyDescent="0.2">
      <c r="A253" t="s">
        <v>712</v>
      </c>
      <c r="B253">
        <v>4851</v>
      </c>
      <c r="C253">
        <v>4459</v>
      </c>
      <c r="D253">
        <v>392</v>
      </c>
      <c r="F253">
        <v>3501</v>
      </c>
      <c r="G253">
        <v>3298</v>
      </c>
      <c r="H253">
        <v>203</v>
      </c>
      <c r="J253">
        <v>2498</v>
      </c>
      <c r="K253">
        <v>2374</v>
      </c>
      <c r="L253">
        <v>124</v>
      </c>
      <c r="N253">
        <v>2427</v>
      </c>
      <c r="O253">
        <v>2310</v>
      </c>
      <c r="P253">
        <v>117</v>
      </c>
    </row>
    <row r="254" spans="1:16" x14ac:dyDescent="0.2">
      <c r="A254" t="s">
        <v>713</v>
      </c>
      <c r="B254">
        <v>8939</v>
      </c>
      <c r="C254">
        <v>7800</v>
      </c>
      <c r="D254">
        <v>748</v>
      </c>
      <c r="F254">
        <v>5469</v>
      </c>
      <c r="G254">
        <v>5063</v>
      </c>
      <c r="H254">
        <v>406</v>
      </c>
      <c r="J254">
        <v>3496</v>
      </c>
      <c r="K254">
        <v>3305</v>
      </c>
      <c r="L254">
        <v>191</v>
      </c>
      <c r="N254">
        <v>2798</v>
      </c>
      <c r="O254">
        <v>2635</v>
      </c>
      <c r="P254">
        <v>163</v>
      </c>
    </row>
    <row r="255" spans="1:16" x14ac:dyDescent="0.2">
      <c r="A255" t="s">
        <v>714</v>
      </c>
      <c r="B255">
        <v>4102</v>
      </c>
      <c r="C255">
        <v>3589</v>
      </c>
      <c r="D255">
        <v>513</v>
      </c>
      <c r="F255">
        <v>2595</v>
      </c>
      <c r="G255">
        <v>2318</v>
      </c>
      <c r="H255">
        <v>277</v>
      </c>
      <c r="J255">
        <v>2215</v>
      </c>
      <c r="K255">
        <v>2034</v>
      </c>
      <c r="L255">
        <v>181</v>
      </c>
      <c r="N255">
        <v>1704</v>
      </c>
      <c r="O255">
        <v>1550</v>
      </c>
      <c r="P255">
        <v>154</v>
      </c>
    </row>
    <row r="256" spans="1:16" x14ac:dyDescent="0.2">
      <c r="A256" t="s">
        <v>715</v>
      </c>
      <c r="B256">
        <v>5713</v>
      </c>
      <c r="C256">
        <v>5242</v>
      </c>
      <c r="D256">
        <v>471</v>
      </c>
      <c r="F256">
        <v>3497</v>
      </c>
      <c r="G256">
        <v>3259</v>
      </c>
      <c r="H256">
        <v>238</v>
      </c>
      <c r="J256">
        <v>2690</v>
      </c>
      <c r="K256">
        <v>2572</v>
      </c>
      <c r="L256">
        <v>118</v>
      </c>
      <c r="N256">
        <v>2362</v>
      </c>
      <c r="O256">
        <v>2281</v>
      </c>
      <c r="P256">
        <v>81</v>
      </c>
    </row>
    <row r="257" spans="1:16" x14ac:dyDescent="0.2">
      <c r="A257" t="s">
        <v>716</v>
      </c>
      <c r="B257">
        <v>14375</v>
      </c>
      <c r="C257">
        <v>13048</v>
      </c>
      <c r="D257">
        <v>1327</v>
      </c>
      <c r="F257">
        <v>10858</v>
      </c>
      <c r="G257">
        <v>10244</v>
      </c>
      <c r="H257">
        <v>614</v>
      </c>
      <c r="J257">
        <v>6005</v>
      </c>
      <c r="K257">
        <v>5614</v>
      </c>
      <c r="L257">
        <v>391</v>
      </c>
      <c r="N257">
        <v>4553</v>
      </c>
      <c r="O257">
        <v>4330</v>
      </c>
      <c r="P257">
        <v>223</v>
      </c>
    </row>
    <row r="258" spans="1:16" x14ac:dyDescent="0.2">
      <c r="A258" t="s">
        <v>717</v>
      </c>
      <c r="B258">
        <v>55395</v>
      </c>
      <c r="C258">
        <v>48806</v>
      </c>
      <c r="D258">
        <v>6589</v>
      </c>
      <c r="F258">
        <v>29439</v>
      </c>
      <c r="G258">
        <v>26753</v>
      </c>
      <c r="H258">
        <v>2686</v>
      </c>
      <c r="J258">
        <v>15224</v>
      </c>
      <c r="K258">
        <v>14215</v>
      </c>
      <c r="L258">
        <v>1009</v>
      </c>
      <c r="N258">
        <v>10995</v>
      </c>
      <c r="O258">
        <v>10368</v>
      </c>
      <c r="P258">
        <v>627</v>
      </c>
    </row>
    <row r="259" spans="1:16" x14ac:dyDescent="0.2">
      <c r="A259" t="s">
        <v>718</v>
      </c>
      <c r="B259">
        <v>14623</v>
      </c>
      <c r="C259">
        <v>13042</v>
      </c>
      <c r="D259">
        <v>1581</v>
      </c>
      <c r="F259">
        <v>9372</v>
      </c>
      <c r="G259">
        <v>8544</v>
      </c>
      <c r="H259">
        <v>828</v>
      </c>
      <c r="J259">
        <v>5719</v>
      </c>
      <c r="K259">
        <v>5317</v>
      </c>
      <c r="L259">
        <v>402</v>
      </c>
      <c r="N259">
        <v>4232</v>
      </c>
      <c r="O259">
        <v>4059</v>
      </c>
      <c r="P259">
        <v>173</v>
      </c>
    </row>
    <row r="260" spans="1:16" x14ac:dyDescent="0.2">
      <c r="A260" t="s">
        <v>719</v>
      </c>
      <c r="B260">
        <v>1771</v>
      </c>
      <c r="C260">
        <v>1653</v>
      </c>
      <c r="D260">
        <v>118</v>
      </c>
      <c r="F260">
        <v>1393</v>
      </c>
      <c r="G260">
        <v>1310</v>
      </c>
      <c r="H260">
        <v>83</v>
      </c>
      <c r="J260">
        <v>1015</v>
      </c>
      <c r="K260">
        <v>963</v>
      </c>
      <c r="L260">
        <v>52</v>
      </c>
      <c r="N260">
        <v>1066</v>
      </c>
      <c r="O260">
        <v>1017</v>
      </c>
      <c r="P260">
        <v>49</v>
      </c>
    </row>
    <row r="262" spans="1:16" x14ac:dyDescent="0.2">
      <c r="A262" t="s">
        <v>720</v>
      </c>
      <c r="B262">
        <v>104688</v>
      </c>
      <c r="C262">
        <v>93549</v>
      </c>
      <c r="D262">
        <v>11139</v>
      </c>
      <c r="F262">
        <v>91559</v>
      </c>
      <c r="G262">
        <v>81516</v>
      </c>
      <c r="H262">
        <v>10043</v>
      </c>
      <c r="J262">
        <v>57900</v>
      </c>
      <c r="K262">
        <v>52471</v>
      </c>
      <c r="L262">
        <v>5429</v>
      </c>
      <c r="N262">
        <v>38270</v>
      </c>
      <c r="O262">
        <v>35121</v>
      </c>
      <c r="P262">
        <v>3149</v>
      </c>
    </row>
    <row r="263" spans="1:16" x14ac:dyDescent="0.2">
      <c r="A263" t="s">
        <v>721</v>
      </c>
      <c r="B263">
        <v>31</v>
      </c>
      <c r="C263">
        <v>30</v>
      </c>
      <c r="D263">
        <v>1</v>
      </c>
      <c r="F263">
        <v>27</v>
      </c>
      <c r="G263">
        <v>25</v>
      </c>
      <c r="H263">
        <v>2</v>
      </c>
      <c r="J263">
        <v>37</v>
      </c>
      <c r="K263">
        <v>32</v>
      </c>
      <c r="L263">
        <v>5</v>
      </c>
      <c r="N263">
        <v>44</v>
      </c>
      <c r="O263">
        <v>41</v>
      </c>
      <c r="P263">
        <v>3</v>
      </c>
    </row>
    <row r="264" spans="1:16" x14ac:dyDescent="0.2">
      <c r="A264" t="s">
        <v>722</v>
      </c>
      <c r="B264">
        <v>7231</v>
      </c>
      <c r="C264">
        <v>6471</v>
      </c>
      <c r="D264">
        <v>760</v>
      </c>
      <c r="F264">
        <v>6006</v>
      </c>
      <c r="G264">
        <v>5496</v>
      </c>
      <c r="H264">
        <v>510</v>
      </c>
      <c r="J264">
        <v>2940</v>
      </c>
      <c r="K264">
        <v>2756</v>
      </c>
      <c r="L264">
        <v>184</v>
      </c>
      <c r="N264">
        <v>2501</v>
      </c>
      <c r="O264">
        <v>2163</v>
      </c>
      <c r="P264">
        <v>338</v>
      </c>
    </row>
    <row r="265" spans="1:16" x14ac:dyDescent="0.2">
      <c r="A265" t="s">
        <v>723</v>
      </c>
      <c r="B265">
        <v>69298</v>
      </c>
      <c r="C265">
        <v>61646</v>
      </c>
      <c r="D265">
        <v>7652</v>
      </c>
      <c r="F265">
        <v>64216</v>
      </c>
      <c r="G265">
        <v>56570</v>
      </c>
      <c r="H265">
        <v>7646</v>
      </c>
      <c r="J265">
        <v>41720</v>
      </c>
      <c r="K265">
        <v>37312</v>
      </c>
      <c r="L265">
        <v>4408</v>
      </c>
      <c r="N265">
        <v>26206</v>
      </c>
      <c r="O265">
        <v>24036</v>
      </c>
      <c r="P265">
        <v>2170</v>
      </c>
    </row>
    <row r="266" spans="1:16" x14ac:dyDescent="0.2">
      <c r="A266" t="s">
        <v>724</v>
      </c>
      <c r="B266">
        <v>6316</v>
      </c>
      <c r="C266">
        <v>5787</v>
      </c>
      <c r="D266">
        <v>529</v>
      </c>
      <c r="F266">
        <v>4882</v>
      </c>
      <c r="G266">
        <v>4439</v>
      </c>
      <c r="H266">
        <v>443</v>
      </c>
      <c r="J266">
        <v>2747</v>
      </c>
      <c r="K266">
        <v>2591</v>
      </c>
      <c r="L266">
        <v>156</v>
      </c>
      <c r="N266">
        <v>1681</v>
      </c>
      <c r="O266">
        <v>1598</v>
      </c>
      <c r="P266">
        <v>83</v>
      </c>
    </row>
    <row r="267" spans="1:16" x14ac:dyDescent="0.2">
      <c r="A267" t="s">
        <v>725</v>
      </c>
      <c r="B267">
        <v>1485</v>
      </c>
      <c r="C267">
        <v>1383</v>
      </c>
      <c r="D267">
        <v>102</v>
      </c>
      <c r="F267">
        <v>810</v>
      </c>
      <c r="G267">
        <v>766</v>
      </c>
      <c r="H267">
        <v>44</v>
      </c>
      <c r="J267">
        <v>604</v>
      </c>
      <c r="K267">
        <v>563</v>
      </c>
      <c r="L267">
        <v>41</v>
      </c>
      <c r="N267">
        <v>539</v>
      </c>
      <c r="O267">
        <v>508</v>
      </c>
      <c r="P267">
        <v>31</v>
      </c>
    </row>
    <row r="268" spans="1:16" x14ac:dyDescent="0.2">
      <c r="A268" t="s">
        <v>726</v>
      </c>
      <c r="B268">
        <v>680</v>
      </c>
      <c r="C268">
        <v>604</v>
      </c>
      <c r="D268">
        <v>76</v>
      </c>
      <c r="F268">
        <v>616</v>
      </c>
      <c r="G268">
        <v>547</v>
      </c>
      <c r="H268">
        <v>69</v>
      </c>
      <c r="J268">
        <v>405</v>
      </c>
      <c r="K268">
        <v>369</v>
      </c>
      <c r="L268">
        <v>36</v>
      </c>
      <c r="N268">
        <v>324</v>
      </c>
      <c r="O268">
        <v>304</v>
      </c>
      <c r="P268">
        <v>20</v>
      </c>
    </row>
    <row r="269" spans="1:16" x14ac:dyDescent="0.2">
      <c r="A269" t="s">
        <v>727</v>
      </c>
      <c r="B269">
        <v>2987</v>
      </c>
      <c r="C269">
        <v>2593</v>
      </c>
      <c r="D269">
        <v>394</v>
      </c>
      <c r="F269">
        <v>2343</v>
      </c>
      <c r="G269">
        <v>2078</v>
      </c>
      <c r="H269">
        <v>265</v>
      </c>
      <c r="J269">
        <v>940</v>
      </c>
      <c r="K269">
        <v>847</v>
      </c>
      <c r="L269">
        <v>93</v>
      </c>
      <c r="N269">
        <v>912</v>
      </c>
      <c r="O269">
        <v>821</v>
      </c>
      <c r="P269">
        <v>91</v>
      </c>
    </row>
    <row r="270" spans="1:16" x14ac:dyDescent="0.2">
      <c r="A270" t="s">
        <v>728</v>
      </c>
      <c r="B270">
        <v>3058</v>
      </c>
      <c r="C270">
        <v>2772</v>
      </c>
      <c r="D270">
        <v>286</v>
      </c>
      <c r="F270">
        <v>2188</v>
      </c>
      <c r="G270">
        <v>2015</v>
      </c>
      <c r="H270">
        <v>173</v>
      </c>
      <c r="J270">
        <v>1346</v>
      </c>
      <c r="K270">
        <v>1273</v>
      </c>
      <c r="L270">
        <v>73</v>
      </c>
      <c r="N270">
        <v>794</v>
      </c>
      <c r="O270">
        <v>741</v>
      </c>
      <c r="P270">
        <v>53</v>
      </c>
    </row>
    <row r="271" spans="1:16" x14ac:dyDescent="0.2">
      <c r="A271" t="s">
        <v>729</v>
      </c>
      <c r="B271">
        <v>3777</v>
      </c>
      <c r="C271">
        <v>3441</v>
      </c>
      <c r="D271">
        <v>336</v>
      </c>
      <c r="F271">
        <v>2819</v>
      </c>
      <c r="G271">
        <v>2590</v>
      </c>
      <c r="H271">
        <v>229</v>
      </c>
      <c r="J271">
        <v>2304</v>
      </c>
      <c r="K271">
        <v>2163</v>
      </c>
      <c r="L271">
        <v>141</v>
      </c>
      <c r="N271">
        <v>1872</v>
      </c>
      <c r="O271">
        <v>1750</v>
      </c>
      <c r="P271">
        <v>122</v>
      </c>
    </row>
    <row r="272" spans="1:16" x14ac:dyDescent="0.2">
      <c r="A272" t="s">
        <v>730</v>
      </c>
      <c r="B272">
        <v>1895</v>
      </c>
      <c r="C272">
        <v>1715</v>
      </c>
      <c r="D272">
        <v>180</v>
      </c>
      <c r="F272">
        <v>1261</v>
      </c>
      <c r="G272">
        <v>1165</v>
      </c>
      <c r="H272">
        <v>96</v>
      </c>
      <c r="J272">
        <v>906</v>
      </c>
      <c r="K272">
        <v>862</v>
      </c>
      <c r="L272">
        <v>44</v>
      </c>
      <c r="N272">
        <v>676</v>
      </c>
      <c r="O272">
        <v>643</v>
      </c>
      <c r="P272">
        <v>33</v>
      </c>
    </row>
    <row r="273" spans="1:16" x14ac:dyDescent="0.2">
      <c r="A273" t="s">
        <v>731</v>
      </c>
      <c r="B273">
        <v>7435</v>
      </c>
      <c r="C273">
        <v>6663</v>
      </c>
      <c r="D273">
        <v>772</v>
      </c>
      <c r="F273">
        <v>5934</v>
      </c>
      <c r="G273">
        <v>5423</v>
      </c>
      <c r="H273">
        <v>511</v>
      </c>
      <c r="J273">
        <v>3610</v>
      </c>
      <c r="K273">
        <v>3390</v>
      </c>
      <c r="L273">
        <v>220</v>
      </c>
      <c r="N273">
        <v>2453</v>
      </c>
      <c r="O273">
        <v>2273</v>
      </c>
      <c r="P273">
        <v>180</v>
      </c>
    </row>
    <row r="274" spans="1:16" x14ac:dyDescent="0.2">
      <c r="A274" t="s">
        <v>732</v>
      </c>
      <c r="B274">
        <v>495</v>
      </c>
      <c r="C274">
        <v>444</v>
      </c>
      <c r="D274">
        <v>51</v>
      </c>
      <c r="F274">
        <v>457</v>
      </c>
      <c r="G274">
        <v>402</v>
      </c>
      <c r="H274">
        <v>55</v>
      </c>
      <c r="J274">
        <v>341</v>
      </c>
      <c r="K274">
        <v>313</v>
      </c>
      <c r="L274">
        <v>28</v>
      </c>
      <c r="N274">
        <v>268</v>
      </c>
      <c r="O274">
        <v>243</v>
      </c>
      <c r="P274">
        <v>25</v>
      </c>
    </row>
    <row r="276" spans="1:16" x14ac:dyDescent="0.2">
      <c r="A276" t="s">
        <v>733</v>
      </c>
    </row>
    <row r="277" spans="1:16" x14ac:dyDescent="0.2">
      <c r="A277" t="s">
        <v>734</v>
      </c>
    </row>
    <row r="278" spans="1:16" x14ac:dyDescent="0.2">
      <c r="A278" t="s">
        <v>735</v>
      </c>
    </row>
    <row r="279" spans="1:16" x14ac:dyDescent="0.2">
      <c r="A279" t="s">
        <v>736</v>
      </c>
    </row>
    <row r="280" spans="1:16" x14ac:dyDescent="0.2">
      <c r="A280" t="s">
        <v>737</v>
      </c>
    </row>
    <row r="281" spans="1:16" x14ac:dyDescent="0.2">
      <c r="A281" t="s">
        <v>738</v>
      </c>
    </row>
    <row r="285" spans="1:16" x14ac:dyDescent="0.2">
      <c r="A285" t="s">
        <v>362</v>
      </c>
    </row>
    <row r="286" spans="1:16" x14ac:dyDescent="0.2">
      <c r="A286" t="s">
        <v>742</v>
      </c>
    </row>
    <row r="287" spans="1:16" x14ac:dyDescent="0.2">
      <c r="A287" t="s">
        <v>743</v>
      </c>
    </row>
    <row r="288" spans="1:16" x14ac:dyDescent="0.2">
      <c r="A288" t="s">
        <v>744</v>
      </c>
    </row>
    <row r="289" spans="1:9" x14ac:dyDescent="0.2">
      <c r="A289" t="s">
        <v>745</v>
      </c>
    </row>
    <row r="290" spans="1:9" x14ac:dyDescent="0.2">
      <c r="A290" t="s">
        <v>746</v>
      </c>
    </row>
    <row r="291" spans="1:9" x14ac:dyDescent="0.2">
      <c r="A291" t="s">
        <v>747</v>
      </c>
    </row>
    <row r="292" spans="1:9" x14ac:dyDescent="0.2">
      <c r="A292" t="s">
        <v>748</v>
      </c>
    </row>
    <row r="294" spans="1:9" x14ac:dyDescent="0.2">
      <c r="A294" t="s">
        <v>749</v>
      </c>
    </row>
    <row r="295" spans="1:9" x14ac:dyDescent="0.2">
      <c r="A295" t="s">
        <v>750</v>
      </c>
      <c r="C295">
        <v>2000</v>
      </c>
      <c r="D295">
        <v>2005</v>
      </c>
      <c r="E295">
        <v>2006</v>
      </c>
      <c r="F295">
        <v>2007</v>
      </c>
      <c r="G295" t="s">
        <v>751</v>
      </c>
      <c r="H295" t="s">
        <v>752</v>
      </c>
      <c r="I295">
        <v>2010</v>
      </c>
    </row>
    <row r="296" spans="1:9" x14ac:dyDescent="0.2">
      <c r="B296" t="s">
        <v>1020</v>
      </c>
      <c r="C296" s="1">
        <v>621149</v>
      </c>
      <c r="D296" s="1">
        <v>747529</v>
      </c>
      <c r="E296" s="1">
        <v>765819</v>
      </c>
      <c r="F296" s="1">
        <v>780174</v>
      </c>
      <c r="G296" s="1">
        <v>785533</v>
      </c>
      <c r="H296" s="1">
        <v>767434</v>
      </c>
      <c r="I296" s="1">
        <v>748728</v>
      </c>
    </row>
    <row r="297" spans="1:9" x14ac:dyDescent="0.2">
      <c r="A297" t="s">
        <v>753</v>
      </c>
    </row>
    <row r="298" spans="1:9" x14ac:dyDescent="0.2">
      <c r="B298" t="s">
        <v>20</v>
      </c>
      <c r="C298" s="1">
        <v>550162</v>
      </c>
      <c r="D298" s="1">
        <v>652958</v>
      </c>
      <c r="E298" s="1">
        <v>666819</v>
      </c>
      <c r="F298" s="1">
        <v>679654</v>
      </c>
      <c r="G298" s="1">
        <v>685862</v>
      </c>
      <c r="H298" s="1">
        <v>673728</v>
      </c>
      <c r="I298" s="1">
        <v>656360</v>
      </c>
    </row>
    <row r="299" spans="1:9" x14ac:dyDescent="0.2">
      <c r="B299" t="s">
        <v>21</v>
      </c>
      <c r="C299" s="1">
        <v>70987</v>
      </c>
      <c r="D299" s="1">
        <v>94571</v>
      </c>
      <c r="E299" s="1">
        <v>99000</v>
      </c>
      <c r="F299" s="1">
        <v>100520</v>
      </c>
      <c r="G299" s="1">
        <v>99670</v>
      </c>
      <c r="H299" s="1">
        <v>93706</v>
      </c>
      <c r="I299" s="1">
        <v>92368</v>
      </c>
    </row>
    <row r="300" spans="1:9" x14ac:dyDescent="0.2">
      <c r="A300" t="s">
        <v>592</v>
      </c>
      <c r="C300" s="1">
        <v>613534</v>
      </c>
      <c r="D300" s="1">
        <v>740770</v>
      </c>
      <c r="E300" s="1">
        <v>759717</v>
      </c>
      <c r="F300" s="1">
        <v>773341</v>
      </c>
      <c r="G300" s="1">
        <v>777829</v>
      </c>
      <c r="H300" s="1">
        <v>760216</v>
      </c>
      <c r="I300" s="1">
        <v>741168</v>
      </c>
    </row>
    <row r="301" spans="1:9" x14ac:dyDescent="0.2">
      <c r="B301" t="s">
        <v>20</v>
      </c>
      <c r="C301" s="1">
        <v>543120</v>
      </c>
      <c r="D301" s="1">
        <v>646807</v>
      </c>
      <c r="E301" s="1">
        <v>661164</v>
      </c>
      <c r="F301" s="1">
        <v>673346</v>
      </c>
      <c r="G301" s="1">
        <v>678657</v>
      </c>
      <c r="H301" s="1">
        <v>667039</v>
      </c>
      <c r="I301" s="1">
        <v>649284</v>
      </c>
    </row>
    <row r="302" spans="1:9" x14ac:dyDescent="0.2">
      <c r="B302" t="s">
        <v>21</v>
      </c>
      <c r="C302" s="1">
        <v>70414</v>
      </c>
      <c r="D302" s="1">
        <v>93963</v>
      </c>
      <c r="E302" s="1">
        <v>98552</v>
      </c>
      <c r="F302" s="1">
        <v>99995</v>
      </c>
      <c r="G302" s="1">
        <v>99172</v>
      </c>
      <c r="H302" s="1">
        <v>93176</v>
      </c>
      <c r="I302" s="1">
        <v>91884</v>
      </c>
    </row>
    <row r="303" spans="1:9" x14ac:dyDescent="0.2">
      <c r="A303" t="s">
        <v>754</v>
      </c>
      <c r="C303" s="1">
        <v>7615</v>
      </c>
      <c r="D303" s="1">
        <v>6759</v>
      </c>
      <c r="E303" s="1">
        <v>6102</v>
      </c>
      <c r="F303" s="1">
        <v>6833</v>
      </c>
      <c r="G303" s="1">
        <v>7703</v>
      </c>
      <c r="H303" s="1">
        <v>7218</v>
      </c>
      <c r="I303" s="1">
        <v>7560</v>
      </c>
    </row>
    <row r="304" spans="1:9" x14ac:dyDescent="0.2">
      <c r="B304" t="s">
        <v>755</v>
      </c>
      <c r="C304" s="1">
        <v>6126</v>
      </c>
      <c r="D304" s="1">
        <v>5750</v>
      </c>
      <c r="E304" s="1">
        <v>4835</v>
      </c>
      <c r="F304" s="1">
        <v>5649</v>
      </c>
      <c r="G304" s="1">
        <v>6410</v>
      </c>
      <c r="H304" s="1">
        <v>5846</v>
      </c>
      <c r="I304" s="1">
        <v>5647</v>
      </c>
    </row>
    <row r="305" spans="1:9" x14ac:dyDescent="0.2">
      <c r="B305" t="s">
        <v>756</v>
      </c>
      <c r="C305" s="1">
        <v>1489</v>
      </c>
      <c r="D305" s="1">
        <v>1009</v>
      </c>
      <c r="E305" s="1">
        <v>1268</v>
      </c>
      <c r="F305" s="1">
        <v>1184</v>
      </c>
      <c r="G305" s="1">
        <v>1294</v>
      </c>
      <c r="H305" s="1">
        <v>1373</v>
      </c>
      <c r="I305" s="1">
        <v>1912</v>
      </c>
    </row>
    <row r="306" spans="1:9" x14ac:dyDescent="0.2">
      <c r="A306" t="s">
        <v>757</v>
      </c>
    </row>
    <row r="307" spans="1:9" x14ac:dyDescent="0.2">
      <c r="B307" t="s">
        <v>758</v>
      </c>
      <c r="C307" s="1">
        <v>260500</v>
      </c>
      <c r="D307" s="1">
        <v>331000</v>
      </c>
      <c r="E307" s="1">
        <v>336500</v>
      </c>
      <c r="F307" s="1">
        <v>338200</v>
      </c>
      <c r="G307" s="1">
        <v>333300</v>
      </c>
      <c r="H307" s="1">
        <v>326400</v>
      </c>
      <c r="I307" s="1">
        <v>331600</v>
      </c>
    </row>
    <row r="308" spans="1:9" x14ac:dyDescent="0.2">
      <c r="B308" t="s">
        <v>759</v>
      </c>
      <c r="C308" s="1">
        <v>256300</v>
      </c>
      <c r="D308" s="1">
        <v>290500</v>
      </c>
      <c r="E308" s="1">
        <v>295900</v>
      </c>
      <c r="F308" s="1">
        <v>301700</v>
      </c>
      <c r="G308" s="1">
        <v>308000</v>
      </c>
      <c r="H308" s="1">
        <v>300500</v>
      </c>
      <c r="I308" s="1">
        <v>283200</v>
      </c>
    </row>
    <row r="309" spans="1:9" x14ac:dyDescent="0.2">
      <c r="B309" t="s">
        <v>760</v>
      </c>
      <c r="C309" s="1">
        <v>94100</v>
      </c>
      <c r="D309" s="1">
        <v>111900</v>
      </c>
      <c r="E309" s="1">
        <v>119200</v>
      </c>
      <c r="F309" s="1">
        <v>125500</v>
      </c>
      <c r="G309" s="1">
        <v>128500</v>
      </c>
      <c r="H309" s="1">
        <v>124000</v>
      </c>
      <c r="I309" s="1">
        <v>118100</v>
      </c>
    </row>
    <row r="310" spans="1:9" x14ac:dyDescent="0.2">
      <c r="B310" t="s">
        <v>761</v>
      </c>
      <c r="C310" s="1">
        <v>10200</v>
      </c>
      <c r="D310" s="1">
        <v>13000</v>
      </c>
      <c r="E310" s="1">
        <v>13500</v>
      </c>
      <c r="F310" s="1">
        <v>13900</v>
      </c>
      <c r="G310" s="1">
        <v>14000</v>
      </c>
      <c r="H310" s="1">
        <v>14800</v>
      </c>
      <c r="I310" s="1">
        <v>15000</v>
      </c>
    </row>
    <row r="311" spans="1:9" x14ac:dyDescent="0.2">
      <c r="B311" t="s">
        <v>762</v>
      </c>
      <c r="C311" t="s">
        <v>763</v>
      </c>
      <c r="D311" s="1">
        <v>1000</v>
      </c>
      <c r="E311">
        <v>700</v>
      </c>
      <c r="F311">
        <v>800</v>
      </c>
      <c r="G311" s="1">
        <v>1300</v>
      </c>
      <c r="H311" s="1">
        <v>1800</v>
      </c>
      <c r="I311">
        <v>800</v>
      </c>
    </row>
    <row r="312" spans="1:9" x14ac:dyDescent="0.2">
      <c r="A312" t="s">
        <v>764</v>
      </c>
    </row>
    <row r="313" spans="1:9" x14ac:dyDescent="0.2">
      <c r="A313" t="s">
        <v>765</v>
      </c>
    </row>
    <row r="314" spans="1:9" x14ac:dyDescent="0.2">
      <c r="A314" t="s">
        <v>766</v>
      </c>
    </row>
    <row r="315" spans="1:9" x14ac:dyDescent="0.2">
      <c r="A315" t="s">
        <v>767</v>
      </c>
    </row>
    <row r="316" spans="1:9" x14ac:dyDescent="0.2">
      <c r="A316" t="s">
        <v>768</v>
      </c>
    </row>
    <row r="317" spans="1:9" x14ac:dyDescent="0.2">
      <c r="A317" t="s">
        <v>769</v>
      </c>
    </row>
    <row r="318" spans="1:9" x14ac:dyDescent="0.2">
      <c r="A318" t="s">
        <v>770</v>
      </c>
    </row>
    <row r="319" spans="1:9" x14ac:dyDescent="0.2">
      <c r="A319" t="s">
        <v>771</v>
      </c>
    </row>
    <row r="322" spans="1:11" x14ac:dyDescent="0.2">
      <c r="A322" t="s">
        <v>362</v>
      </c>
    </row>
    <row r="323" spans="1:11" x14ac:dyDescent="0.2">
      <c r="A323" t="s">
        <v>1145</v>
      </c>
    </row>
    <row r="324" spans="1:11" x14ac:dyDescent="0.2">
      <c r="A324" t="s">
        <v>1146</v>
      </c>
    </row>
    <row r="325" spans="1:11" x14ac:dyDescent="0.2">
      <c r="A325" t="s">
        <v>1147</v>
      </c>
    </row>
    <row r="326" spans="1:11" x14ac:dyDescent="0.2">
      <c r="A326" t="s">
        <v>1148</v>
      </c>
    </row>
    <row r="327" spans="1:11" x14ac:dyDescent="0.2">
      <c r="A327" t="s">
        <v>746</v>
      </c>
    </row>
    <row r="328" spans="1:11" x14ac:dyDescent="0.2">
      <c r="A328" t="s">
        <v>747</v>
      </c>
    </row>
    <row r="329" spans="1:11" x14ac:dyDescent="0.2">
      <c r="A329" t="s">
        <v>1149</v>
      </c>
    </row>
    <row r="331" spans="1:11" x14ac:dyDescent="0.2">
      <c r="A331" t="s">
        <v>1150</v>
      </c>
    </row>
    <row r="332" spans="1:11" x14ac:dyDescent="0.2">
      <c r="A332" t="s">
        <v>750</v>
      </c>
      <c r="C332">
        <v>2000</v>
      </c>
      <c r="D332">
        <v>2005</v>
      </c>
      <c r="E332">
        <v>2006</v>
      </c>
      <c r="F332">
        <v>2007</v>
      </c>
      <c r="G332">
        <v>2008</v>
      </c>
      <c r="H332">
        <v>2009</v>
      </c>
      <c r="I332">
        <v>2010</v>
      </c>
      <c r="J332" t="s">
        <v>1151</v>
      </c>
      <c r="K332" t="s">
        <v>1152</v>
      </c>
    </row>
    <row r="333" spans="1:11" x14ac:dyDescent="0.2">
      <c r="B333" t="s">
        <v>1153</v>
      </c>
      <c r="C333" s="1">
        <v>621149</v>
      </c>
      <c r="D333" s="1">
        <v>747529</v>
      </c>
      <c r="E333" s="1">
        <v>765819</v>
      </c>
      <c r="F333" s="1">
        <v>780174</v>
      </c>
      <c r="G333" s="1">
        <v>785533</v>
      </c>
      <c r="H333" s="1">
        <v>767434</v>
      </c>
      <c r="I333" s="1">
        <v>748728</v>
      </c>
      <c r="J333" s="1">
        <v>735601</v>
      </c>
      <c r="K333" s="1">
        <v>744524</v>
      </c>
    </row>
    <row r="334" spans="1:11" x14ac:dyDescent="0.2">
      <c r="A334" t="s">
        <v>753</v>
      </c>
    </row>
    <row r="335" spans="1:11" x14ac:dyDescent="0.2">
      <c r="B335" t="s">
        <v>20</v>
      </c>
      <c r="C335" s="1">
        <v>550162</v>
      </c>
      <c r="D335" s="1">
        <v>652958</v>
      </c>
      <c r="E335" s="1">
        <v>666819</v>
      </c>
      <c r="F335" s="1">
        <v>679654</v>
      </c>
      <c r="G335" s="1">
        <v>685862</v>
      </c>
      <c r="H335" s="1">
        <v>673728</v>
      </c>
      <c r="I335" s="1">
        <v>656360</v>
      </c>
      <c r="J335" s="1">
        <v>642300</v>
      </c>
      <c r="K335" s="1">
        <v>645900</v>
      </c>
    </row>
    <row r="336" spans="1:11" x14ac:dyDescent="0.2">
      <c r="B336" t="s">
        <v>21</v>
      </c>
      <c r="C336" s="1">
        <v>70987</v>
      </c>
      <c r="D336" s="1">
        <v>94571</v>
      </c>
      <c r="E336" s="1">
        <v>99000</v>
      </c>
      <c r="F336" s="1">
        <v>100520</v>
      </c>
      <c r="G336" s="1">
        <v>99670</v>
      </c>
      <c r="H336" s="1">
        <v>93706</v>
      </c>
      <c r="I336" s="1">
        <v>92368</v>
      </c>
      <c r="J336" s="1">
        <v>93300</v>
      </c>
      <c r="K336" s="1">
        <v>98600</v>
      </c>
    </row>
    <row r="337" spans="1:11" x14ac:dyDescent="0.2">
      <c r="A337" t="s">
        <v>1154</v>
      </c>
      <c r="C337" s="1">
        <v>613534</v>
      </c>
      <c r="D337" s="1">
        <v>740770</v>
      </c>
      <c r="E337" s="1">
        <v>759717</v>
      </c>
      <c r="F337" s="1">
        <v>773341</v>
      </c>
      <c r="G337" s="1">
        <v>777829</v>
      </c>
      <c r="H337" s="1">
        <v>760216</v>
      </c>
      <c r="I337" s="1">
        <v>741168</v>
      </c>
      <c r="J337" s="1">
        <v>729700</v>
      </c>
      <c r="K337" s="1">
        <v>739100</v>
      </c>
    </row>
    <row r="338" spans="1:11" x14ac:dyDescent="0.2">
      <c r="B338" t="s">
        <v>20</v>
      </c>
      <c r="C338" s="1">
        <v>543120</v>
      </c>
      <c r="D338" s="1">
        <v>646807</v>
      </c>
      <c r="E338" s="1">
        <v>661164</v>
      </c>
      <c r="F338" s="1">
        <v>673346</v>
      </c>
      <c r="G338" s="1">
        <v>678657</v>
      </c>
      <c r="H338" s="1">
        <v>667039</v>
      </c>
      <c r="I338" s="1">
        <v>649284</v>
      </c>
      <c r="J338" s="1">
        <v>636900</v>
      </c>
      <c r="K338" s="1">
        <v>640900</v>
      </c>
    </row>
    <row r="339" spans="1:11" x14ac:dyDescent="0.2">
      <c r="B339" t="s">
        <v>21</v>
      </c>
      <c r="C339" s="1">
        <v>70414</v>
      </c>
      <c r="D339" s="1">
        <v>93963</v>
      </c>
      <c r="E339" s="1">
        <v>98552</v>
      </c>
      <c r="F339" s="1">
        <v>99995</v>
      </c>
      <c r="G339" s="1">
        <v>99172</v>
      </c>
      <c r="H339" s="1">
        <v>93176</v>
      </c>
      <c r="I339" s="1">
        <v>91884</v>
      </c>
      <c r="J339" s="1">
        <v>92800</v>
      </c>
      <c r="K339" s="1">
        <v>98100</v>
      </c>
    </row>
    <row r="340" spans="1:11" x14ac:dyDescent="0.2">
      <c r="A340" t="s">
        <v>1155</v>
      </c>
      <c r="C340" s="1">
        <v>7615</v>
      </c>
      <c r="D340" s="1">
        <v>6759</v>
      </c>
      <c r="E340" s="1">
        <v>6102</v>
      </c>
      <c r="F340" s="1">
        <v>6833</v>
      </c>
      <c r="G340" s="1">
        <v>7703</v>
      </c>
      <c r="H340" s="1">
        <v>7218</v>
      </c>
      <c r="I340" s="1">
        <v>7560</v>
      </c>
      <c r="J340" s="1">
        <v>5900</v>
      </c>
      <c r="K340" s="1">
        <v>5400</v>
      </c>
    </row>
    <row r="341" spans="1:11" x14ac:dyDescent="0.2">
      <c r="B341" t="s">
        <v>1156</v>
      </c>
      <c r="C341" s="1">
        <v>6126</v>
      </c>
      <c r="D341" s="1">
        <v>5750</v>
      </c>
      <c r="E341" s="1">
        <v>4835</v>
      </c>
      <c r="F341" s="1">
        <v>5649</v>
      </c>
      <c r="G341" s="1">
        <v>6410</v>
      </c>
      <c r="H341" s="1">
        <v>5846</v>
      </c>
      <c r="I341" s="1">
        <v>5647</v>
      </c>
      <c r="J341" s="1">
        <v>4600</v>
      </c>
      <c r="K341" s="1">
        <v>4600</v>
      </c>
    </row>
    <row r="342" spans="1:11" x14ac:dyDescent="0.2">
      <c r="B342" t="s">
        <v>1157</v>
      </c>
      <c r="C342" s="1">
        <v>1489</v>
      </c>
      <c r="D342" s="1">
        <v>1009</v>
      </c>
      <c r="E342" s="1">
        <v>1268</v>
      </c>
      <c r="F342" s="1">
        <v>1184</v>
      </c>
      <c r="G342" s="1">
        <v>1294</v>
      </c>
      <c r="H342" s="1">
        <v>1373</v>
      </c>
      <c r="I342" s="1">
        <v>1912</v>
      </c>
      <c r="J342" s="1">
        <v>1400</v>
      </c>
      <c r="K342">
        <v>900</v>
      </c>
    </row>
    <row r="343" spans="1:11" x14ac:dyDescent="0.2">
      <c r="A343" t="s">
        <v>1158</v>
      </c>
    </row>
    <row r="344" spans="1:11" x14ac:dyDescent="0.2">
      <c r="B344" t="s">
        <v>1159</v>
      </c>
      <c r="C344" s="1">
        <v>260500</v>
      </c>
      <c r="D344" s="1">
        <v>331000</v>
      </c>
      <c r="E344" s="1">
        <v>336500</v>
      </c>
      <c r="F344" s="1">
        <v>338200</v>
      </c>
      <c r="G344" s="1">
        <v>333300</v>
      </c>
      <c r="H344" s="1">
        <v>326400</v>
      </c>
      <c r="I344" s="1">
        <v>331600</v>
      </c>
      <c r="J344" s="1">
        <v>329400</v>
      </c>
      <c r="K344" s="1">
        <v>341100</v>
      </c>
    </row>
    <row r="345" spans="1:11" x14ac:dyDescent="0.2">
      <c r="B345" t="s">
        <v>1160</v>
      </c>
    </row>
    <row r="346" spans="1:11" x14ac:dyDescent="0.2">
      <c r="A346" t="s">
        <v>1161</v>
      </c>
      <c r="C346" s="1">
        <v>256300</v>
      </c>
      <c r="D346" s="1">
        <v>290500</v>
      </c>
      <c r="E346" s="1">
        <v>295900</v>
      </c>
      <c r="F346" s="1">
        <v>301700</v>
      </c>
      <c r="G346" s="1">
        <v>308000</v>
      </c>
      <c r="H346" s="1">
        <v>300500</v>
      </c>
      <c r="I346" s="1">
        <v>283200</v>
      </c>
      <c r="J346" s="1">
        <v>276400</v>
      </c>
      <c r="K346" s="1">
        <v>274600</v>
      </c>
    </row>
    <row r="347" spans="1:11" x14ac:dyDescent="0.2">
      <c r="B347" t="s">
        <v>760</v>
      </c>
      <c r="C347" s="1">
        <v>94100</v>
      </c>
      <c r="D347" s="1">
        <v>111900</v>
      </c>
      <c r="E347" s="1">
        <v>119200</v>
      </c>
      <c r="F347" s="1">
        <v>125500</v>
      </c>
      <c r="G347" s="1">
        <v>128500</v>
      </c>
      <c r="H347" s="1">
        <v>124000</v>
      </c>
      <c r="I347" s="1">
        <v>118100</v>
      </c>
      <c r="J347" s="1">
        <v>113900</v>
      </c>
      <c r="K347" s="1">
        <v>112700</v>
      </c>
    </row>
    <row r="348" spans="1:11" x14ac:dyDescent="0.2">
      <c r="B348" t="s">
        <v>1162</v>
      </c>
      <c r="C348" s="1">
        <v>10200</v>
      </c>
      <c r="D348" s="1">
        <v>13000</v>
      </c>
      <c r="E348" s="1">
        <v>13500</v>
      </c>
      <c r="F348" s="1">
        <v>13900</v>
      </c>
      <c r="G348" s="1">
        <v>14000</v>
      </c>
      <c r="H348" s="1">
        <v>14800</v>
      </c>
      <c r="I348" s="1">
        <v>15000</v>
      </c>
      <c r="J348" s="1">
        <v>14700</v>
      </c>
      <c r="K348" s="1">
        <v>14700</v>
      </c>
    </row>
    <row r="349" spans="1:11" x14ac:dyDescent="0.2">
      <c r="B349" t="s">
        <v>1163</v>
      </c>
      <c r="C349" t="s">
        <v>763</v>
      </c>
      <c r="D349" s="1">
        <v>1000</v>
      </c>
      <c r="E349">
        <v>700</v>
      </c>
      <c r="F349">
        <v>800</v>
      </c>
      <c r="G349" s="1">
        <v>1300</v>
      </c>
      <c r="H349" s="1">
        <v>1800</v>
      </c>
      <c r="I349">
        <v>800</v>
      </c>
      <c r="J349" s="1">
        <v>1200</v>
      </c>
      <c r="K349" s="1">
        <v>1500</v>
      </c>
    </row>
    <row r="350" spans="1:11" x14ac:dyDescent="0.2">
      <c r="A350" t="s">
        <v>764</v>
      </c>
    </row>
    <row r="351" spans="1:11" x14ac:dyDescent="0.2">
      <c r="A351" t="s">
        <v>1164</v>
      </c>
    </row>
    <row r="352" spans="1:11" x14ac:dyDescent="0.2">
      <c r="A352" t="s">
        <v>1165</v>
      </c>
    </row>
    <row r="353" spans="1:1" x14ac:dyDescent="0.2">
      <c r="A353" t="s">
        <v>1166</v>
      </c>
    </row>
    <row r="354" spans="1:1" x14ac:dyDescent="0.2">
      <c r="A354" t="s">
        <v>1167</v>
      </c>
    </row>
    <row r="355" spans="1:1" x14ac:dyDescent="0.2">
      <c r="A355" t="s">
        <v>1168</v>
      </c>
    </row>
    <row r="356" spans="1:1" x14ac:dyDescent="0.2">
      <c r="A356" t="s">
        <v>1169</v>
      </c>
    </row>
    <row r="357" spans="1:1" x14ac:dyDescent="0.2">
      <c r="A357" t="s">
        <v>1170</v>
      </c>
    </row>
    <row r="358" spans="1:1" x14ac:dyDescent="0.2">
      <c r="A358" t="s">
        <v>1171</v>
      </c>
    </row>
    <row r="359" spans="1:1" x14ac:dyDescent="0.2">
      <c r="A359" t="s">
        <v>1172</v>
      </c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D1" workbookViewId="0">
      <selection activeCell="K1" sqref="K1:K3"/>
    </sheetView>
  </sheetViews>
  <sheetFormatPr defaultRowHeight="12.75" x14ac:dyDescent="0.2"/>
  <cols>
    <col min="1" max="1" width="12.7109375" customWidth="1"/>
    <col min="2" max="9" width="11.140625" customWidth="1"/>
    <col min="10" max="10" width="2.5703125" customWidth="1"/>
    <col min="11" max="11" width="54.42578125" customWidth="1"/>
  </cols>
  <sheetData>
    <row r="1" spans="1:11" x14ac:dyDescent="0.2">
      <c r="A1" s="30" t="s">
        <v>342</v>
      </c>
      <c r="B1" s="30"/>
      <c r="C1" s="30"/>
      <c r="D1" s="30"/>
      <c r="K1" t="s">
        <v>1332</v>
      </c>
    </row>
    <row r="2" spans="1:11" x14ac:dyDescent="0.2">
      <c r="K2" t="s">
        <v>1333</v>
      </c>
    </row>
    <row r="3" spans="1:11" x14ac:dyDescent="0.2">
      <c r="B3" t="s">
        <v>915</v>
      </c>
      <c r="C3" t="s">
        <v>916</v>
      </c>
      <c r="D3" t="s">
        <v>920</v>
      </c>
      <c r="E3" t="s">
        <v>38</v>
      </c>
      <c r="K3" t="s">
        <v>1334</v>
      </c>
    </row>
    <row r="4" spans="1:11" x14ac:dyDescent="0.2">
      <c r="A4">
        <v>1970</v>
      </c>
      <c r="B4" s="1">
        <f>B15+F15</f>
        <v>313800</v>
      </c>
      <c r="C4" s="1">
        <f>C15+G15</f>
        <v>14220</v>
      </c>
      <c r="D4" s="1">
        <f>B4+C4</f>
        <v>328020</v>
      </c>
      <c r="E4" s="3">
        <f>B4/C4</f>
        <v>22.067510548523206</v>
      </c>
    </row>
    <row r="5" spans="1:11" x14ac:dyDescent="0.2">
      <c r="A5">
        <v>1980</v>
      </c>
      <c r="B5" s="1">
        <f>B80</f>
        <v>439228</v>
      </c>
      <c r="C5" s="1">
        <f>C80</f>
        <v>27143</v>
      </c>
      <c r="D5" s="1">
        <f>B5+C5</f>
        <v>466371</v>
      </c>
      <c r="E5" s="3">
        <f>B5/C5</f>
        <v>16.181999042110306</v>
      </c>
    </row>
    <row r="6" spans="1:11" x14ac:dyDescent="0.2">
      <c r="A6">
        <v>1990</v>
      </c>
      <c r="B6" s="1">
        <v>1030207</v>
      </c>
      <c r="C6" s="1">
        <v>84904</v>
      </c>
      <c r="D6" s="1">
        <f>B6+C6</f>
        <v>1115111</v>
      </c>
      <c r="E6" s="3">
        <f>B6/C6</f>
        <v>12.133786394045039</v>
      </c>
      <c r="K6" t="s">
        <v>337</v>
      </c>
    </row>
    <row r="7" spans="1:11" x14ac:dyDescent="0.2">
      <c r="A7">
        <v>2000</v>
      </c>
      <c r="B7" s="1">
        <f>B89</f>
        <v>1806261</v>
      </c>
      <c r="C7" s="1">
        <f>C89</f>
        <v>169758</v>
      </c>
      <c r="D7" s="1">
        <f>B7+C7</f>
        <v>1976019</v>
      </c>
      <c r="E7" s="3">
        <f>B7/C7</f>
        <v>10.640211359700279</v>
      </c>
    </row>
    <row r="8" spans="1:11" x14ac:dyDescent="0.2">
      <c r="A8">
        <v>2010</v>
      </c>
      <c r="B8" s="1">
        <f>B99</f>
        <v>2059020</v>
      </c>
      <c r="C8" s="1">
        <f>C99</f>
        <v>204582</v>
      </c>
      <c r="D8" s="1">
        <f>D99</f>
        <v>2263602</v>
      </c>
      <c r="E8" s="3">
        <f>B8/C8</f>
        <v>10.064521805437428</v>
      </c>
    </row>
    <row r="9" spans="1:11" x14ac:dyDescent="0.2">
      <c r="B9" s="1"/>
      <c r="C9" s="1"/>
      <c r="D9" s="1"/>
      <c r="E9" s="3"/>
    </row>
    <row r="12" spans="1:11" x14ac:dyDescent="0.2">
      <c r="A12" t="s">
        <v>326</v>
      </c>
    </row>
    <row r="13" spans="1:11" x14ac:dyDescent="0.2">
      <c r="B13" t="s">
        <v>1090</v>
      </c>
      <c r="F13" t="s">
        <v>1091</v>
      </c>
    </row>
    <row r="14" spans="1:11" x14ac:dyDescent="0.2">
      <c r="A14" t="s">
        <v>27</v>
      </c>
      <c r="B14" t="s">
        <v>915</v>
      </c>
      <c r="C14" t="s">
        <v>916</v>
      </c>
      <c r="D14" t="s">
        <v>920</v>
      </c>
      <c r="E14" t="s">
        <v>38</v>
      </c>
      <c r="F14" t="s">
        <v>915</v>
      </c>
      <c r="G14" t="s">
        <v>916</v>
      </c>
      <c r="H14" t="s">
        <v>920</v>
      </c>
      <c r="I14" t="s">
        <v>38</v>
      </c>
    </row>
    <row r="15" spans="1:11" x14ac:dyDescent="0.2">
      <c r="A15" t="s">
        <v>919</v>
      </c>
      <c r="B15" s="1">
        <v>192118</v>
      </c>
      <c r="C15" s="1">
        <v>6713</v>
      </c>
      <c r="D15" s="1">
        <f t="shared" ref="D15:D21" si="0">B15+C15</f>
        <v>198831</v>
      </c>
      <c r="E15" s="3">
        <f>B15/C15</f>
        <v>28.618799344555342</v>
      </c>
      <c r="F15" s="1">
        <v>121682</v>
      </c>
      <c r="G15" s="1">
        <v>7507</v>
      </c>
      <c r="H15" s="1">
        <f t="shared" ref="H15:H21" si="1">F15+G15</f>
        <v>129189</v>
      </c>
      <c r="I15" s="3">
        <f t="shared" ref="I15:I21" si="2">F15/G15</f>
        <v>16.209138137738112</v>
      </c>
      <c r="K15" t="s">
        <v>327</v>
      </c>
    </row>
    <row r="16" spans="1:11" x14ac:dyDescent="0.2">
      <c r="A16" t="s">
        <v>28</v>
      </c>
      <c r="B16" s="1">
        <v>48</v>
      </c>
      <c r="C16" s="1">
        <v>5</v>
      </c>
      <c r="D16" s="1">
        <f t="shared" si="0"/>
        <v>53</v>
      </c>
      <c r="E16" s="3">
        <f>B16/C16</f>
        <v>9.6</v>
      </c>
      <c r="F16" s="1">
        <v>60</v>
      </c>
      <c r="G16" s="1">
        <v>33</v>
      </c>
      <c r="H16" s="1">
        <f t="shared" si="1"/>
        <v>93</v>
      </c>
      <c r="I16" s="3">
        <f t="shared" si="2"/>
        <v>1.8181818181818181</v>
      </c>
    </row>
    <row r="17" spans="1:9" x14ac:dyDescent="0.2">
      <c r="A17" t="s">
        <v>29</v>
      </c>
      <c r="B17" s="1">
        <v>67</v>
      </c>
      <c r="C17" s="1">
        <v>0</v>
      </c>
      <c r="D17" s="1">
        <f t="shared" si="0"/>
        <v>67</v>
      </c>
      <c r="E17" s="3"/>
      <c r="F17" s="1">
        <v>76</v>
      </c>
      <c r="G17" s="1">
        <v>58</v>
      </c>
      <c r="H17" s="1">
        <f t="shared" si="1"/>
        <v>134</v>
      </c>
      <c r="I17" s="3">
        <f t="shared" si="2"/>
        <v>1.3103448275862069</v>
      </c>
    </row>
    <row r="18" spans="1:9" x14ac:dyDescent="0.2">
      <c r="A18" t="s">
        <v>30</v>
      </c>
      <c r="B18" s="1">
        <v>395</v>
      </c>
      <c r="C18" s="1">
        <v>30</v>
      </c>
      <c r="D18" s="1">
        <f t="shared" si="0"/>
        <v>425</v>
      </c>
      <c r="E18" s="3">
        <f>B18/C18</f>
        <v>13.166666666666666</v>
      </c>
      <c r="F18" s="1">
        <v>619</v>
      </c>
      <c r="G18" s="1">
        <v>497</v>
      </c>
      <c r="H18" s="1">
        <f t="shared" si="1"/>
        <v>1116</v>
      </c>
      <c r="I18" s="3">
        <f t="shared" si="2"/>
        <v>1.2454728370221329</v>
      </c>
    </row>
    <row r="19" spans="1:9" x14ac:dyDescent="0.2">
      <c r="A19">
        <v>15</v>
      </c>
      <c r="B19" s="1">
        <v>410</v>
      </c>
      <c r="C19" s="1">
        <v>39</v>
      </c>
      <c r="D19" s="1">
        <f t="shared" si="0"/>
        <v>449</v>
      </c>
      <c r="E19" s="3">
        <f>B19/C19</f>
        <v>10.512820512820513</v>
      </c>
      <c r="F19" s="1">
        <v>528</v>
      </c>
      <c r="G19" s="1">
        <v>478</v>
      </c>
      <c r="H19" s="1">
        <f t="shared" si="1"/>
        <v>1006</v>
      </c>
      <c r="I19" s="3">
        <f t="shared" si="2"/>
        <v>1.104602510460251</v>
      </c>
    </row>
    <row r="20" spans="1:9" x14ac:dyDescent="0.2">
      <c r="A20">
        <v>16</v>
      </c>
      <c r="B20" s="1">
        <v>923</v>
      </c>
      <c r="C20" s="1">
        <v>78</v>
      </c>
      <c r="D20" s="1">
        <f t="shared" si="0"/>
        <v>1001</v>
      </c>
      <c r="E20" s="3">
        <f>B20/C20</f>
        <v>11.833333333333334</v>
      </c>
      <c r="F20" s="1">
        <v>1346</v>
      </c>
      <c r="G20" s="1">
        <v>1277</v>
      </c>
      <c r="H20" s="1">
        <f t="shared" si="1"/>
        <v>2623</v>
      </c>
      <c r="I20" s="3">
        <f t="shared" si="2"/>
        <v>1.0540328895849647</v>
      </c>
    </row>
    <row r="21" spans="1:9" x14ac:dyDescent="0.2">
      <c r="A21">
        <v>17</v>
      </c>
      <c r="B21" s="1">
        <v>2150</v>
      </c>
      <c r="C21" s="1">
        <v>171</v>
      </c>
      <c r="D21" s="1">
        <f t="shared" si="0"/>
        <v>2321</v>
      </c>
      <c r="E21" s="3">
        <f>B21/C21</f>
        <v>12.573099415204679</v>
      </c>
      <c r="F21" s="1">
        <v>3235</v>
      </c>
      <c r="G21" s="1">
        <v>3075</v>
      </c>
      <c r="H21" s="1">
        <f t="shared" si="1"/>
        <v>6310</v>
      </c>
      <c r="I21" s="3">
        <f t="shared" si="2"/>
        <v>1.0520325203252032</v>
      </c>
    </row>
    <row r="22" spans="1:9" x14ac:dyDescent="0.2">
      <c r="B22" s="1"/>
      <c r="C22" s="1"/>
      <c r="D22" s="1"/>
      <c r="E22" s="3"/>
      <c r="F22" s="1"/>
      <c r="G22" s="1"/>
      <c r="H22" s="1"/>
      <c r="I22" s="3"/>
    </row>
    <row r="23" spans="1:9" x14ac:dyDescent="0.2">
      <c r="A23" t="s">
        <v>1144</v>
      </c>
      <c r="B23" s="1">
        <f>SUM(B16:B21)</f>
        <v>3993</v>
      </c>
      <c r="C23" s="1">
        <f>SUM(C16:C21)</f>
        <v>323</v>
      </c>
      <c r="D23" s="1">
        <f>B23+C23</f>
        <v>4316</v>
      </c>
      <c r="E23" s="3">
        <f>B23/C23</f>
        <v>12.362229102167182</v>
      </c>
      <c r="F23" s="1">
        <f>SUM(F16:F21)</f>
        <v>5864</v>
      </c>
      <c r="G23" s="1">
        <f>SUM(G16:G21)</f>
        <v>5418</v>
      </c>
      <c r="H23" s="1">
        <f>F23+G23</f>
        <v>11282</v>
      </c>
      <c r="I23" s="3">
        <f>F23/G23</f>
        <v>1.0823181985972683</v>
      </c>
    </row>
    <row r="24" spans="1:9" x14ac:dyDescent="0.2">
      <c r="B24" s="1"/>
      <c r="C24" s="1"/>
      <c r="D24" s="1"/>
      <c r="F24" s="1"/>
      <c r="G24" s="1"/>
      <c r="H24" s="1"/>
    </row>
    <row r="25" spans="1:9" x14ac:dyDescent="0.2">
      <c r="B25" s="1"/>
      <c r="C25" s="1"/>
      <c r="D25" s="1"/>
      <c r="F25" s="1"/>
      <c r="G25" s="1"/>
      <c r="H25" s="1"/>
    </row>
    <row r="26" spans="1:9" x14ac:dyDescent="0.2">
      <c r="B26" s="1" t="s">
        <v>308</v>
      </c>
      <c r="C26" s="1"/>
      <c r="D26" s="1"/>
      <c r="F26" s="1" t="s">
        <v>309</v>
      </c>
      <c r="G26" s="1"/>
      <c r="H26" s="1"/>
    </row>
    <row r="27" spans="1:9" x14ac:dyDescent="0.2">
      <c r="A27" t="s">
        <v>27</v>
      </c>
      <c r="B27" s="1" t="s">
        <v>915</v>
      </c>
      <c r="C27" s="1" t="s">
        <v>916</v>
      </c>
      <c r="D27" s="1" t="s">
        <v>920</v>
      </c>
      <c r="E27" t="s">
        <v>38</v>
      </c>
      <c r="F27" s="1" t="s">
        <v>915</v>
      </c>
      <c r="G27" s="1" t="s">
        <v>916</v>
      </c>
      <c r="H27" s="1" t="s">
        <v>920</v>
      </c>
      <c r="I27" t="s">
        <v>38</v>
      </c>
    </row>
    <row r="28" spans="1:9" x14ac:dyDescent="0.2">
      <c r="A28" t="s">
        <v>919</v>
      </c>
      <c r="B28" s="1">
        <v>20191</v>
      </c>
      <c r="C28" s="1">
        <v>903</v>
      </c>
      <c r="D28" s="1">
        <f>B28+C28</f>
        <v>21094</v>
      </c>
      <c r="E28" s="3">
        <f>B28/C28</f>
        <v>22.359911406423034</v>
      </c>
      <c r="F28" s="1">
        <v>171927</v>
      </c>
      <c r="G28" s="1">
        <v>5810</v>
      </c>
      <c r="H28" s="1">
        <f>F28+G28</f>
        <v>177737</v>
      </c>
      <c r="I28" s="3">
        <f>F28/G28</f>
        <v>29.591566265060241</v>
      </c>
    </row>
    <row r="29" spans="1:9" x14ac:dyDescent="0.2">
      <c r="A29" t="s">
        <v>28</v>
      </c>
      <c r="B29" s="1">
        <v>0</v>
      </c>
      <c r="C29" s="1">
        <v>0</v>
      </c>
      <c r="D29" s="1">
        <f t="shared" ref="D29:D34" si="3">B29+C29</f>
        <v>0</v>
      </c>
      <c r="E29" s="3"/>
      <c r="F29" s="1">
        <v>48</v>
      </c>
      <c r="G29" s="1">
        <v>5</v>
      </c>
      <c r="H29" s="1">
        <f t="shared" ref="H29:H34" si="4">F29+G29</f>
        <v>53</v>
      </c>
      <c r="I29" s="3">
        <f>F29/G29</f>
        <v>9.6</v>
      </c>
    </row>
    <row r="30" spans="1:9" x14ac:dyDescent="0.2">
      <c r="A30" t="s">
        <v>29</v>
      </c>
      <c r="B30" s="1">
        <v>0</v>
      </c>
      <c r="C30" s="1">
        <v>0</v>
      </c>
      <c r="D30" s="1">
        <f t="shared" si="3"/>
        <v>0</v>
      </c>
      <c r="E30" s="3"/>
      <c r="F30" s="1">
        <v>67</v>
      </c>
      <c r="G30" s="1">
        <v>0</v>
      </c>
      <c r="H30" s="1">
        <f t="shared" si="4"/>
        <v>67</v>
      </c>
      <c r="I30" s="3"/>
    </row>
    <row r="31" spans="1:9" x14ac:dyDescent="0.2">
      <c r="A31" t="s">
        <v>30</v>
      </c>
      <c r="B31" s="1">
        <v>6</v>
      </c>
      <c r="C31" s="1">
        <v>5</v>
      </c>
      <c r="D31" s="1">
        <f t="shared" si="3"/>
        <v>11</v>
      </c>
      <c r="E31" s="3">
        <f>B31/C31</f>
        <v>1.2</v>
      </c>
      <c r="F31" s="1">
        <v>389</v>
      </c>
      <c r="G31" s="1">
        <v>25</v>
      </c>
      <c r="H31" s="1">
        <f t="shared" si="4"/>
        <v>414</v>
      </c>
      <c r="I31" s="3">
        <f>F31/G31</f>
        <v>15.56</v>
      </c>
    </row>
    <row r="32" spans="1:9" x14ac:dyDescent="0.2">
      <c r="A32">
        <v>15</v>
      </c>
      <c r="B32" s="1">
        <v>0</v>
      </c>
      <c r="C32" s="1">
        <v>0</v>
      </c>
      <c r="D32" s="1">
        <f t="shared" si="3"/>
        <v>0</v>
      </c>
      <c r="E32" s="3"/>
      <c r="F32" s="1">
        <v>410</v>
      </c>
      <c r="G32" s="1">
        <v>39</v>
      </c>
      <c r="H32" s="1">
        <f t="shared" si="4"/>
        <v>449</v>
      </c>
      <c r="I32" s="3">
        <f>F32/G32</f>
        <v>10.512820512820513</v>
      </c>
    </row>
    <row r="33" spans="1:11" x14ac:dyDescent="0.2">
      <c r="A33">
        <v>16</v>
      </c>
      <c r="B33" s="1">
        <v>20</v>
      </c>
      <c r="C33" s="1">
        <v>15</v>
      </c>
      <c r="D33" s="1">
        <f t="shared" si="3"/>
        <v>35</v>
      </c>
      <c r="E33" s="3">
        <f>B33/C33</f>
        <v>1.3333333333333333</v>
      </c>
      <c r="F33" s="1">
        <v>908</v>
      </c>
      <c r="G33" s="1">
        <v>73</v>
      </c>
      <c r="H33" s="1">
        <f t="shared" si="4"/>
        <v>981</v>
      </c>
      <c r="I33" s="3">
        <f>F33/G33</f>
        <v>12.438356164383562</v>
      </c>
    </row>
    <row r="34" spans="1:11" x14ac:dyDescent="0.2">
      <c r="A34">
        <v>17</v>
      </c>
      <c r="B34" s="1">
        <v>48</v>
      </c>
      <c r="C34" s="1">
        <v>48</v>
      </c>
      <c r="D34" s="1">
        <f t="shared" si="3"/>
        <v>96</v>
      </c>
      <c r="E34" s="3">
        <f>B34/C34</f>
        <v>1</v>
      </c>
      <c r="F34" s="1">
        <v>2102</v>
      </c>
      <c r="G34" s="1">
        <v>171</v>
      </c>
      <c r="H34" s="1">
        <f t="shared" si="4"/>
        <v>2273</v>
      </c>
      <c r="I34" s="3">
        <f>F34/G34</f>
        <v>12.292397660818713</v>
      </c>
    </row>
    <row r="35" spans="1:11" x14ac:dyDescent="0.2">
      <c r="B35" s="1"/>
      <c r="C35" s="1"/>
      <c r="D35" s="1"/>
      <c r="E35" s="3"/>
      <c r="F35" s="1"/>
      <c r="G35" s="1"/>
      <c r="H35" s="1"/>
      <c r="I35" s="3"/>
    </row>
    <row r="37" spans="1:11" x14ac:dyDescent="0.2">
      <c r="A37" t="s">
        <v>436</v>
      </c>
    </row>
    <row r="38" spans="1:11" x14ac:dyDescent="0.2">
      <c r="B38" s="1" t="s">
        <v>915</v>
      </c>
      <c r="C38" s="1" t="s">
        <v>916</v>
      </c>
      <c r="D38" s="1" t="s">
        <v>920</v>
      </c>
      <c r="E38" t="s">
        <v>38</v>
      </c>
      <c r="K38" t="s">
        <v>329</v>
      </c>
    </row>
    <row r="39" spans="1:11" x14ac:dyDescent="0.2">
      <c r="A39" t="s">
        <v>328</v>
      </c>
      <c r="B39" s="1">
        <f>'fed-state from 1925'!B52</f>
        <v>190794</v>
      </c>
      <c r="C39" s="1">
        <f>'fed-state from 1925'!C52</f>
        <v>5635</v>
      </c>
      <c r="D39" s="1">
        <f>'fed-state from 1925'!D52</f>
        <v>196429</v>
      </c>
      <c r="E39" s="3">
        <f>B39/C39</f>
        <v>33.858740017746229</v>
      </c>
      <c r="K39" t="s">
        <v>344</v>
      </c>
    </row>
    <row r="40" spans="1:11" x14ac:dyDescent="0.2">
      <c r="A40" t="s">
        <v>349</v>
      </c>
      <c r="B40" s="1"/>
      <c r="C40" s="1"/>
      <c r="D40" s="1"/>
      <c r="E40" s="3"/>
    </row>
    <row r="41" spans="1:11" x14ac:dyDescent="0.2">
      <c r="A41" t="s">
        <v>347</v>
      </c>
      <c r="B41" s="1">
        <f>F15*B54</f>
        <v>68730.190105515372</v>
      </c>
      <c r="C41" s="1">
        <f>G15*C54</f>
        <v>4834.1411480760653</v>
      </c>
      <c r="D41" s="1">
        <f>B41+C41</f>
        <v>73564.33125359143</v>
      </c>
      <c r="E41" s="3">
        <f>B41/C41</f>
        <v>14.217663076070757</v>
      </c>
      <c r="K41" t="s">
        <v>348</v>
      </c>
    </row>
    <row r="42" spans="1:11" x14ac:dyDescent="0.2">
      <c r="A42" t="s">
        <v>1015</v>
      </c>
      <c r="B42" s="1">
        <f>F15-B41</f>
        <v>52951.809894484628</v>
      </c>
      <c r="C42" s="1">
        <f>G15-C41</f>
        <v>2672.8588519239347</v>
      </c>
      <c r="D42" s="1">
        <f>B42+C42</f>
        <v>55624.668746408563</v>
      </c>
      <c r="E42" s="3">
        <f>B42/C42</f>
        <v>19.810926363122281</v>
      </c>
    </row>
    <row r="43" spans="1:11" x14ac:dyDescent="0.2">
      <c r="B43" s="1"/>
      <c r="C43" s="1"/>
      <c r="D43" s="1"/>
      <c r="E43" s="3"/>
    </row>
    <row r="44" spans="1:11" x14ac:dyDescent="0.2">
      <c r="B44" s="1"/>
      <c r="C44" s="1"/>
      <c r="D44" s="1"/>
      <c r="E44" s="3"/>
    </row>
    <row r="45" spans="1:11" x14ac:dyDescent="0.2">
      <c r="A45" t="s">
        <v>437</v>
      </c>
    </row>
    <row r="46" spans="1:11" x14ac:dyDescent="0.2">
      <c r="B46" t="s">
        <v>915</v>
      </c>
      <c r="C46" t="s">
        <v>916</v>
      </c>
      <c r="D46" t="s">
        <v>920</v>
      </c>
      <c r="E46" t="s">
        <v>38</v>
      </c>
    </row>
    <row r="47" spans="1:11" x14ac:dyDescent="0.2">
      <c r="A47" t="s">
        <v>26</v>
      </c>
      <c r="B47" s="1">
        <f>D47*E47/(1+E47)</f>
        <v>4054.1747917035987</v>
      </c>
      <c r="C47" s="1">
        <f>D47-B47</f>
        <v>3745.8252082964013</v>
      </c>
      <c r="D47" s="1">
        <f>F65</f>
        <v>7800</v>
      </c>
      <c r="E47" s="3">
        <f>I23</f>
        <v>1.0823181985972683</v>
      </c>
      <c r="K47" t="s">
        <v>332</v>
      </c>
    </row>
    <row r="48" spans="1:11" x14ac:dyDescent="0.2">
      <c r="A48" t="s">
        <v>31</v>
      </c>
      <c r="B48" s="1">
        <f>F59</f>
        <v>145330</v>
      </c>
      <c r="C48" s="1">
        <f>F62</f>
        <v>7739</v>
      </c>
      <c r="D48" s="1">
        <f>B48+C48</f>
        <v>153069</v>
      </c>
      <c r="E48" s="3">
        <f>B48/C48</f>
        <v>18.778912004134902</v>
      </c>
      <c r="K48" t="s">
        <v>289</v>
      </c>
    </row>
    <row r="50" spans="1:11" x14ac:dyDescent="0.2">
      <c r="A50" t="s">
        <v>1015</v>
      </c>
      <c r="B50" s="1">
        <f>G59+G65*B47/D47</f>
        <v>65006.840985640847</v>
      </c>
      <c r="C50" s="1">
        <f>G62+G65*C47/D47</f>
        <v>4089.1590143591561</v>
      </c>
      <c r="D50" s="1">
        <f>B50+C50</f>
        <v>69096</v>
      </c>
      <c r="E50" s="3">
        <f>B50/C50</f>
        <v>15.897361965472154</v>
      </c>
    </row>
    <row r="51" spans="1:11" x14ac:dyDescent="0.2">
      <c r="A51" t="s">
        <v>1115</v>
      </c>
      <c r="B51" s="1">
        <f>H59+H65*B47/D47</f>
        <v>84377.333806062758</v>
      </c>
      <c r="C51" s="1">
        <f>H62+H65*C47/D47</f>
        <v>7395.6661939372452</v>
      </c>
      <c r="D51" s="1">
        <f>B51+C51</f>
        <v>91773</v>
      </c>
      <c r="E51" s="3">
        <f>B51/C51</f>
        <v>11.409024095115715</v>
      </c>
    </row>
    <row r="53" spans="1:11" x14ac:dyDescent="0.2">
      <c r="A53" t="s">
        <v>920</v>
      </c>
      <c r="B53" s="1">
        <f>B47+B48</f>
        <v>149384.17479170361</v>
      </c>
      <c r="C53" s="1">
        <f>C47+C48</f>
        <v>11484.825208296401</v>
      </c>
      <c r="D53" s="1">
        <f>B53+C53</f>
        <v>160869</v>
      </c>
      <c r="E53" s="3">
        <f>B53/C53</f>
        <v>13.007091712966739</v>
      </c>
      <c r="K53" t="s">
        <v>345</v>
      </c>
    </row>
    <row r="54" spans="1:11" x14ac:dyDescent="0.2">
      <c r="A54" t="s">
        <v>343</v>
      </c>
      <c r="B54" s="13">
        <f>B51/B53</f>
        <v>0.56483448747978648</v>
      </c>
      <c r="C54" s="13">
        <f>C51/C53</f>
        <v>0.64395113202025644</v>
      </c>
      <c r="D54" s="13">
        <f>D51/D53</f>
        <v>0.5704828152098913</v>
      </c>
      <c r="K54" t="s">
        <v>346</v>
      </c>
    </row>
    <row r="55" spans="1:11" x14ac:dyDescent="0.2">
      <c r="B55" s="13"/>
      <c r="C55" s="13"/>
      <c r="D55" s="13"/>
    </row>
    <row r="57" spans="1:11" x14ac:dyDescent="0.2">
      <c r="A57" t="s">
        <v>1138</v>
      </c>
    </row>
    <row r="58" spans="1:11" x14ac:dyDescent="0.2">
      <c r="A58" t="s">
        <v>1122</v>
      </c>
      <c r="B58" t="s">
        <v>1123</v>
      </c>
      <c r="C58" t="s">
        <v>1124</v>
      </c>
      <c r="D58" t="s">
        <v>1125</v>
      </c>
      <c r="E58" t="s">
        <v>1126</v>
      </c>
      <c r="F58" t="s">
        <v>1137</v>
      </c>
      <c r="G58" t="s">
        <v>1015</v>
      </c>
      <c r="H58" t="s">
        <v>1115</v>
      </c>
    </row>
    <row r="59" spans="1:11" x14ac:dyDescent="0.2">
      <c r="A59">
        <v>23552</v>
      </c>
      <c r="B59">
        <v>50145</v>
      </c>
      <c r="C59">
        <v>54564</v>
      </c>
      <c r="D59">
        <v>9290</v>
      </c>
      <c r="E59">
        <v>7779</v>
      </c>
      <c r="F59" s="1">
        <f>SUM(A59:E59)</f>
        <v>145330</v>
      </c>
      <c r="G59" s="1">
        <f>C59+D59</f>
        <v>63854</v>
      </c>
      <c r="H59" s="1">
        <f>F59-G59</f>
        <v>81476</v>
      </c>
      <c r="K59" t="s">
        <v>332</v>
      </c>
    </row>
    <row r="60" spans="1:11" x14ac:dyDescent="0.2">
      <c r="A60" t="s">
        <v>1139</v>
      </c>
      <c r="F60" s="1"/>
      <c r="G60" s="1"/>
      <c r="H60" s="1"/>
    </row>
    <row r="61" spans="1:11" x14ac:dyDescent="0.2">
      <c r="A61" t="s">
        <v>1127</v>
      </c>
      <c r="B61" t="s">
        <v>1128</v>
      </c>
      <c r="C61" t="s">
        <v>1129</v>
      </c>
      <c r="D61" t="s">
        <v>1130</v>
      </c>
      <c r="E61" t="s">
        <v>1131</v>
      </c>
      <c r="F61" s="1"/>
      <c r="G61" s="1"/>
      <c r="H61" s="1"/>
    </row>
    <row r="62" spans="1:11" x14ac:dyDescent="0.2">
      <c r="A62">
        <v>1804</v>
      </c>
      <c r="B62">
        <v>2420</v>
      </c>
      <c r="C62">
        <v>2671</v>
      </c>
      <c r="D62">
        <v>353</v>
      </c>
      <c r="E62">
        <v>491</v>
      </c>
      <c r="F62" s="1">
        <f>SUM(A62:E62)</f>
        <v>7739</v>
      </c>
      <c r="G62" s="1">
        <f>C62+D62</f>
        <v>3024</v>
      </c>
      <c r="H62" s="1">
        <f>F62-G62</f>
        <v>4715</v>
      </c>
    </row>
    <row r="63" spans="1:11" x14ac:dyDescent="0.2">
      <c r="A63" t="s">
        <v>1140</v>
      </c>
      <c r="F63" s="1"/>
      <c r="G63" s="1"/>
      <c r="H63" s="1"/>
    </row>
    <row r="64" spans="1:11" x14ac:dyDescent="0.2">
      <c r="A64" t="s">
        <v>1132</v>
      </c>
      <c r="B64" t="s">
        <v>1133</v>
      </c>
      <c r="C64" t="s">
        <v>1134</v>
      </c>
      <c r="D64" t="s">
        <v>1135</v>
      </c>
      <c r="E64" t="s">
        <v>1136</v>
      </c>
      <c r="F64" s="1"/>
      <c r="G64" s="1"/>
      <c r="H64" s="1"/>
    </row>
    <row r="65" spans="1:12" x14ac:dyDescent="0.2">
      <c r="A65">
        <v>2104</v>
      </c>
      <c r="B65">
        <v>3054</v>
      </c>
      <c r="C65">
        <v>1365</v>
      </c>
      <c r="D65">
        <v>853</v>
      </c>
      <c r="E65">
        <v>424</v>
      </c>
      <c r="F65" s="1">
        <f>SUM(A65:E65)</f>
        <v>7800</v>
      </c>
      <c r="G65" s="1">
        <f>C65+D65</f>
        <v>2218</v>
      </c>
      <c r="H65" s="1">
        <f>F65-G65</f>
        <v>5582</v>
      </c>
    </row>
    <row r="66" spans="1:12" x14ac:dyDescent="0.2">
      <c r="F66" s="1"/>
      <c r="G66" s="1"/>
      <c r="H66" s="1"/>
    </row>
    <row r="67" spans="1:12" x14ac:dyDescent="0.2">
      <c r="A67" t="s">
        <v>920</v>
      </c>
      <c r="F67" s="1">
        <f>SUM(F59:F65)</f>
        <v>160869</v>
      </c>
      <c r="G67" s="1">
        <f>SUM(G59:G65)</f>
        <v>69096</v>
      </c>
      <c r="H67" s="1">
        <f>SUM(H59:H65)</f>
        <v>91773</v>
      </c>
    </row>
    <row r="68" spans="1:12" x14ac:dyDescent="0.2">
      <c r="C68" s="1"/>
      <c r="D68" s="1"/>
      <c r="E68" s="1"/>
      <c r="F68" s="1"/>
      <c r="G68" s="1"/>
      <c r="H68" s="1"/>
      <c r="I68" s="1"/>
      <c r="L68" s="1"/>
    </row>
    <row r="69" spans="1:12" x14ac:dyDescent="0.2">
      <c r="C69" s="4"/>
      <c r="D69" s="1"/>
      <c r="E69" s="1"/>
    </row>
    <row r="73" spans="1:12" x14ac:dyDescent="0.2">
      <c r="A73" t="s">
        <v>333</v>
      </c>
      <c r="C73" s="2"/>
      <c r="D73" s="1"/>
      <c r="E73" s="1"/>
    </row>
    <row r="74" spans="1:12" x14ac:dyDescent="0.2">
      <c r="B74" t="s">
        <v>915</v>
      </c>
      <c r="C74" t="s">
        <v>916</v>
      </c>
      <c r="D74" t="s">
        <v>920</v>
      </c>
      <c r="E74" t="s">
        <v>38</v>
      </c>
    </row>
    <row r="75" spans="1:12" x14ac:dyDescent="0.2">
      <c r="A75" t="s">
        <v>152</v>
      </c>
      <c r="B75" s="1">
        <v>37032</v>
      </c>
      <c r="C75" s="1">
        <v>4053</v>
      </c>
      <c r="D75" s="1">
        <f>B75+C75</f>
        <v>41085</v>
      </c>
      <c r="E75" s="3">
        <f>B75/C75</f>
        <v>9.1369356032568465</v>
      </c>
      <c r="K75" t="s">
        <v>331</v>
      </c>
    </row>
    <row r="76" spans="1:12" x14ac:dyDescent="0.2">
      <c r="A76" t="s">
        <v>1113</v>
      </c>
      <c r="B76" s="1">
        <v>251218</v>
      </c>
      <c r="C76" s="1">
        <v>10074</v>
      </c>
      <c r="D76" s="1">
        <f>B76+C76</f>
        <v>261292</v>
      </c>
      <c r="E76" s="3">
        <f>B76/C76</f>
        <v>24.937264244590033</v>
      </c>
    </row>
    <row r="77" spans="1:12" x14ac:dyDescent="0.2">
      <c r="A77" t="s">
        <v>918</v>
      </c>
      <c r="B77" s="1">
        <v>150978</v>
      </c>
      <c r="C77" s="1">
        <v>13016</v>
      </c>
      <c r="D77" s="1">
        <f>B77+C77</f>
        <v>163994</v>
      </c>
      <c r="E77" s="3">
        <f>B77/C77</f>
        <v>11.599416103257528</v>
      </c>
    </row>
    <row r="78" spans="1:12" x14ac:dyDescent="0.2">
      <c r="B78" s="1"/>
      <c r="C78" s="1"/>
      <c r="D78" s="1"/>
    </row>
    <row r="79" spans="1:12" x14ac:dyDescent="0.2">
      <c r="A79" t="s">
        <v>330</v>
      </c>
      <c r="B79" s="1">
        <f>B75+B76</f>
        <v>288250</v>
      </c>
      <c r="C79" s="1">
        <f>C75+C76</f>
        <v>14127</v>
      </c>
      <c r="D79" s="1">
        <f>B79+C79</f>
        <v>302377</v>
      </c>
      <c r="E79" s="3">
        <f>B79/C79</f>
        <v>20.404190557089262</v>
      </c>
    </row>
    <row r="80" spans="1:12" x14ac:dyDescent="0.2">
      <c r="A80" t="s">
        <v>919</v>
      </c>
      <c r="B80" s="1">
        <f>B77+B79</f>
        <v>439228</v>
      </c>
      <c r="C80" s="1">
        <f>C77+C79</f>
        <v>27143</v>
      </c>
      <c r="D80" s="1">
        <f>B80+C80</f>
        <v>466371</v>
      </c>
      <c r="E80" s="3">
        <f>B80/C80</f>
        <v>16.181999042110306</v>
      </c>
    </row>
    <row r="83" spans="1:11" x14ac:dyDescent="0.2">
      <c r="A83" t="s">
        <v>334</v>
      </c>
    </row>
    <row r="84" spans="1:11" x14ac:dyDescent="0.2">
      <c r="B84" t="s">
        <v>915</v>
      </c>
      <c r="C84" t="s">
        <v>916</v>
      </c>
      <c r="D84" t="s">
        <v>920</v>
      </c>
      <c r="E84" t="s">
        <v>38</v>
      </c>
    </row>
    <row r="85" spans="1:11" x14ac:dyDescent="0.2">
      <c r="A85" t="s">
        <v>1144</v>
      </c>
      <c r="B85" s="1">
        <v>18959</v>
      </c>
      <c r="C85" s="1">
        <v>2171</v>
      </c>
      <c r="D85" s="1">
        <f>B85+C85</f>
        <v>21130</v>
      </c>
      <c r="E85" s="2">
        <f>B85/C85</f>
        <v>8.7328420082911098</v>
      </c>
      <c r="K85" t="s">
        <v>335</v>
      </c>
    </row>
    <row r="86" spans="1:11" x14ac:dyDescent="0.2">
      <c r="A86" t="s">
        <v>1013</v>
      </c>
      <c r="B86" s="1">
        <v>1773019</v>
      </c>
      <c r="C86" s="1">
        <v>165988</v>
      </c>
      <c r="D86" s="1">
        <f>B86+C86</f>
        <v>1939007</v>
      </c>
      <c r="E86" s="2">
        <f>B86/C86</f>
        <v>10.681609513940767</v>
      </c>
      <c r="K86" t="s">
        <v>336</v>
      </c>
    </row>
    <row r="87" spans="1:11" x14ac:dyDescent="0.2">
      <c r="A87" t="s">
        <v>1014</v>
      </c>
      <c r="B87" s="1">
        <v>14283</v>
      </c>
      <c r="C87" s="1">
        <v>1599</v>
      </c>
      <c r="D87" s="1">
        <f>B87+C87</f>
        <v>15882</v>
      </c>
      <c r="E87" s="2">
        <f>B87/C87</f>
        <v>8.9324577861163235</v>
      </c>
    </row>
    <row r="89" spans="1:11" x14ac:dyDescent="0.2">
      <c r="A89" t="s">
        <v>920</v>
      </c>
      <c r="B89" s="1">
        <f>B86+B87+B85</f>
        <v>1806261</v>
      </c>
      <c r="C89" s="1">
        <f>C86+C87+C85</f>
        <v>169758</v>
      </c>
      <c r="D89" s="1">
        <f>B89+C89</f>
        <v>1976019</v>
      </c>
      <c r="E89" s="2">
        <f>B89/C89</f>
        <v>10.640211359700279</v>
      </c>
    </row>
    <row r="93" spans="1:11" x14ac:dyDescent="0.2">
      <c r="A93" t="s">
        <v>338</v>
      </c>
    </row>
    <row r="94" spans="1:11" x14ac:dyDescent="0.2">
      <c r="B94" t="s">
        <v>915</v>
      </c>
      <c r="C94" t="s">
        <v>916</v>
      </c>
      <c r="D94" t="s">
        <v>920</v>
      </c>
      <c r="E94" t="s">
        <v>38</v>
      </c>
    </row>
    <row r="95" spans="1:11" x14ac:dyDescent="0.2">
      <c r="A95" t="s">
        <v>1144</v>
      </c>
      <c r="B95" s="1">
        <v>10445</v>
      </c>
      <c r="C95" s="1">
        <v>1198</v>
      </c>
      <c r="D95" s="1">
        <f>B95+C95</f>
        <v>11643</v>
      </c>
      <c r="E95" s="2">
        <f>B95/C95</f>
        <v>8.7186978297161932</v>
      </c>
      <c r="K95" t="s">
        <v>340</v>
      </c>
    </row>
    <row r="96" spans="1:11" x14ac:dyDescent="0.2">
      <c r="A96" t="s">
        <v>1013</v>
      </c>
      <c r="B96" s="1">
        <v>2021770</v>
      </c>
      <c r="C96" s="1">
        <v>201765</v>
      </c>
      <c r="D96" s="1">
        <f>B96+C96</f>
        <v>2223535</v>
      </c>
      <c r="E96" s="2">
        <f>B96/C96</f>
        <v>10.02041979530642</v>
      </c>
      <c r="K96" t="s">
        <v>339</v>
      </c>
    </row>
    <row r="97" spans="1:11" x14ac:dyDescent="0.2">
      <c r="A97" t="s">
        <v>1014</v>
      </c>
      <c r="B97" s="1">
        <v>26805</v>
      </c>
      <c r="C97" s="1">
        <v>1619</v>
      </c>
      <c r="D97" s="1">
        <f>B97+C97</f>
        <v>28424</v>
      </c>
      <c r="E97" s="2">
        <f>B97/C97</f>
        <v>16.556516368128474</v>
      </c>
      <c r="K97" t="s">
        <v>341</v>
      </c>
    </row>
    <row r="99" spans="1:11" x14ac:dyDescent="0.2">
      <c r="A99" t="s">
        <v>920</v>
      </c>
      <c r="B99" s="1">
        <f>B96+B97+B95</f>
        <v>2059020</v>
      </c>
      <c r="C99" s="1">
        <f>C96+C97+C95</f>
        <v>204582</v>
      </c>
      <c r="D99" s="1">
        <f>B99+C99</f>
        <v>2263602</v>
      </c>
      <c r="E99" s="2">
        <f>B99/C99</f>
        <v>10.064521805437428</v>
      </c>
    </row>
  </sheetData>
  <mergeCells count="1">
    <mergeCell ref="A1:D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C1" workbookViewId="0">
      <selection activeCell="K1" sqref="K1:K3"/>
    </sheetView>
  </sheetViews>
  <sheetFormatPr defaultRowHeight="12.75" x14ac:dyDescent="0.2"/>
  <cols>
    <col min="1" max="1" width="17" customWidth="1"/>
    <col min="2" max="7" width="11.28515625" customWidth="1"/>
    <col min="10" max="10" width="3.140625" customWidth="1"/>
    <col min="11" max="11" width="70.42578125" customWidth="1"/>
  </cols>
  <sheetData>
    <row r="1" spans="1:11" x14ac:dyDescent="0.2">
      <c r="A1" s="30" t="s">
        <v>322</v>
      </c>
      <c r="B1" s="30"/>
      <c r="C1" s="30"/>
      <c r="K1" t="s">
        <v>1332</v>
      </c>
    </row>
    <row r="2" spans="1:11" x14ac:dyDescent="0.2">
      <c r="K2" t="s">
        <v>1333</v>
      </c>
    </row>
    <row r="3" spans="1:11" x14ac:dyDescent="0.2">
      <c r="B3" s="28" t="s">
        <v>271</v>
      </c>
      <c r="C3" s="28"/>
      <c r="D3" s="28"/>
      <c r="E3" s="28"/>
      <c r="K3" t="s">
        <v>1334</v>
      </c>
    </row>
    <row r="4" spans="1:11" x14ac:dyDescent="0.2">
      <c r="A4" t="s">
        <v>35</v>
      </c>
      <c r="B4" t="s">
        <v>915</v>
      </c>
      <c r="C4" t="s">
        <v>916</v>
      </c>
      <c r="D4" t="s">
        <v>920</v>
      </c>
      <c r="E4" t="s">
        <v>38</v>
      </c>
    </row>
    <row r="5" spans="1:11" x14ac:dyDescent="0.2">
      <c r="A5">
        <v>1940</v>
      </c>
      <c r="B5" s="1">
        <f>B14</f>
        <v>270697.93113569228</v>
      </c>
      <c r="C5" s="1">
        <f>C14</f>
        <v>14339.00665255151</v>
      </c>
      <c r="D5" s="1">
        <f>D14</f>
        <v>285036.93778824381</v>
      </c>
      <c r="E5" s="2">
        <f>E14</f>
        <v>18.878429844896107</v>
      </c>
      <c r="K5" t="s">
        <v>324</v>
      </c>
    </row>
    <row r="6" spans="1:11" x14ac:dyDescent="0.2">
      <c r="A6">
        <v>1950</v>
      </c>
      <c r="B6" s="1">
        <f>B74</f>
        <v>251562</v>
      </c>
      <c r="C6" s="1">
        <f>C74</f>
        <v>12995</v>
      </c>
      <c r="D6" s="1">
        <f>D74</f>
        <v>264557</v>
      </c>
      <c r="E6" s="2">
        <f>E74</f>
        <v>19.358368603308964</v>
      </c>
    </row>
    <row r="7" spans="1:11" x14ac:dyDescent="0.2">
      <c r="A7">
        <v>1960</v>
      </c>
      <c r="B7" s="1">
        <f>F157</f>
        <v>332952</v>
      </c>
      <c r="C7" s="1">
        <f>G157</f>
        <v>16346</v>
      </c>
      <c r="D7" s="1">
        <f>H157</f>
        <v>349298</v>
      </c>
      <c r="E7" s="2">
        <f>I157</f>
        <v>20.369019943717117</v>
      </c>
    </row>
    <row r="11" spans="1:11" x14ac:dyDescent="0.2">
      <c r="A11" t="s">
        <v>306</v>
      </c>
    </row>
    <row r="12" spans="1:11" x14ac:dyDescent="0.2">
      <c r="B12" s="28" t="s">
        <v>271</v>
      </c>
      <c r="C12" s="28"/>
      <c r="D12" s="28"/>
      <c r="E12" s="28"/>
    </row>
    <row r="13" spans="1:11" x14ac:dyDescent="0.2">
      <c r="B13" t="s">
        <v>915</v>
      </c>
      <c r="C13" t="s">
        <v>916</v>
      </c>
      <c r="D13" t="s">
        <v>920</v>
      </c>
      <c r="E13" t="s">
        <v>38</v>
      </c>
      <c r="K13" t="s">
        <v>37</v>
      </c>
    </row>
    <row r="14" spans="1:11" x14ac:dyDescent="0.2">
      <c r="A14" t="s">
        <v>919</v>
      </c>
      <c r="B14" s="1">
        <f>SUM(B15:B18)</f>
        <v>270697.93113569228</v>
      </c>
      <c r="C14" s="1">
        <f>SUM(C15:C18)</f>
        <v>14339.00665255151</v>
      </c>
      <c r="D14" s="1">
        <f>B14+C14</f>
        <v>285036.93778824381</v>
      </c>
      <c r="E14" s="3">
        <f>B14/C14</f>
        <v>18.878429844896107</v>
      </c>
      <c r="K14" t="s">
        <v>325</v>
      </c>
    </row>
    <row r="15" spans="1:11" x14ac:dyDescent="0.2">
      <c r="A15" t="s">
        <v>1080</v>
      </c>
      <c r="B15" s="1">
        <f>SUM(B16:B18)*B80/SUM(B81:B83)</f>
        <v>545.56670357922098</v>
      </c>
      <c r="C15" s="1">
        <f>SUM(C16:C18)*C80/SUM(C81:C83)</f>
        <v>169.92743551311526</v>
      </c>
      <c r="D15" s="1">
        <f>B15+C15</f>
        <v>715.49413909233624</v>
      </c>
      <c r="E15" s="3">
        <f>B15/C15</f>
        <v>3.2105863419395471</v>
      </c>
    </row>
    <row r="16" spans="1:11" x14ac:dyDescent="0.2">
      <c r="A16" t="s">
        <v>1076</v>
      </c>
      <c r="B16" s="1">
        <f t="shared" ref="B16:C18" si="0">B45-B25</f>
        <v>8737.0871192405884</v>
      </c>
      <c r="C16" s="1">
        <f t="shared" si="0"/>
        <v>573.54541593922568</v>
      </c>
      <c r="D16" s="1">
        <f>B16+C16</f>
        <v>9310.632535179815</v>
      </c>
      <c r="E16" s="3">
        <f>B16/C16</f>
        <v>15.233470404314751</v>
      </c>
    </row>
    <row r="17" spans="1:11" x14ac:dyDescent="0.2">
      <c r="A17" t="s">
        <v>1082</v>
      </c>
      <c r="B17" s="1">
        <f t="shared" si="0"/>
        <v>13510.830066896066</v>
      </c>
      <c r="C17" s="1">
        <f t="shared" si="0"/>
        <v>733.71979124849486</v>
      </c>
      <c r="D17" s="1">
        <f>B17+C17</f>
        <v>14244.549858144561</v>
      </c>
      <c r="E17" s="3">
        <f>B17/C17</f>
        <v>18.414155142123246</v>
      </c>
    </row>
    <row r="18" spans="1:11" x14ac:dyDescent="0.2">
      <c r="A18" t="s">
        <v>1079</v>
      </c>
      <c r="B18" s="1">
        <f t="shared" si="0"/>
        <v>247904.44724597639</v>
      </c>
      <c r="C18" s="1">
        <f t="shared" si="0"/>
        <v>12861.814009850676</v>
      </c>
      <c r="D18" s="1">
        <f>B18+C18</f>
        <v>260766.26125582706</v>
      </c>
      <c r="E18" s="3">
        <f>B18/C18</f>
        <v>19.274454369819839</v>
      </c>
    </row>
    <row r="20" spans="1:11" x14ac:dyDescent="0.2">
      <c r="A20" t="s">
        <v>279</v>
      </c>
    </row>
    <row r="21" spans="1:11" x14ac:dyDescent="0.2">
      <c r="B21" s="28" t="s">
        <v>272</v>
      </c>
      <c r="C21" s="28"/>
      <c r="D21" s="28"/>
      <c r="E21" s="28"/>
    </row>
    <row r="22" spans="1:11" x14ac:dyDescent="0.2">
      <c r="B22" t="s">
        <v>915</v>
      </c>
      <c r="C22" t="s">
        <v>916</v>
      </c>
      <c r="D22" t="s">
        <v>920</v>
      </c>
      <c r="E22" t="s">
        <v>38</v>
      </c>
    </row>
    <row r="23" spans="1:11" x14ac:dyDescent="0.2">
      <c r="A23" t="s">
        <v>919</v>
      </c>
      <c r="B23" s="1">
        <f>SUM(B24:B27)</f>
        <v>26881.861106094057</v>
      </c>
      <c r="C23" s="1">
        <f>SUM(C24:C27)</f>
        <v>12907.180360697554</v>
      </c>
      <c r="D23" s="1">
        <f>B23+C23</f>
        <v>39789.041466791612</v>
      </c>
      <c r="E23" s="3">
        <f>B23/C23</f>
        <v>2.082705932269258</v>
      </c>
    </row>
    <row r="24" spans="1:11" x14ac:dyDescent="0.2">
      <c r="A24" t="s">
        <v>1080</v>
      </c>
      <c r="B24" s="1">
        <f>SUM(B25:B27)*B90/SUM(B91:B93)</f>
        <v>8460.2255382071016</v>
      </c>
      <c r="C24" s="1">
        <f>SUM(C25:C27)*C90/SUM(C91:C93)</f>
        <v>3227.2595777359511</v>
      </c>
      <c r="D24" s="1">
        <f>B24+C24</f>
        <v>11687.485115943053</v>
      </c>
      <c r="E24" s="3">
        <f>B24/C24</f>
        <v>2.621489017050894</v>
      </c>
      <c r="K24" t="s">
        <v>291</v>
      </c>
    </row>
    <row r="25" spans="1:11" x14ac:dyDescent="0.2">
      <c r="A25" t="s">
        <v>1076</v>
      </c>
      <c r="B25" s="1">
        <f t="shared" ref="B25:C27" si="1">B45*B91/(B91+B81)</f>
        <v>11289.912880759412</v>
      </c>
      <c r="C25" s="1">
        <f t="shared" si="1"/>
        <v>6112.4545840607743</v>
      </c>
      <c r="D25" s="1">
        <f>B25+C25</f>
        <v>17402.367464820185</v>
      </c>
      <c r="E25" s="3">
        <f>B25/C25</f>
        <v>1.847034235673457</v>
      </c>
    </row>
    <row r="26" spans="1:11" x14ac:dyDescent="0.2">
      <c r="A26" t="s">
        <v>1082</v>
      </c>
      <c r="B26" s="1">
        <f t="shared" si="1"/>
        <v>4446.1699331039354</v>
      </c>
      <c r="C26" s="1">
        <f t="shared" si="1"/>
        <v>2282.2802087515051</v>
      </c>
      <c r="D26" s="1">
        <f>B26+C26</f>
        <v>6728.450141855441</v>
      </c>
      <c r="E26" s="3">
        <f>B26/C26</f>
        <v>1.9481262274697466</v>
      </c>
    </row>
    <row r="27" spans="1:11" x14ac:dyDescent="0.2">
      <c r="A27" t="s">
        <v>1079</v>
      </c>
      <c r="B27" s="1">
        <f t="shared" si="1"/>
        <v>2685.5527540236121</v>
      </c>
      <c r="C27" s="1">
        <f t="shared" si="1"/>
        <v>1285.1859901493237</v>
      </c>
      <c r="D27" s="1">
        <f>B27+C27</f>
        <v>3970.7387441729361</v>
      </c>
      <c r="E27" s="3">
        <f>B27/C27</f>
        <v>2.089621871548399</v>
      </c>
    </row>
    <row r="30" spans="1:11" x14ac:dyDescent="0.2">
      <c r="A30" t="s">
        <v>300</v>
      </c>
    </row>
    <row r="31" spans="1:11" x14ac:dyDescent="0.2">
      <c r="B31">
        <v>1940</v>
      </c>
      <c r="C31">
        <v>1950</v>
      </c>
      <c r="D31">
        <v>1960</v>
      </c>
    </row>
    <row r="32" spans="1:11" x14ac:dyDescent="0.2">
      <c r="A32" t="s">
        <v>301</v>
      </c>
      <c r="B32" s="1">
        <f>B52+C52</f>
        <v>217919</v>
      </c>
      <c r="C32" s="1">
        <f>D79+E79</f>
        <v>178065</v>
      </c>
      <c r="D32" s="1">
        <f>D148</f>
        <v>229306</v>
      </c>
      <c r="K32" t="s">
        <v>318</v>
      </c>
    </row>
    <row r="33" spans="1:11" x14ac:dyDescent="0.2">
      <c r="A33" t="s">
        <v>302</v>
      </c>
      <c r="B33" s="14">
        <v>0.8</v>
      </c>
      <c r="K33" t="s">
        <v>319</v>
      </c>
    </row>
    <row r="34" spans="1:11" x14ac:dyDescent="0.2">
      <c r="A34" t="s">
        <v>303</v>
      </c>
      <c r="B34" s="1">
        <f>B32-B33*D23</f>
        <v>186087.76682656672</v>
      </c>
      <c r="D34" s="1"/>
      <c r="K34" t="s">
        <v>320</v>
      </c>
    </row>
    <row r="35" spans="1:11" x14ac:dyDescent="0.2">
      <c r="A35" t="s">
        <v>304</v>
      </c>
      <c r="B35" s="1">
        <f>'fed-state from 1925'!D22</f>
        <v>173706</v>
      </c>
      <c r="C35" s="1">
        <f>'fed-state from 1925'!D32</f>
        <v>166123</v>
      </c>
      <c r="D35" s="1">
        <f>'fed-state from 1925'!D42</f>
        <v>212953</v>
      </c>
      <c r="K35" t="s">
        <v>321</v>
      </c>
    </row>
    <row r="39" spans="1:11" x14ac:dyDescent="0.2">
      <c r="A39" t="s">
        <v>280</v>
      </c>
    </row>
    <row r="40" spans="1:11" x14ac:dyDescent="0.2">
      <c r="A40" t="s">
        <v>19</v>
      </c>
    </row>
    <row r="41" spans="1:11" x14ac:dyDescent="0.2">
      <c r="A41">
        <v>1940</v>
      </c>
      <c r="B41" t="s">
        <v>274</v>
      </c>
    </row>
    <row r="42" spans="1:11" x14ac:dyDescent="0.2">
      <c r="B42" t="s">
        <v>915</v>
      </c>
      <c r="C42" t="s">
        <v>916</v>
      </c>
      <c r="D42" t="s">
        <v>920</v>
      </c>
      <c r="E42" t="s">
        <v>38</v>
      </c>
    </row>
    <row r="43" spans="1:11" x14ac:dyDescent="0.2">
      <c r="A43" t="s">
        <v>919</v>
      </c>
      <c r="B43" s="1">
        <f t="shared" ref="B43:C46" si="2">B52+B61</f>
        <v>292138</v>
      </c>
      <c r="C43" s="1">
        <f t="shared" si="2"/>
        <v>25030</v>
      </c>
      <c r="D43" s="1">
        <f>B43+C43</f>
        <v>317168</v>
      </c>
      <c r="E43" s="3">
        <f>B43/C43</f>
        <v>11.671514182980424</v>
      </c>
      <c r="J43" s="1"/>
      <c r="K43" s="1" t="s">
        <v>281</v>
      </c>
    </row>
    <row r="44" spans="1:11" x14ac:dyDescent="0.2">
      <c r="A44" t="s">
        <v>1011</v>
      </c>
      <c r="B44" s="1">
        <f t="shared" si="2"/>
        <v>3564</v>
      </c>
      <c r="C44" s="1">
        <f t="shared" si="2"/>
        <v>1181</v>
      </c>
      <c r="D44" s="1">
        <f>B44+C44</f>
        <v>4745</v>
      </c>
      <c r="E44" s="3">
        <f>B44/C44</f>
        <v>3.0177815410668924</v>
      </c>
    </row>
    <row r="45" spans="1:11" x14ac:dyDescent="0.2">
      <c r="A45" t="s">
        <v>1076</v>
      </c>
      <c r="B45" s="1">
        <f t="shared" si="2"/>
        <v>20027</v>
      </c>
      <c r="C45" s="1">
        <f t="shared" si="2"/>
        <v>6686</v>
      </c>
      <c r="D45" s="1">
        <f>B45+C45</f>
        <v>26713</v>
      </c>
      <c r="E45" s="3">
        <f>B45/C45</f>
        <v>2.9953634460065808</v>
      </c>
    </row>
    <row r="46" spans="1:11" x14ac:dyDescent="0.2">
      <c r="A46" t="s">
        <v>1077</v>
      </c>
      <c r="B46" s="1">
        <f t="shared" si="2"/>
        <v>17957</v>
      </c>
      <c r="C46" s="1">
        <f t="shared" si="2"/>
        <v>3016</v>
      </c>
      <c r="D46" s="1">
        <f>B46+C46</f>
        <v>20973</v>
      </c>
      <c r="E46" s="3">
        <f>B46/C46</f>
        <v>5.9539124668435015</v>
      </c>
    </row>
    <row r="47" spans="1:11" x14ac:dyDescent="0.2">
      <c r="A47" t="s">
        <v>1079</v>
      </c>
      <c r="B47" s="1">
        <f>B43-SUM(B44:B46)</f>
        <v>250590</v>
      </c>
      <c r="C47" s="1">
        <f>C43-SUM(C44:C46)</f>
        <v>14147</v>
      </c>
      <c r="D47" s="1">
        <f>B47+C47</f>
        <v>264737</v>
      </c>
      <c r="E47" s="3">
        <f>B47/C47</f>
        <v>17.71329610518131</v>
      </c>
    </row>
    <row r="48" spans="1:11" x14ac:dyDescent="0.2">
      <c r="B48" s="1"/>
      <c r="C48" s="1"/>
      <c r="D48" s="1"/>
      <c r="E48" s="1"/>
      <c r="F48" s="3"/>
      <c r="G48" s="1"/>
      <c r="H48" s="1"/>
      <c r="I48" s="3"/>
    </row>
    <row r="49" spans="1:9" x14ac:dyDescent="0.2">
      <c r="B49" s="1"/>
      <c r="C49" s="1"/>
      <c r="D49" s="1"/>
      <c r="E49" s="1"/>
      <c r="F49" s="3"/>
      <c r="G49" s="1"/>
      <c r="H49" s="1"/>
      <c r="I49" s="3"/>
    </row>
    <row r="50" spans="1:9" x14ac:dyDescent="0.2">
      <c r="A50">
        <v>1940</v>
      </c>
      <c r="B50" s="28" t="s">
        <v>1075</v>
      </c>
      <c r="C50" s="28"/>
      <c r="D50" s="28"/>
      <c r="E50" s="1"/>
      <c r="F50" s="3"/>
      <c r="G50" s="1"/>
      <c r="H50" s="1"/>
      <c r="I50" s="3"/>
    </row>
    <row r="51" spans="1:9" x14ac:dyDescent="0.2">
      <c r="B51" t="s">
        <v>915</v>
      </c>
      <c r="C51" t="s">
        <v>916</v>
      </c>
      <c r="D51" t="s">
        <v>920</v>
      </c>
      <c r="E51" t="s">
        <v>38</v>
      </c>
      <c r="F51" s="3"/>
      <c r="G51" s="1"/>
      <c r="H51" s="1"/>
      <c r="I51" s="3"/>
    </row>
    <row r="52" spans="1:9" x14ac:dyDescent="0.2">
      <c r="A52" t="s">
        <v>919</v>
      </c>
      <c r="B52" s="1">
        <v>202098</v>
      </c>
      <c r="C52" s="1">
        <v>15821</v>
      </c>
      <c r="D52" s="1">
        <f>B52+C52</f>
        <v>217919</v>
      </c>
      <c r="E52" s="3">
        <f>B52/C52</f>
        <v>12.774034511092852</v>
      </c>
      <c r="F52" s="3"/>
      <c r="G52" s="1"/>
      <c r="H52" s="1"/>
      <c r="I52" s="3"/>
    </row>
    <row r="53" spans="1:9" x14ac:dyDescent="0.2">
      <c r="A53" t="s">
        <v>1011</v>
      </c>
      <c r="B53" s="1">
        <v>2733</v>
      </c>
      <c r="C53" s="1">
        <v>895</v>
      </c>
      <c r="D53" s="1">
        <f>B53+C53</f>
        <v>3628</v>
      </c>
      <c r="E53" s="3">
        <f>B53/C53</f>
        <v>3.0536312849162011</v>
      </c>
      <c r="F53" s="3"/>
      <c r="G53" s="1"/>
      <c r="H53" s="1"/>
      <c r="I53" s="3"/>
    </row>
    <row r="54" spans="1:9" x14ac:dyDescent="0.2">
      <c r="A54" t="s">
        <v>1076</v>
      </c>
      <c r="B54" s="1">
        <v>15106</v>
      </c>
      <c r="C54" s="1">
        <v>5233</v>
      </c>
      <c r="D54" s="1">
        <f>B54+C54</f>
        <v>20339</v>
      </c>
      <c r="E54" s="3">
        <f>B54/C54</f>
        <v>2.8866806802981082</v>
      </c>
      <c r="F54" s="3"/>
      <c r="G54" s="1"/>
      <c r="H54" s="1"/>
      <c r="I54" s="3"/>
    </row>
    <row r="55" spans="1:9" x14ac:dyDescent="0.2">
      <c r="A55" t="s">
        <v>1077</v>
      </c>
      <c r="B55" s="1">
        <v>11995</v>
      </c>
      <c r="C55" s="1">
        <v>2192</v>
      </c>
      <c r="D55" s="1">
        <f>B55+C55</f>
        <v>14187</v>
      </c>
      <c r="E55" s="3">
        <f>B55/C55</f>
        <v>5.4721715328467155</v>
      </c>
      <c r="F55" s="3"/>
      <c r="G55" s="1"/>
      <c r="H55" s="1"/>
      <c r="I55" s="3"/>
    </row>
    <row r="56" spans="1:9" x14ac:dyDescent="0.2">
      <c r="A56" t="s">
        <v>1079</v>
      </c>
      <c r="B56" s="1">
        <f>B52-SUM(B53:B55)</f>
        <v>172264</v>
      </c>
      <c r="C56" s="1">
        <f>C52-SUM(C53:C55)</f>
        <v>7501</v>
      </c>
      <c r="D56" s="1">
        <f>B56+C56</f>
        <v>179765</v>
      </c>
      <c r="E56" s="3">
        <f>B56/C56</f>
        <v>22.965471270497268</v>
      </c>
      <c r="F56" s="3"/>
      <c r="G56" s="1"/>
      <c r="H56" s="1"/>
      <c r="I56" s="3"/>
    </row>
    <row r="57" spans="1:9" x14ac:dyDescent="0.2">
      <c r="B57" s="1"/>
      <c r="C57" s="1"/>
      <c r="D57" s="1"/>
      <c r="E57" s="1"/>
      <c r="F57" s="3"/>
      <c r="G57" s="1"/>
      <c r="H57" s="1"/>
      <c r="I57" s="3"/>
    </row>
    <row r="58" spans="1:9" x14ac:dyDescent="0.2">
      <c r="B58" s="1"/>
      <c r="C58" s="1"/>
      <c r="D58" s="1"/>
      <c r="E58" s="1"/>
      <c r="F58" s="3"/>
      <c r="G58" s="1"/>
      <c r="H58" s="1"/>
      <c r="I58" s="3"/>
    </row>
    <row r="59" spans="1:9" x14ac:dyDescent="0.2">
      <c r="A59">
        <v>1940</v>
      </c>
      <c r="B59" s="28" t="s">
        <v>918</v>
      </c>
      <c r="C59" s="28"/>
      <c r="D59" s="28"/>
      <c r="E59" s="1"/>
      <c r="F59" s="3"/>
      <c r="G59" s="1"/>
      <c r="H59" s="1"/>
      <c r="I59" s="3"/>
    </row>
    <row r="60" spans="1:9" x14ac:dyDescent="0.2">
      <c r="B60" t="s">
        <v>915</v>
      </c>
      <c r="C60" t="s">
        <v>916</v>
      </c>
      <c r="D60" t="s">
        <v>920</v>
      </c>
      <c r="E60" t="s">
        <v>38</v>
      </c>
      <c r="F60" s="3"/>
      <c r="G60" s="1"/>
      <c r="H60" s="1"/>
      <c r="I60" s="3"/>
    </row>
    <row r="61" spans="1:9" x14ac:dyDescent="0.2">
      <c r="A61" t="s">
        <v>919</v>
      </c>
      <c r="B61" s="1">
        <v>90040</v>
      </c>
      <c r="C61" s="1">
        <v>9209</v>
      </c>
      <c r="D61" s="1">
        <f>B61+C61</f>
        <v>99249</v>
      </c>
      <c r="E61" s="3">
        <f>B61/C61</f>
        <v>9.777391682050169</v>
      </c>
      <c r="F61" s="3"/>
      <c r="G61" s="1"/>
      <c r="H61" s="1"/>
      <c r="I61" s="3"/>
    </row>
    <row r="62" spans="1:9" x14ac:dyDescent="0.2">
      <c r="A62" t="s">
        <v>1011</v>
      </c>
      <c r="B62" s="1">
        <v>831</v>
      </c>
      <c r="C62" s="1">
        <v>286</v>
      </c>
      <c r="D62" s="1">
        <f>B62+C62</f>
        <v>1117</v>
      </c>
      <c r="E62" s="3">
        <f>B62/C62</f>
        <v>2.9055944055944054</v>
      </c>
      <c r="F62" s="3"/>
      <c r="G62" s="1"/>
      <c r="H62" s="1"/>
      <c r="I62" s="3"/>
    </row>
    <row r="63" spans="1:9" x14ac:dyDescent="0.2">
      <c r="A63" t="s">
        <v>1076</v>
      </c>
      <c r="B63" s="1">
        <v>4921</v>
      </c>
      <c r="C63" s="1">
        <v>1453</v>
      </c>
      <c r="D63" s="1">
        <f>B63+C63</f>
        <v>6374</v>
      </c>
      <c r="E63" s="3">
        <f>B63/C63</f>
        <v>3.3867859600825878</v>
      </c>
      <c r="F63" s="3"/>
      <c r="G63" s="1"/>
      <c r="H63" s="1"/>
      <c r="I63" s="3"/>
    </row>
    <row r="64" spans="1:9" x14ac:dyDescent="0.2">
      <c r="A64" t="s">
        <v>1077</v>
      </c>
      <c r="B64" s="1">
        <v>5962</v>
      </c>
      <c r="C64" s="1">
        <v>824</v>
      </c>
      <c r="D64" s="1">
        <f>B64+C64</f>
        <v>6786</v>
      </c>
      <c r="E64" s="3">
        <f>B64/C64</f>
        <v>7.2354368932038833</v>
      </c>
      <c r="F64" s="3"/>
      <c r="G64" s="1"/>
      <c r="H64" s="1"/>
      <c r="I64" s="3"/>
    </row>
    <row r="65" spans="1:11" x14ac:dyDescent="0.2">
      <c r="A65" t="s">
        <v>1079</v>
      </c>
      <c r="B65" s="1">
        <f>B61-SUM(B62:B64)</f>
        <v>78326</v>
      </c>
      <c r="C65" s="1">
        <f>C61-SUM(C62:C64)</f>
        <v>6646</v>
      </c>
      <c r="D65" s="1">
        <f>B65+C65</f>
        <v>84972</v>
      </c>
      <c r="E65" s="3">
        <f>B65/C65</f>
        <v>11.78543484802889</v>
      </c>
      <c r="F65" s="3"/>
      <c r="G65" s="1"/>
      <c r="H65" s="1"/>
      <c r="I65" s="3"/>
    </row>
    <row r="66" spans="1:11" x14ac:dyDescent="0.2">
      <c r="B66" s="1"/>
      <c r="C66" s="1"/>
      <c r="D66" s="3"/>
      <c r="E66" s="1"/>
      <c r="F66" s="3"/>
      <c r="G66" s="1"/>
      <c r="H66" s="1"/>
      <c r="I66" s="3"/>
    </row>
    <row r="67" spans="1:11" x14ac:dyDescent="0.2">
      <c r="B67" s="1"/>
      <c r="C67" s="1"/>
      <c r="D67" s="3"/>
      <c r="E67" s="1"/>
      <c r="F67" s="3"/>
      <c r="G67" s="1"/>
      <c r="H67" s="1"/>
      <c r="I67" s="3"/>
    </row>
    <row r="68" spans="1:11" x14ac:dyDescent="0.2">
      <c r="B68" s="1"/>
      <c r="C68" s="1"/>
      <c r="D68" s="3"/>
      <c r="E68" s="1"/>
      <c r="F68" s="3"/>
      <c r="G68" s="1"/>
      <c r="H68" s="1"/>
      <c r="I68" s="3"/>
    </row>
    <row r="69" spans="1:11" x14ac:dyDescent="0.2">
      <c r="B69" s="1"/>
      <c r="C69" s="1"/>
      <c r="D69" s="3"/>
      <c r="E69" s="1"/>
      <c r="F69" s="3"/>
      <c r="G69" s="1"/>
      <c r="H69" s="1"/>
      <c r="I69" s="3"/>
    </row>
    <row r="70" spans="1:11" x14ac:dyDescent="0.2">
      <c r="B70" s="1"/>
      <c r="C70" s="1"/>
      <c r="D70" s="1"/>
      <c r="E70" s="1"/>
      <c r="F70" s="3"/>
      <c r="G70" s="1"/>
      <c r="H70" s="1"/>
      <c r="I70" s="3"/>
    </row>
    <row r="71" spans="1:11" x14ac:dyDescent="0.2">
      <c r="A71" t="s">
        <v>275</v>
      </c>
      <c r="B71" t="s">
        <v>915</v>
      </c>
      <c r="C71" t="s">
        <v>916</v>
      </c>
      <c r="D71" t="s">
        <v>920</v>
      </c>
      <c r="E71" t="s">
        <v>38</v>
      </c>
      <c r="F71" s="3"/>
      <c r="I71" s="3"/>
    </row>
    <row r="72" spans="1:11" x14ac:dyDescent="0.2">
      <c r="A72" t="s">
        <v>1090</v>
      </c>
      <c r="B72" s="1">
        <f>D79</f>
        <v>171049</v>
      </c>
      <c r="C72" s="1">
        <f>E79</f>
        <v>7016</v>
      </c>
      <c r="D72" s="1">
        <f>B72+C72</f>
        <v>178065</v>
      </c>
      <c r="E72" s="3">
        <f>B72/C72</f>
        <v>24.379846066134551</v>
      </c>
      <c r="F72" s="3"/>
      <c r="I72" s="3"/>
      <c r="K72" t="s">
        <v>317</v>
      </c>
    </row>
    <row r="73" spans="1:11" x14ac:dyDescent="0.2">
      <c r="A73" t="s">
        <v>1091</v>
      </c>
      <c r="B73" s="1">
        <f>G79</f>
        <v>80513</v>
      </c>
      <c r="C73" s="1">
        <f>H79</f>
        <v>5979</v>
      </c>
      <c r="D73" s="1">
        <f>B73+C73</f>
        <v>86492</v>
      </c>
      <c r="E73" s="3">
        <f>B73/C73</f>
        <v>13.465964208061548</v>
      </c>
      <c r="F73" s="3"/>
      <c r="I73" s="3"/>
    </row>
    <row r="74" spans="1:11" x14ac:dyDescent="0.2">
      <c r="A74" t="s">
        <v>1078</v>
      </c>
      <c r="B74" s="1">
        <f>B79</f>
        <v>251562</v>
      </c>
      <c r="C74" s="1">
        <f>C79</f>
        <v>12995</v>
      </c>
      <c r="D74" s="1">
        <f>B79+C79</f>
        <v>264557</v>
      </c>
      <c r="E74" s="3">
        <f>B74/C74</f>
        <v>19.358368603308964</v>
      </c>
      <c r="F74" s="3"/>
      <c r="I74" s="3"/>
    </row>
    <row r="75" spans="1:11" x14ac:dyDescent="0.2">
      <c r="D75" s="1"/>
      <c r="F75" s="3"/>
      <c r="I75" s="3"/>
    </row>
    <row r="76" spans="1:11" x14ac:dyDescent="0.2">
      <c r="A76" t="s">
        <v>316</v>
      </c>
      <c r="D76" s="1"/>
      <c r="F76" s="3"/>
      <c r="I76" s="3"/>
    </row>
    <row r="77" spans="1:11" x14ac:dyDescent="0.2">
      <c r="B77" t="s">
        <v>1092</v>
      </c>
      <c r="D77" s="28" t="s">
        <v>1090</v>
      </c>
      <c r="E77" s="28"/>
      <c r="F77" s="28"/>
      <c r="G77" s="28" t="s">
        <v>1091</v>
      </c>
      <c r="H77" s="28"/>
      <c r="I77" s="28"/>
    </row>
    <row r="78" spans="1:11" x14ac:dyDescent="0.2">
      <c r="B78" t="s">
        <v>915</v>
      </c>
      <c r="C78" t="s">
        <v>916</v>
      </c>
      <c r="D78" t="s">
        <v>915</v>
      </c>
      <c r="E78" t="s">
        <v>916</v>
      </c>
      <c r="F78" t="s">
        <v>38</v>
      </c>
      <c r="G78" t="s">
        <v>915</v>
      </c>
      <c r="H78" t="s">
        <v>916</v>
      </c>
      <c r="I78" t="s">
        <v>38</v>
      </c>
    </row>
    <row r="79" spans="1:11" x14ac:dyDescent="0.2">
      <c r="A79" t="s">
        <v>919</v>
      </c>
      <c r="B79" s="1">
        <f t="shared" ref="B79:C83" si="3">D79+G79</f>
        <v>251562</v>
      </c>
      <c r="C79" s="1">
        <f t="shared" si="3"/>
        <v>12995</v>
      </c>
      <c r="D79" s="1">
        <v>171049</v>
      </c>
      <c r="E79" s="1">
        <v>7016</v>
      </c>
      <c r="F79" s="3">
        <f>D79/E79</f>
        <v>24.379846066134551</v>
      </c>
      <c r="G79" s="1">
        <v>80513</v>
      </c>
      <c r="H79" s="1">
        <v>5979</v>
      </c>
      <c r="I79" s="3">
        <f>G79/H79</f>
        <v>13.465964208061548</v>
      </c>
      <c r="K79" t="s">
        <v>283</v>
      </c>
    </row>
    <row r="80" spans="1:11" x14ac:dyDescent="0.2">
      <c r="A80" t="s">
        <v>1080</v>
      </c>
      <c r="B80" s="1">
        <f t="shared" si="3"/>
        <v>507</v>
      </c>
      <c r="C80" s="1">
        <f t="shared" si="3"/>
        <v>154</v>
      </c>
      <c r="D80" s="1">
        <v>284</v>
      </c>
      <c r="E80" s="1">
        <v>114</v>
      </c>
      <c r="F80" s="3">
        <f t="shared" ref="F80:F85" si="4">D80/E80</f>
        <v>2.4912280701754388</v>
      </c>
      <c r="G80" s="1">
        <v>223</v>
      </c>
      <c r="H80" s="1">
        <v>40</v>
      </c>
      <c r="I80" s="3">
        <f t="shared" ref="I80:I85" si="5">G80/H80</f>
        <v>5.5750000000000002</v>
      </c>
    </row>
    <row r="81" spans="1:11" x14ac:dyDescent="0.2">
      <c r="A81" t="s">
        <v>1076</v>
      </c>
      <c r="B81" s="1">
        <f t="shared" si="3"/>
        <v>10561.2</v>
      </c>
      <c r="C81" s="1">
        <f t="shared" si="3"/>
        <v>727.19999999999993</v>
      </c>
      <c r="D81" s="1">
        <f>D85*0.6</f>
        <v>6859.2</v>
      </c>
      <c r="E81" s="1">
        <f>E85*0.6</f>
        <v>420.59999999999997</v>
      </c>
      <c r="F81" s="3">
        <f t="shared" si="4"/>
        <v>16.308131241084165</v>
      </c>
      <c r="G81" s="1">
        <f>G85*0.6</f>
        <v>3702</v>
      </c>
      <c r="H81" s="1">
        <f>H85*0.6</f>
        <v>306.59999999999997</v>
      </c>
      <c r="I81" s="3">
        <f t="shared" si="5"/>
        <v>12.074363992172213</v>
      </c>
      <c r="K81" t="s">
        <v>277</v>
      </c>
    </row>
    <row r="82" spans="1:11" x14ac:dyDescent="0.2">
      <c r="A82" t="s">
        <v>1082</v>
      </c>
      <c r="B82" s="1">
        <f t="shared" si="3"/>
        <v>7040.8</v>
      </c>
      <c r="C82" s="1">
        <f t="shared" si="3"/>
        <v>484.80000000000007</v>
      </c>
      <c r="D82" s="1">
        <f>D85*0.4</f>
        <v>4572.8</v>
      </c>
      <c r="E82" s="1">
        <f>E85*0.4</f>
        <v>280.40000000000003</v>
      </c>
      <c r="F82" s="3">
        <f t="shared" si="4"/>
        <v>16.308131241084165</v>
      </c>
      <c r="G82" s="1">
        <f>G85*0.4</f>
        <v>2468</v>
      </c>
      <c r="H82" s="1">
        <f>H85*0.4</f>
        <v>204.4</v>
      </c>
      <c r="I82" s="3">
        <f t="shared" si="5"/>
        <v>12.074363992172211</v>
      </c>
      <c r="K82" t="s">
        <v>299</v>
      </c>
    </row>
    <row r="83" spans="1:11" x14ac:dyDescent="0.2">
      <c r="A83" t="s">
        <v>1079</v>
      </c>
      <c r="B83" s="1">
        <f t="shared" si="3"/>
        <v>233453</v>
      </c>
      <c r="C83" s="1">
        <f t="shared" si="3"/>
        <v>11629</v>
      </c>
      <c r="D83" s="1">
        <f>D79-D80-D85</f>
        <v>159333</v>
      </c>
      <c r="E83" s="1">
        <f>E79-E80-E85</f>
        <v>6201</v>
      </c>
      <c r="F83" s="3">
        <f t="shared" si="4"/>
        <v>25.694726656990809</v>
      </c>
      <c r="G83" s="1">
        <f>G79-G80-G85</f>
        <v>74120</v>
      </c>
      <c r="H83" s="1">
        <f>H79-H80-H85</f>
        <v>5428</v>
      </c>
      <c r="I83" s="3">
        <f t="shared" si="5"/>
        <v>13.6551215917465</v>
      </c>
    </row>
    <row r="84" spans="1:11" x14ac:dyDescent="0.2">
      <c r="A84" t="s">
        <v>298</v>
      </c>
      <c r="B84" s="1"/>
      <c r="C84" s="1"/>
      <c r="D84" s="1"/>
      <c r="E84" s="1"/>
      <c r="F84" s="3"/>
      <c r="G84" s="1"/>
      <c r="H84" s="1"/>
      <c r="I84" s="3"/>
    </row>
    <row r="85" spans="1:11" x14ac:dyDescent="0.2">
      <c r="A85" t="s">
        <v>1081</v>
      </c>
      <c r="B85" s="1">
        <f>D85+G85</f>
        <v>17602</v>
      </c>
      <c r="C85" s="1">
        <f>E85+H85</f>
        <v>1212</v>
      </c>
      <c r="D85" s="1">
        <v>11432</v>
      </c>
      <c r="E85" s="1">
        <v>701</v>
      </c>
      <c r="F85" s="3">
        <f t="shared" si="4"/>
        <v>16.308131241084165</v>
      </c>
      <c r="G85" s="1">
        <v>6170</v>
      </c>
      <c r="H85" s="1">
        <v>511</v>
      </c>
      <c r="I85" s="3">
        <f t="shared" si="5"/>
        <v>12.074363992172211</v>
      </c>
    </row>
    <row r="86" spans="1:11" x14ac:dyDescent="0.2">
      <c r="D86" s="1"/>
      <c r="E86" s="1"/>
      <c r="F86" s="1"/>
      <c r="G86" s="1"/>
    </row>
    <row r="87" spans="1:11" x14ac:dyDescent="0.2">
      <c r="A87" t="s">
        <v>276</v>
      </c>
    </row>
    <row r="88" spans="1:11" x14ac:dyDescent="0.2">
      <c r="B88" t="s">
        <v>915</v>
      </c>
      <c r="C88" t="s">
        <v>916</v>
      </c>
      <c r="D88" t="s">
        <v>920</v>
      </c>
      <c r="E88" t="s">
        <v>38</v>
      </c>
    </row>
    <row r="89" spans="1:11" x14ac:dyDescent="0.2">
      <c r="A89" t="s">
        <v>919</v>
      </c>
      <c r="B89" s="1">
        <f>B98</f>
        <v>26986</v>
      </c>
      <c r="C89" s="1">
        <f>C98</f>
        <v>13894</v>
      </c>
      <c r="D89" s="1">
        <f>B89+C89</f>
        <v>40880</v>
      </c>
      <c r="E89" s="3">
        <f>B89/C89</f>
        <v>1.9422772419749532</v>
      </c>
      <c r="K89" t="s">
        <v>289</v>
      </c>
    </row>
    <row r="90" spans="1:11" x14ac:dyDescent="0.2">
      <c r="A90" t="s">
        <v>1080</v>
      </c>
      <c r="B90" s="1">
        <f>SUM(B99:B105)</f>
        <v>8493</v>
      </c>
      <c r="C90" s="1">
        <f>SUM(C99:C105)</f>
        <v>3474</v>
      </c>
      <c r="D90" s="1">
        <f>B90+C90</f>
        <v>11967</v>
      </c>
      <c r="E90" s="3">
        <f>B90/C90</f>
        <v>2.4447322970639034</v>
      </c>
    </row>
    <row r="91" spans="1:11" x14ac:dyDescent="0.2">
      <c r="A91" t="s">
        <v>1076</v>
      </c>
      <c r="B91" s="1">
        <f t="shared" ref="B91:C93" si="6">B106</f>
        <v>13647</v>
      </c>
      <c r="C91" s="1">
        <f t="shared" si="6"/>
        <v>7750</v>
      </c>
      <c r="D91" s="1">
        <f>B91+C91</f>
        <v>21397</v>
      </c>
      <c r="E91" s="3">
        <f>B91/C91</f>
        <v>1.7609032258064516</v>
      </c>
    </row>
    <row r="92" spans="1:11" x14ac:dyDescent="0.2">
      <c r="A92" t="s">
        <v>1082</v>
      </c>
      <c r="B92" s="1">
        <f t="shared" si="6"/>
        <v>2317</v>
      </c>
      <c r="C92" s="1">
        <f t="shared" si="6"/>
        <v>1508</v>
      </c>
      <c r="D92" s="1">
        <f>B92+C92</f>
        <v>3825</v>
      </c>
      <c r="E92" s="3">
        <f>B92/C92</f>
        <v>1.5364721485411141</v>
      </c>
    </row>
    <row r="93" spans="1:11" x14ac:dyDescent="0.2">
      <c r="A93" t="s">
        <v>1079</v>
      </c>
      <c r="B93" s="1">
        <f t="shared" si="6"/>
        <v>2529</v>
      </c>
      <c r="C93" s="1">
        <f t="shared" si="6"/>
        <v>1162</v>
      </c>
      <c r="D93" s="1">
        <f>B93+C93</f>
        <v>3691</v>
      </c>
      <c r="E93" s="3">
        <f>B93/C93</f>
        <v>2.1764199655765921</v>
      </c>
    </row>
    <row r="95" spans="1:11" x14ac:dyDescent="0.2">
      <c r="A95" t="s">
        <v>287</v>
      </c>
    </row>
    <row r="96" spans="1:11" x14ac:dyDescent="0.2">
      <c r="B96" s="28" t="s">
        <v>273</v>
      </c>
      <c r="C96" s="28"/>
      <c r="D96" s="28" t="s">
        <v>285</v>
      </c>
      <c r="E96" s="28"/>
      <c r="F96" s="28" t="s">
        <v>286</v>
      </c>
      <c r="G96" s="28"/>
    </row>
    <row r="97" spans="1:11" x14ac:dyDescent="0.2">
      <c r="A97" t="s">
        <v>284</v>
      </c>
      <c r="B97" t="s">
        <v>915</v>
      </c>
      <c r="C97" t="s">
        <v>916</v>
      </c>
      <c r="D97" t="s">
        <v>915</v>
      </c>
      <c r="E97" t="s">
        <v>916</v>
      </c>
      <c r="F97" t="s">
        <v>915</v>
      </c>
      <c r="G97" t="s">
        <v>916</v>
      </c>
    </row>
    <row r="98" spans="1:11" x14ac:dyDescent="0.2">
      <c r="A98" t="s">
        <v>919</v>
      </c>
      <c r="B98" s="1">
        <f>D98+F98</f>
        <v>26986</v>
      </c>
      <c r="C98" s="1">
        <f>E98+G98</f>
        <v>13894</v>
      </c>
      <c r="D98" s="1">
        <v>23968</v>
      </c>
      <c r="E98" s="1">
        <v>13018</v>
      </c>
      <c r="F98" s="1">
        <v>3018</v>
      </c>
      <c r="G98" s="1">
        <v>876</v>
      </c>
      <c r="K98" t="s">
        <v>288</v>
      </c>
    </row>
    <row r="99" spans="1:11" x14ac:dyDescent="0.2">
      <c r="A99" t="s">
        <v>1088</v>
      </c>
      <c r="B99" s="1">
        <f t="shared" ref="B99:B108" si="7">D99+F99</f>
        <v>17</v>
      </c>
      <c r="C99" s="1">
        <f t="shared" ref="C99:C108" si="8">E99+G99</f>
        <v>25</v>
      </c>
      <c r="D99" s="1">
        <v>11</v>
      </c>
      <c r="E99" s="1">
        <v>16</v>
      </c>
      <c r="F99" s="1">
        <v>6</v>
      </c>
      <c r="G99" s="1">
        <v>9</v>
      </c>
    </row>
    <row r="100" spans="1:11" x14ac:dyDescent="0.2">
      <c r="A100" t="s">
        <v>1083</v>
      </c>
      <c r="B100" s="1">
        <f t="shared" si="7"/>
        <v>123</v>
      </c>
      <c r="C100" s="1">
        <f t="shared" si="8"/>
        <v>109</v>
      </c>
      <c r="D100" s="1">
        <v>70</v>
      </c>
      <c r="E100" s="1">
        <v>62</v>
      </c>
      <c r="F100" s="1">
        <v>53</v>
      </c>
      <c r="G100" s="1">
        <v>47</v>
      </c>
    </row>
    <row r="101" spans="1:11" x14ac:dyDescent="0.2">
      <c r="A101" t="s">
        <v>1084</v>
      </c>
      <c r="B101" s="1">
        <f t="shared" si="7"/>
        <v>51</v>
      </c>
      <c r="C101" s="1">
        <f t="shared" si="8"/>
        <v>53</v>
      </c>
      <c r="D101" s="1">
        <v>30</v>
      </c>
      <c r="E101" s="1">
        <v>33</v>
      </c>
      <c r="F101" s="1">
        <v>21</v>
      </c>
      <c r="G101" s="1">
        <v>20</v>
      </c>
    </row>
    <row r="102" spans="1:11" x14ac:dyDescent="0.2">
      <c r="A102" t="s">
        <v>1085</v>
      </c>
      <c r="B102" s="1">
        <f t="shared" si="7"/>
        <v>61</v>
      </c>
      <c r="C102" s="1">
        <f t="shared" si="8"/>
        <v>46</v>
      </c>
      <c r="D102" s="1">
        <v>35</v>
      </c>
      <c r="E102" s="1">
        <v>35</v>
      </c>
      <c r="F102" s="1">
        <v>26</v>
      </c>
      <c r="G102" s="1">
        <v>11</v>
      </c>
    </row>
    <row r="103" spans="1:11" x14ac:dyDescent="0.2">
      <c r="A103" t="s">
        <v>1086</v>
      </c>
      <c r="B103" s="1">
        <f t="shared" si="7"/>
        <v>369</v>
      </c>
      <c r="C103" s="1">
        <f t="shared" si="8"/>
        <v>215</v>
      </c>
      <c r="D103" s="1">
        <v>274</v>
      </c>
      <c r="E103" s="1">
        <v>169</v>
      </c>
      <c r="F103" s="1">
        <v>95</v>
      </c>
      <c r="G103" s="1">
        <v>46</v>
      </c>
    </row>
    <row r="104" spans="1:11" x14ac:dyDescent="0.2">
      <c r="A104" t="s">
        <v>1087</v>
      </c>
      <c r="B104" s="1">
        <f t="shared" si="7"/>
        <v>4363</v>
      </c>
      <c r="C104" s="1">
        <f t="shared" si="8"/>
        <v>1334</v>
      </c>
      <c r="D104" s="1">
        <v>3978</v>
      </c>
      <c r="E104" s="1">
        <v>1192</v>
      </c>
      <c r="F104" s="1">
        <v>385</v>
      </c>
      <c r="G104" s="1">
        <v>142</v>
      </c>
    </row>
    <row r="105" spans="1:11" x14ac:dyDescent="0.2">
      <c r="A105" t="s">
        <v>1089</v>
      </c>
      <c r="B105" s="1">
        <f t="shared" si="7"/>
        <v>3509</v>
      </c>
      <c r="C105" s="1">
        <f t="shared" si="8"/>
        <v>1692</v>
      </c>
      <c r="D105" s="1">
        <v>3262</v>
      </c>
      <c r="E105" s="1">
        <v>1597</v>
      </c>
      <c r="F105" s="1">
        <v>247</v>
      </c>
      <c r="G105" s="1">
        <v>95</v>
      </c>
    </row>
    <row r="106" spans="1:11" x14ac:dyDescent="0.2">
      <c r="A106" t="s">
        <v>1076</v>
      </c>
      <c r="B106" s="1">
        <f t="shared" si="7"/>
        <v>13647</v>
      </c>
      <c r="C106" s="1">
        <f t="shared" si="8"/>
        <v>7750</v>
      </c>
      <c r="D106" s="1">
        <v>12914</v>
      </c>
      <c r="E106" s="1">
        <v>7443</v>
      </c>
      <c r="F106" s="1">
        <v>733</v>
      </c>
      <c r="G106" s="1">
        <v>307</v>
      </c>
    </row>
    <row r="107" spans="1:11" x14ac:dyDescent="0.2">
      <c r="A107" t="s">
        <v>1082</v>
      </c>
      <c r="B107" s="1">
        <f t="shared" si="7"/>
        <v>2317</v>
      </c>
      <c r="C107" s="1">
        <f t="shared" si="8"/>
        <v>1508</v>
      </c>
      <c r="D107" s="1">
        <v>2135</v>
      </c>
      <c r="E107" s="1">
        <v>1486</v>
      </c>
      <c r="F107" s="1">
        <v>182</v>
      </c>
      <c r="G107" s="1">
        <v>22</v>
      </c>
    </row>
    <row r="108" spans="1:11" x14ac:dyDescent="0.2">
      <c r="A108" t="s">
        <v>1079</v>
      </c>
      <c r="B108" s="1">
        <f t="shared" si="7"/>
        <v>2529</v>
      </c>
      <c r="C108" s="1">
        <f t="shared" si="8"/>
        <v>1162</v>
      </c>
      <c r="D108" s="1">
        <f>D98-SUM(D99:D107)</f>
        <v>1259</v>
      </c>
      <c r="E108" s="1">
        <f>E98-SUM(E99:E107)</f>
        <v>985</v>
      </c>
      <c r="F108" s="1">
        <f>F98-SUM(F99:F107)</f>
        <v>1270</v>
      </c>
      <c r="G108" s="1">
        <f>G98-SUM(G99:G107)</f>
        <v>177</v>
      </c>
    </row>
    <row r="113" spans="1:11" x14ac:dyDescent="0.2">
      <c r="A113" t="s">
        <v>292</v>
      </c>
    </row>
    <row r="114" spans="1:11" x14ac:dyDescent="0.2">
      <c r="B114" t="s">
        <v>915</v>
      </c>
      <c r="C114" t="s">
        <v>916</v>
      </c>
      <c r="D114" t="s">
        <v>920</v>
      </c>
      <c r="E114" t="s">
        <v>38</v>
      </c>
    </row>
    <row r="115" spans="1:11" x14ac:dyDescent="0.2">
      <c r="A115" t="s">
        <v>293</v>
      </c>
      <c r="B115" s="1">
        <v>21312</v>
      </c>
      <c r="C115" s="1">
        <v>9184</v>
      </c>
      <c r="D115" s="1">
        <f>B115+C115</f>
        <v>30496</v>
      </c>
      <c r="E115" s="3">
        <f>B115/C115</f>
        <v>2.3205574912891986</v>
      </c>
      <c r="K115" t="s">
        <v>295</v>
      </c>
    </row>
    <row r="116" spans="1:11" x14ac:dyDescent="0.2">
      <c r="A116" t="s">
        <v>294</v>
      </c>
      <c r="B116" s="1">
        <v>20224</v>
      </c>
      <c r="C116" s="1">
        <v>8546</v>
      </c>
      <c r="D116" s="1">
        <f>B116+C116</f>
        <v>28770</v>
      </c>
      <c r="E116" s="3">
        <f>B116/C116</f>
        <v>2.3664872454949686</v>
      </c>
    </row>
    <row r="118" spans="1:11" x14ac:dyDescent="0.2">
      <c r="A118" t="s">
        <v>290</v>
      </c>
    </row>
    <row r="119" spans="1:11" x14ac:dyDescent="0.2">
      <c r="A119" t="s">
        <v>1093</v>
      </c>
      <c r="B119" t="s">
        <v>924</v>
      </c>
      <c r="C119" t="s">
        <v>914</v>
      </c>
      <c r="D119" t="s">
        <v>920</v>
      </c>
    </row>
    <row r="120" spans="1:11" x14ac:dyDescent="0.2">
      <c r="A120" t="s">
        <v>1094</v>
      </c>
      <c r="B120" s="1">
        <v>1027</v>
      </c>
      <c r="C120" s="1">
        <v>140</v>
      </c>
      <c r="D120" s="1">
        <f>B120+C120</f>
        <v>1167</v>
      </c>
      <c r="K120" t="s">
        <v>296</v>
      </c>
    </row>
    <row r="121" spans="1:11" x14ac:dyDescent="0.2">
      <c r="A121" t="s">
        <v>1095</v>
      </c>
      <c r="B121" s="1">
        <v>1090</v>
      </c>
      <c r="C121" s="1">
        <v>156</v>
      </c>
      <c r="D121" s="1">
        <f t="shared" ref="D121:D130" si="9">B121+C121</f>
        <v>1246</v>
      </c>
      <c r="K121" t="s">
        <v>297</v>
      </c>
    </row>
    <row r="122" spans="1:11" x14ac:dyDescent="0.2">
      <c r="A122" t="s">
        <v>1096</v>
      </c>
      <c r="B122" s="1">
        <v>1516</v>
      </c>
      <c r="C122" s="1">
        <v>361</v>
      </c>
      <c r="D122" s="1">
        <f t="shared" si="9"/>
        <v>1877</v>
      </c>
    </row>
    <row r="123" spans="1:11" x14ac:dyDescent="0.2">
      <c r="A123" t="s">
        <v>1089</v>
      </c>
      <c r="B123" s="1">
        <v>2143</v>
      </c>
      <c r="C123" s="1">
        <v>691</v>
      </c>
      <c r="D123" s="1">
        <f t="shared" si="9"/>
        <v>2834</v>
      </c>
    </row>
    <row r="124" spans="1:11" x14ac:dyDescent="0.2">
      <c r="A124" t="s">
        <v>1097</v>
      </c>
      <c r="B124" s="1">
        <v>2800</v>
      </c>
      <c r="C124" s="1">
        <v>933</v>
      </c>
      <c r="D124" s="1">
        <f t="shared" si="9"/>
        <v>3733</v>
      </c>
    </row>
    <row r="125" spans="1:11" x14ac:dyDescent="0.2">
      <c r="A125" t="s">
        <v>1098</v>
      </c>
      <c r="B125" s="1">
        <v>2331</v>
      </c>
      <c r="C125" s="1">
        <v>855</v>
      </c>
      <c r="D125" s="1">
        <f t="shared" si="9"/>
        <v>3186</v>
      </c>
    </row>
    <row r="126" spans="1:11" x14ac:dyDescent="0.2">
      <c r="A126" t="s">
        <v>1099</v>
      </c>
      <c r="B126" s="1">
        <v>1449</v>
      </c>
      <c r="C126" s="1">
        <v>593</v>
      </c>
      <c r="D126" s="1">
        <f t="shared" si="9"/>
        <v>2042</v>
      </c>
    </row>
    <row r="127" spans="1:11" x14ac:dyDescent="0.2">
      <c r="A127" t="s">
        <v>1100</v>
      </c>
      <c r="B127" s="1">
        <v>476</v>
      </c>
      <c r="C127" s="1">
        <v>117</v>
      </c>
      <c r="D127" s="1">
        <f t="shared" si="9"/>
        <v>593</v>
      </c>
    </row>
    <row r="128" spans="1:11" x14ac:dyDescent="0.2">
      <c r="A128" t="s">
        <v>1101</v>
      </c>
      <c r="B128" s="1">
        <v>321</v>
      </c>
      <c r="C128" s="1">
        <v>48</v>
      </c>
      <c r="D128" s="1">
        <f t="shared" si="9"/>
        <v>369</v>
      </c>
    </row>
    <row r="129" spans="1:11" x14ac:dyDescent="0.2">
      <c r="B129" s="1"/>
      <c r="C129" s="1"/>
    </row>
    <row r="130" spans="1:11" x14ac:dyDescent="0.2">
      <c r="A130" t="s">
        <v>920</v>
      </c>
      <c r="B130" s="1">
        <f>SUM(B120:B128)</f>
        <v>13153</v>
      </c>
      <c r="C130" s="1">
        <f>SUM(C120:C128)</f>
        <v>3894</v>
      </c>
      <c r="D130" s="1">
        <f t="shared" si="9"/>
        <v>17047</v>
      </c>
    </row>
    <row r="134" spans="1:11" x14ac:dyDescent="0.2">
      <c r="A134" t="s">
        <v>3</v>
      </c>
      <c r="B134" s="1"/>
      <c r="C134" s="1"/>
    </row>
    <row r="135" spans="1:11" x14ac:dyDescent="0.2">
      <c r="B135" s="1" t="s">
        <v>1090</v>
      </c>
    </row>
    <row r="136" spans="1:11" x14ac:dyDescent="0.2">
      <c r="B136" s="1" t="s">
        <v>915</v>
      </c>
      <c r="C136" s="1" t="s">
        <v>916</v>
      </c>
      <c r="D136" s="1" t="s">
        <v>920</v>
      </c>
      <c r="E136" s="1" t="s">
        <v>38</v>
      </c>
    </row>
    <row r="137" spans="1:11" x14ac:dyDescent="0.2">
      <c r="A137" t="s">
        <v>1048</v>
      </c>
      <c r="B137" s="1">
        <v>6781</v>
      </c>
      <c r="C137" s="1">
        <v>500</v>
      </c>
      <c r="D137" s="1">
        <f>B137+C137</f>
        <v>7281</v>
      </c>
      <c r="E137" s="2">
        <f>B137/C137</f>
        <v>13.561999999999999</v>
      </c>
      <c r="K137" t="s">
        <v>282</v>
      </c>
    </row>
    <row r="138" spans="1:11" x14ac:dyDescent="0.2">
      <c r="A138" t="s">
        <v>1052</v>
      </c>
      <c r="B138" s="1">
        <v>6419</v>
      </c>
      <c r="C138" s="1">
        <v>541</v>
      </c>
      <c r="D138" s="1">
        <f>B138+C138</f>
        <v>6960</v>
      </c>
      <c r="E138" s="2">
        <f>B138/C138</f>
        <v>11.865064695009242</v>
      </c>
      <c r="K138" t="s">
        <v>278</v>
      </c>
    </row>
    <row r="139" spans="1:11" x14ac:dyDescent="0.2">
      <c r="A139" t="s">
        <v>1053</v>
      </c>
      <c r="B139" s="1">
        <v>2619</v>
      </c>
      <c r="C139" s="1">
        <v>219</v>
      </c>
      <c r="D139" s="1">
        <f>B139+C139</f>
        <v>2838</v>
      </c>
      <c r="E139" s="2">
        <f>B139/C139</f>
        <v>11.95890410958904</v>
      </c>
    </row>
    <row r="140" spans="1:11" x14ac:dyDescent="0.2">
      <c r="A140" t="s">
        <v>920</v>
      </c>
      <c r="B140" s="1">
        <f>SUM(B137:B139)</f>
        <v>15819</v>
      </c>
      <c r="C140" s="1">
        <f>SUM(C137:C139)</f>
        <v>1260</v>
      </c>
      <c r="D140" s="1">
        <f>SUM(D137:D139)</f>
        <v>17079</v>
      </c>
      <c r="E140" s="2">
        <f>B140/C140</f>
        <v>12.554761904761905</v>
      </c>
    </row>
    <row r="144" spans="1:11" x14ac:dyDescent="0.2">
      <c r="A144" t="s">
        <v>307</v>
      </c>
    </row>
    <row r="145" spans="1:11" x14ac:dyDescent="0.2">
      <c r="B145" s="1" t="s">
        <v>915</v>
      </c>
      <c r="C145" s="1" t="s">
        <v>916</v>
      </c>
      <c r="D145" s="1" t="s">
        <v>920</v>
      </c>
      <c r="E145" s="1" t="s">
        <v>38</v>
      </c>
    </row>
    <row r="146" spans="1:11" x14ac:dyDescent="0.2">
      <c r="A146" t="s">
        <v>308</v>
      </c>
      <c r="B146" s="1">
        <f>24166+541</f>
        <v>24707</v>
      </c>
      <c r="C146" s="1">
        <f>854+3</f>
        <v>857</v>
      </c>
      <c r="D146" s="1">
        <f>B146+C146</f>
        <v>25564</v>
      </c>
      <c r="E146" s="2">
        <f>B146/C146</f>
        <v>28.829638273045507</v>
      </c>
      <c r="K146" t="s">
        <v>323</v>
      </c>
    </row>
    <row r="147" spans="1:11" x14ac:dyDescent="0.2">
      <c r="A147" t="s">
        <v>309</v>
      </c>
      <c r="B147" s="1">
        <f>193640+2418</f>
        <v>196058</v>
      </c>
      <c r="C147" s="1">
        <v>7684</v>
      </c>
      <c r="D147" s="1">
        <f>B147+C147</f>
        <v>203742</v>
      </c>
      <c r="E147" s="2">
        <f>B147/C147</f>
        <v>25.515096304008328</v>
      </c>
      <c r="K147" t="s">
        <v>310</v>
      </c>
    </row>
    <row r="148" spans="1:11" x14ac:dyDescent="0.2">
      <c r="A148" t="s">
        <v>311</v>
      </c>
      <c r="B148" s="1">
        <f>B146+B147</f>
        <v>220765</v>
      </c>
      <c r="C148" s="1">
        <f>C146+C147</f>
        <v>8541</v>
      </c>
      <c r="D148" s="1">
        <f>B148+C148</f>
        <v>229306</v>
      </c>
      <c r="E148" s="2">
        <f>B148/C148</f>
        <v>25.847675916169067</v>
      </c>
    </row>
    <row r="149" spans="1:11" x14ac:dyDescent="0.2">
      <c r="A149" t="s">
        <v>1091</v>
      </c>
      <c r="B149" s="1">
        <f>111866+321</f>
        <v>112187</v>
      </c>
      <c r="C149" s="1">
        <v>7805</v>
      </c>
      <c r="D149" s="1">
        <f>B149+C149</f>
        <v>119992</v>
      </c>
      <c r="E149" s="2">
        <f>B149/C149</f>
        <v>14.373734785393978</v>
      </c>
    </row>
    <row r="150" spans="1:11" x14ac:dyDescent="0.2">
      <c r="A150" t="s">
        <v>920</v>
      </c>
      <c r="B150" s="1">
        <f>B148+B149</f>
        <v>332952</v>
      </c>
      <c r="C150" s="1">
        <f>C148+C149</f>
        <v>16346</v>
      </c>
      <c r="D150" s="1">
        <f>B150+C150</f>
        <v>349298</v>
      </c>
      <c r="E150" s="2">
        <f>B150/C150</f>
        <v>20.369019943717117</v>
      </c>
    </row>
    <row r="152" spans="1:11" x14ac:dyDescent="0.2">
      <c r="A152" t="s">
        <v>312</v>
      </c>
    </row>
    <row r="153" spans="1:11" x14ac:dyDescent="0.2">
      <c r="B153" t="s">
        <v>313</v>
      </c>
      <c r="F153" t="s">
        <v>314</v>
      </c>
    </row>
    <row r="154" spans="1:11" x14ac:dyDescent="0.2">
      <c r="B154" s="1" t="s">
        <v>915</v>
      </c>
      <c r="C154" s="1" t="s">
        <v>916</v>
      </c>
      <c r="D154" s="1" t="s">
        <v>920</v>
      </c>
      <c r="E154" s="1" t="s">
        <v>38</v>
      </c>
      <c r="F154" s="1" t="s">
        <v>915</v>
      </c>
      <c r="G154" s="1" t="s">
        <v>916</v>
      </c>
      <c r="H154" s="1" t="s">
        <v>920</v>
      </c>
      <c r="I154" s="1" t="s">
        <v>38</v>
      </c>
    </row>
    <row r="155" spans="1:11" x14ac:dyDescent="0.2">
      <c r="A155" t="s">
        <v>311</v>
      </c>
      <c r="B155" s="1">
        <v>171049</v>
      </c>
      <c r="C155" s="1">
        <v>7016</v>
      </c>
      <c r="D155" s="1">
        <f>B155+C155</f>
        <v>178065</v>
      </c>
      <c r="E155" s="2">
        <f>B155/C155</f>
        <v>24.379846066134551</v>
      </c>
      <c r="F155" s="1">
        <v>220765</v>
      </c>
      <c r="G155" s="1">
        <v>8541</v>
      </c>
      <c r="H155" s="1">
        <f>F155+G155</f>
        <v>229306</v>
      </c>
      <c r="I155" s="2">
        <f>F155/G155</f>
        <v>25.847675916169067</v>
      </c>
      <c r="K155" t="s">
        <v>315</v>
      </c>
    </row>
    <row r="156" spans="1:11" x14ac:dyDescent="0.2">
      <c r="A156" t="s">
        <v>1091</v>
      </c>
      <c r="B156" s="1">
        <v>80513</v>
      </c>
      <c r="C156" s="1">
        <v>5979</v>
      </c>
      <c r="D156" s="1">
        <f>B156+C156</f>
        <v>86492</v>
      </c>
      <c r="E156" s="2">
        <f>B156/C156</f>
        <v>13.465964208061548</v>
      </c>
      <c r="F156" s="1">
        <v>112187</v>
      </c>
      <c r="G156" s="1">
        <v>7805</v>
      </c>
      <c r="H156" s="1">
        <f>F156+G156</f>
        <v>119992</v>
      </c>
      <c r="I156" s="2">
        <f>F156/G156</f>
        <v>14.373734785393978</v>
      </c>
    </row>
    <row r="157" spans="1:11" x14ac:dyDescent="0.2">
      <c r="A157" t="s">
        <v>920</v>
      </c>
      <c r="B157" s="1">
        <f>B155+B156</f>
        <v>251562</v>
      </c>
      <c r="C157" s="1">
        <f>C155+C156</f>
        <v>12995</v>
      </c>
      <c r="D157" s="1">
        <f>D155+D156</f>
        <v>264557</v>
      </c>
      <c r="E157" s="2">
        <f>B157/C157</f>
        <v>19.358368603308964</v>
      </c>
      <c r="F157" s="1">
        <f>F155+F156</f>
        <v>332952</v>
      </c>
      <c r="G157" s="1">
        <f>G155+G156</f>
        <v>16346</v>
      </c>
      <c r="H157" s="1">
        <f>H155+H156</f>
        <v>349298</v>
      </c>
      <c r="I157" s="2">
        <f>F157/G157</f>
        <v>20.369019943717117</v>
      </c>
    </row>
  </sheetData>
  <mergeCells count="11">
    <mergeCell ref="B59:D59"/>
    <mergeCell ref="G77:I77"/>
    <mergeCell ref="A1:C1"/>
    <mergeCell ref="B3:E3"/>
    <mergeCell ref="B12:E12"/>
    <mergeCell ref="B21:E21"/>
    <mergeCell ref="D96:E96"/>
    <mergeCell ref="F96:G96"/>
    <mergeCell ref="B96:C96"/>
    <mergeCell ref="B50:D50"/>
    <mergeCell ref="D77:F77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E1" workbookViewId="0">
      <selection activeCell="L1" sqref="L1:L3"/>
    </sheetView>
  </sheetViews>
  <sheetFormatPr defaultRowHeight="12.75" x14ac:dyDescent="0.2"/>
  <cols>
    <col min="1" max="1" width="22.28515625" customWidth="1"/>
    <col min="2" max="5" width="11" customWidth="1"/>
    <col min="6" max="9" width="10.140625" customWidth="1"/>
    <col min="11" max="11" width="3.5703125" customWidth="1"/>
    <col min="12" max="12" width="82.140625" customWidth="1"/>
  </cols>
  <sheetData>
    <row r="1" spans="1:16" x14ac:dyDescent="0.2">
      <c r="A1" s="30" t="s">
        <v>259</v>
      </c>
      <c r="B1" s="30"/>
      <c r="L1" t="s">
        <v>1332</v>
      </c>
    </row>
    <row r="2" spans="1:16" x14ac:dyDescent="0.2">
      <c r="L2" t="s">
        <v>1333</v>
      </c>
    </row>
    <row r="3" spans="1:16" x14ac:dyDescent="0.2">
      <c r="L3" t="s">
        <v>1334</v>
      </c>
    </row>
    <row r="4" spans="1:16" x14ac:dyDescent="0.2">
      <c r="B4" s="28" t="s">
        <v>257</v>
      </c>
      <c r="C4" s="28"/>
      <c r="D4" s="28"/>
      <c r="E4" s="28"/>
    </row>
    <row r="5" spans="1:16" x14ac:dyDescent="0.2">
      <c r="A5" t="s">
        <v>258</v>
      </c>
      <c r="B5" s="1" t="s">
        <v>915</v>
      </c>
      <c r="C5" s="1" t="s">
        <v>916</v>
      </c>
      <c r="D5" s="1" t="s">
        <v>920</v>
      </c>
      <c r="E5" s="1" t="s">
        <v>38</v>
      </c>
    </row>
    <row r="6" spans="1:16" x14ac:dyDescent="0.2">
      <c r="A6" t="s">
        <v>248</v>
      </c>
      <c r="B6" s="1">
        <f>B18</f>
        <v>133046.5</v>
      </c>
      <c r="C6" s="1">
        <f>C18</f>
        <v>4357</v>
      </c>
      <c r="D6" s="1">
        <f>B6+C6</f>
        <v>137403.5</v>
      </c>
      <c r="E6" s="3">
        <f t="shared" ref="E6:E11" si="0">B6/C6</f>
        <v>30.536263484048657</v>
      </c>
      <c r="J6" s="2"/>
      <c r="K6" s="1"/>
      <c r="L6" s="1"/>
      <c r="M6" s="3"/>
      <c r="P6" s="3"/>
    </row>
    <row r="7" spans="1:16" x14ac:dyDescent="0.2">
      <c r="A7" t="s">
        <v>249</v>
      </c>
      <c r="B7" s="1">
        <f>D39</f>
        <v>10931.038117730384</v>
      </c>
      <c r="C7" s="1">
        <f>E39</f>
        <v>437.24152470921541</v>
      </c>
      <c r="D7" s="1">
        <f>B7+C7</f>
        <v>11368.2796424396</v>
      </c>
      <c r="E7" s="3">
        <f t="shared" si="0"/>
        <v>24.999999999999996</v>
      </c>
      <c r="J7" s="2"/>
      <c r="K7" s="1"/>
      <c r="L7" s="1" t="s">
        <v>244</v>
      </c>
      <c r="M7" s="3"/>
      <c r="P7" s="3"/>
    </row>
    <row r="8" spans="1:16" x14ac:dyDescent="0.2">
      <c r="A8" t="s">
        <v>250</v>
      </c>
      <c r="B8" s="1">
        <f>'1933 county&amp;city'!I56</f>
        <v>53081.932128976943</v>
      </c>
      <c r="C8" s="1">
        <f>'1933 county&amp;city'!J56</f>
        <v>3685.3870190291104</v>
      </c>
      <c r="D8" s="1">
        <f>B8+C8</f>
        <v>56767.319148006056</v>
      </c>
      <c r="E8" s="3">
        <f t="shared" si="0"/>
        <v>14.40335352973621</v>
      </c>
      <c r="J8" s="2"/>
      <c r="K8" s="1"/>
      <c r="L8" s="1" t="s">
        <v>251</v>
      </c>
      <c r="M8" s="3"/>
      <c r="P8" s="3"/>
    </row>
    <row r="9" spans="1:16" x14ac:dyDescent="0.2">
      <c r="A9" t="s">
        <v>1109</v>
      </c>
      <c r="B9" s="1">
        <f>SUM(B6:B8)</f>
        <v>197059.47024670732</v>
      </c>
      <c r="C9" s="1">
        <f>SUM(C6:C8)</f>
        <v>8479.6285437383267</v>
      </c>
      <c r="D9" s="1">
        <f>SUM(D6:D8)</f>
        <v>205539.09879044566</v>
      </c>
      <c r="E9" s="3">
        <f t="shared" si="0"/>
        <v>23.239163040015871</v>
      </c>
      <c r="J9" s="2"/>
      <c r="K9" s="1"/>
      <c r="L9" s="1"/>
      <c r="M9" s="3"/>
      <c r="P9" s="3"/>
    </row>
    <row r="10" spans="1:16" x14ac:dyDescent="0.2">
      <c r="A10" t="s">
        <v>1141</v>
      </c>
      <c r="B10" s="1">
        <v>36496.187392632564</v>
      </c>
      <c r="C10" s="1">
        <v>2246.7145679523164</v>
      </c>
      <c r="D10" s="1">
        <f>B10+C10</f>
        <v>38742.901960584881</v>
      </c>
      <c r="E10" s="3">
        <f t="shared" si="0"/>
        <v>16.24424745057653</v>
      </c>
      <c r="L10" t="s">
        <v>260</v>
      </c>
    </row>
    <row r="11" spans="1:16" x14ac:dyDescent="0.2">
      <c r="A11" t="s">
        <v>1072</v>
      </c>
      <c r="B11" s="1">
        <f>B9+B10</f>
        <v>233555.65763933989</v>
      </c>
      <c r="C11" s="1">
        <f>C9+C10</f>
        <v>10726.343111690643</v>
      </c>
      <c r="D11" s="1">
        <f>D9+D10</f>
        <v>244282.00075103054</v>
      </c>
      <c r="E11" s="3">
        <f t="shared" si="0"/>
        <v>21.774024493472293</v>
      </c>
    </row>
    <row r="12" spans="1:16" x14ac:dyDescent="0.2">
      <c r="B12" s="1"/>
      <c r="C12" s="1"/>
      <c r="D12" s="1"/>
      <c r="E12" s="3"/>
    </row>
    <row r="13" spans="1:16" x14ac:dyDescent="0.2">
      <c r="B13" s="1"/>
      <c r="C13" s="1"/>
      <c r="D13" s="1"/>
      <c r="E13" s="3"/>
    </row>
    <row r="14" spans="1:16" x14ac:dyDescent="0.2">
      <c r="A14" t="s">
        <v>230</v>
      </c>
      <c r="D14" s="1"/>
      <c r="E14" s="3"/>
    </row>
    <row r="15" spans="1:16" x14ac:dyDescent="0.2">
      <c r="A15" s="1"/>
      <c r="B15" s="1" t="s">
        <v>915</v>
      </c>
      <c r="C15" s="1" t="s">
        <v>916</v>
      </c>
      <c r="D15" s="1" t="s">
        <v>920</v>
      </c>
      <c r="E15" s="3"/>
    </row>
    <row r="16" spans="1:16" x14ac:dyDescent="0.2">
      <c r="A16" s="1" t="s">
        <v>1070</v>
      </c>
      <c r="B16" s="1">
        <f>'fed-state from 1925'!B14</f>
        <v>133573</v>
      </c>
      <c r="C16" s="1">
        <f>'fed-state from 1925'!C14</f>
        <v>4424</v>
      </c>
      <c r="D16" s="1">
        <f>'fed-state from 1925'!D14</f>
        <v>137997</v>
      </c>
      <c r="E16" s="3"/>
      <c r="L16" t="s">
        <v>261</v>
      </c>
    </row>
    <row r="17" spans="1:12" x14ac:dyDescent="0.2">
      <c r="A17" s="1" t="s">
        <v>1069</v>
      </c>
      <c r="B17" s="1">
        <f>'fed-state from 1925'!B15</f>
        <v>132520</v>
      </c>
      <c r="C17" s="1">
        <f>'fed-state from 1925'!C15</f>
        <v>4290</v>
      </c>
      <c r="D17" s="1">
        <f>'fed-state from 1925'!D15</f>
        <v>136810</v>
      </c>
      <c r="E17" s="3"/>
    </row>
    <row r="18" spans="1:12" x14ac:dyDescent="0.2">
      <c r="A18" t="s">
        <v>229</v>
      </c>
      <c r="B18" s="1">
        <f>AVERAGE(B16:B17)</f>
        <v>133046.5</v>
      </c>
      <c r="C18" s="1">
        <f>AVERAGE(C16:C17)</f>
        <v>4357</v>
      </c>
      <c r="D18" s="1">
        <f>AVERAGE(D16:D17)</f>
        <v>137403.5</v>
      </c>
      <c r="E18" s="3"/>
    </row>
    <row r="19" spans="1:12" x14ac:dyDescent="0.2">
      <c r="B19" s="1"/>
      <c r="C19" s="1"/>
      <c r="D19" s="1"/>
      <c r="E19" s="3"/>
    </row>
    <row r="20" spans="1:12" x14ac:dyDescent="0.2">
      <c r="B20" s="1"/>
      <c r="C20" s="1"/>
      <c r="D20" s="1"/>
      <c r="E20" s="3"/>
    </row>
    <row r="21" spans="1:12" x14ac:dyDescent="0.2">
      <c r="A21" s="1" t="s">
        <v>231</v>
      </c>
      <c r="E21" s="3"/>
    </row>
    <row r="22" spans="1:12" x14ac:dyDescent="0.2">
      <c r="B22" s="28" t="s">
        <v>68</v>
      </c>
      <c r="C22" s="28"/>
      <c r="D22" s="28"/>
      <c r="E22" s="28"/>
      <c r="F22" s="28" t="s">
        <v>210</v>
      </c>
      <c r="G22" s="28"/>
      <c r="H22" s="28"/>
      <c r="I22" s="28"/>
    </row>
    <row r="23" spans="1:12" x14ac:dyDescent="0.2">
      <c r="A23" t="s">
        <v>41</v>
      </c>
      <c r="B23" s="1" t="s">
        <v>915</v>
      </c>
      <c r="C23" s="1" t="s">
        <v>916</v>
      </c>
      <c r="D23" s="1" t="s">
        <v>920</v>
      </c>
      <c r="E23" s="1" t="s">
        <v>38</v>
      </c>
      <c r="F23" s="1" t="s">
        <v>915</v>
      </c>
      <c r="G23" s="1" t="s">
        <v>916</v>
      </c>
      <c r="H23" s="1" t="s">
        <v>920</v>
      </c>
      <c r="I23" s="1" t="s">
        <v>38</v>
      </c>
    </row>
    <row r="24" spans="1:12" x14ac:dyDescent="0.2">
      <c r="A24" s="11">
        <v>12055</v>
      </c>
      <c r="B24" s="1">
        <v>43802</v>
      </c>
      <c r="C24" s="1">
        <v>2490</v>
      </c>
      <c r="D24" s="1">
        <f>B24+C24</f>
        <v>46292</v>
      </c>
      <c r="E24" s="3">
        <f>B24/C24</f>
        <v>17.59116465863454</v>
      </c>
      <c r="F24" s="1">
        <v>3881</v>
      </c>
      <c r="G24" s="1">
        <f>H24-F24</f>
        <v>261</v>
      </c>
      <c r="H24" s="1">
        <v>4142</v>
      </c>
      <c r="I24" s="3">
        <f>F24/G24</f>
        <v>14.869731800766283</v>
      </c>
      <c r="L24" t="s">
        <v>262</v>
      </c>
    </row>
    <row r="25" spans="1:12" x14ac:dyDescent="0.2">
      <c r="A25" s="11">
        <v>12235</v>
      </c>
      <c r="B25" s="1">
        <v>47051</v>
      </c>
      <c r="C25" s="1">
        <v>3234</v>
      </c>
      <c r="D25" s="1">
        <f>B25+C25</f>
        <v>50285</v>
      </c>
      <c r="E25" s="3">
        <f>B25/C25</f>
        <v>14.548855905998764</v>
      </c>
      <c r="F25" s="1">
        <f>H25-G25</f>
        <v>5284.0438681439318</v>
      </c>
      <c r="G25" s="1">
        <f>H25/(1+I25)</f>
        <v>382.956131856068</v>
      </c>
      <c r="H25" s="1">
        <v>5667</v>
      </c>
      <c r="I25" s="3">
        <f>I29*E25/E29</f>
        <v>13.798039588852729</v>
      </c>
      <c r="L25" t="s">
        <v>43</v>
      </c>
    </row>
    <row r="26" spans="1:12" x14ac:dyDescent="0.2">
      <c r="A26" t="s">
        <v>40</v>
      </c>
      <c r="B26" s="5">
        <f>B25/B24-1</f>
        <v>7.4174695219396458E-2</v>
      </c>
      <c r="C26" s="5">
        <f>C25/C24-1</f>
        <v>0.29879518072289146</v>
      </c>
      <c r="D26" s="5">
        <f>D25/D24-1</f>
        <v>8.6256804631469786E-2</v>
      </c>
      <c r="F26" s="8">
        <f>F25/F24-1</f>
        <v>0.36151607012211584</v>
      </c>
      <c r="G26" s="8">
        <f>G25/G24-1</f>
        <v>0.46726487301175479</v>
      </c>
      <c r="H26" s="8">
        <f>H25/H24-1</f>
        <v>0.36817962337035248</v>
      </c>
      <c r="I26" s="3"/>
      <c r="L26" t="s">
        <v>44</v>
      </c>
    </row>
    <row r="27" spans="1:12" x14ac:dyDescent="0.2">
      <c r="F27" s="8"/>
      <c r="G27" s="8"/>
      <c r="H27" s="8"/>
      <c r="I27" s="3"/>
      <c r="L27" t="s">
        <v>45</v>
      </c>
    </row>
    <row r="28" spans="1:12" x14ac:dyDescent="0.2">
      <c r="A28" t="s">
        <v>1012</v>
      </c>
      <c r="F28" s="8"/>
      <c r="G28" s="8"/>
      <c r="H28" s="8"/>
      <c r="I28" s="3"/>
    </row>
    <row r="29" spans="1:12" x14ac:dyDescent="0.2">
      <c r="A29" t="s">
        <v>39</v>
      </c>
      <c r="B29">
        <v>255936</v>
      </c>
      <c r="C29">
        <v>17882</v>
      </c>
      <c r="D29">
        <f>B29+C29</f>
        <v>273818</v>
      </c>
      <c r="E29" s="3">
        <f>B29/C29</f>
        <v>14.312493009730455</v>
      </c>
      <c r="F29" s="1">
        <v>70557</v>
      </c>
      <c r="G29" s="1">
        <v>5198</v>
      </c>
      <c r="H29" s="1">
        <f>F29+G29</f>
        <v>75755</v>
      </c>
      <c r="I29" s="3">
        <f>F29/G29</f>
        <v>13.573874567141209</v>
      </c>
      <c r="L29" t="s">
        <v>42</v>
      </c>
    </row>
    <row r="34" spans="1:12" x14ac:dyDescent="0.2">
      <c r="A34" t="s">
        <v>241</v>
      </c>
      <c r="D34" s="1"/>
      <c r="I34" s="2"/>
    </row>
    <row r="35" spans="1:12" x14ac:dyDescent="0.2">
      <c r="B35" s="1" t="s">
        <v>919</v>
      </c>
      <c r="C35" s="1" t="s">
        <v>38</v>
      </c>
      <c r="D35" s="1" t="s">
        <v>924</v>
      </c>
      <c r="E35" s="1" t="s">
        <v>914</v>
      </c>
      <c r="I35" s="2"/>
    </row>
    <row r="36" spans="1:12" x14ac:dyDescent="0.2">
      <c r="A36" t="s">
        <v>1048</v>
      </c>
      <c r="B36" s="1">
        <f>F55*(I55/F55)^(5/11)</f>
        <v>4177.2635769346971</v>
      </c>
      <c r="D36" s="1"/>
      <c r="E36" s="1"/>
      <c r="I36" s="2"/>
      <c r="L36" t="s">
        <v>242</v>
      </c>
    </row>
    <row r="37" spans="1:12" x14ac:dyDescent="0.2">
      <c r="A37" t="s">
        <v>1052</v>
      </c>
      <c r="B37" s="1">
        <f>F56*(I56/F56)^(5/11)</f>
        <v>5003.408764933577</v>
      </c>
      <c r="D37" s="1"/>
      <c r="E37" s="1"/>
      <c r="I37" s="2"/>
    </row>
    <row r="38" spans="1:12" x14ac:dyDescent="0.2">
      <c r="A38" t="s">
        <v>1053</v>
      </c>
      <c r="B38" s="1">
        <f>E57*(G57/E57)^(6/10)</f>
        <v>2187.6073005713265</v>
      </c>
      <c r="D38" s="1"/>
      <c r="E38" s="1"/>
      <c r="I38" s="2"/>
    </row>
    <row r="39" spans="1:12" x14ac:dyDescent="0.2">
      <c r="A39" t="s">
        <v>920</v>
      </c>
      <c r="B39" s="1">
        <f>SUM(B36:B38)</f>
        <v>11368.2796424396</v>
      </c>
      <c r="C39" s="2">
        <v>25</v>
      </c>
      <c r="D39" s="1">
        <f>B39-E39</f>
        <v>10931.038117730384</v>
      </c>
      <c r="E39" s="1">
        <f>B39/(1+C39)</f>
        <v>437.24152470921541</v>
      </c>
      <c r="L39" t="s">
        <v>245</v>
      </c>
    </row>
    <row r="41" spans="1:12" x14ac:dyDescent="0.2">
      <c r="A41" t="s">
        <v>252</v>
      </c>
      <c r="B41">
        <f>B39/(D6+B39)</f>
        <v>7.6414220961544585E-2</v>
      </c>
      <c r="L41" t="s">
        <v>256</v>
      </c>
    </row>
    <row r="44" spans="1:12" x14ac:dyDescent="0.2">
      <c r="A44" t="s">
        <v>2</v>
      </c>
      <c r="C44" s="1"/>
      <c r="D44" s="1"/>
      <c r="E44" s="1"/>
    </row>
    <row r="45" spans="1:12" x14ac:dyDescent="0.2">
      <c r="B45" s="1" t="s">
        <v>247</v>
      </c>
      <c r="C45" s="1"/>
      <c r="D45" s="1"/>
      <c r="E45" s="1"/>
    </row>
    <row r="46" spans="1:12" x14ac:dyDescent="0.2">
      <c r="A46" t="s">
        <v>925</v>
      </c>
      <c r="B46" s="1" t="s">
        <v>915</v>
      </c>
      <c r="C46" s="1" t="s">
        <v>916</v>
      </c>
      <c r="D46" s="1" t="s">
        <v>920</v>
      </c>
      <c r="E46" s="1" t="s">
        <v>38</v>
      </c>
    </row>
    <row r="47" spans="1:12" x14ac:dyDescent="0.2">
      <c r="A47" t="s">
        <v>1048</v>
      </c>
      <c r="B47" s="1">
        <v>3627</v>
      </c>
      <c r="C47" s="1">
        <v>111</v>
      </c>
      <c r="D47" s="1">
        <f>B47+C47</f>
        <v>3738</v>
      </c>
      <c r="E47" s="2">
        <f>B47/C47</f>
        <v>32.675675675675677</v>
      </c>
      <c r="L47" t="s">
        <v>264</v>
      </c>
    </row>
    <row r="48" spans="1:12" x14ac:dyDescent="0.2">
      <c r="A48" t="s">
        <v>1052</v>
      </c>
      <c r="B48" s="1">
        <v>2976</v>
      </c>
      <c r="C48" s="1">
        <v>143</v>
      </c>
      <c r="D48" s="1">
        <f>B48+C48</f>
        <v>3119</v>
      </c>
      <c r="E48" s="2">
        <f>B48/C48</f>
        <v>20.81118881118881</v>
      </c>
    </row>
    <row r="49" spans="1:12" x14ac:dyDescent="0.2">
      <c r="A49" t="s">
        <v>1053</v>
      </c>
      <c r="B49" s="1">
        <v>1559</v>
      </c>
      <c r="C49" s="1">
        <v>61</v>
      </c>
      <c r="D49" s="1">
        <f>B49+C49</f>
        <v>1620</v>
      </c>
      <c r="E49" s="2">
        <f>B49/C49</f>
        <v>25.557377049180328</v>
      </c>
    </row>
    <row r="50" spans="1:12" x14ac:dyDescent="0.2">
      <c r="A50" t="s">
        <v>920</v>
      </c>
      <c r="B50" s="1">
        <f>SUM(B47:B49)</f>
        <v>8162</v>
      </c>
      <c r="C50" s="1">
        <f>SUM(C47:C49)</f>
        <v>315</v>
      </c>
      <c r="D50" s="1">
        <f>SUM(D47:D49)</f>
        <v>8477</v>
      </c>
      <c r="E50" s="2">
        <f>B50/C50</f>
        <v>25.911111111111111</v>
      </c>
    </row>
    <row r="51" spans="1:12" x14ac:dyDescent="0.2">
      <c r="B51" s="1"/>
      <c r="E51" s="2"/>
      <c r="I51" s="2"/>
    </row>
    <row r="52" spans="1:12" x14ac:dyDescent="0.2">
      <c r="E52" s="2"/>
      <c r="G52" s="1"/>
    </row>
    <row r="53" spans="1:12" x14ac:dyDescent="0.2">
      <c r="B53" s="32" t="s">
        <v>246</v>
      </c>
      <c r="C53" s="32"/>
      <c r="D53" s="32"/>
      <c r="E53" s="32"/>
      <c r="F53" s="32"/>
      <c r="G53" s="32"/>
      <c r="H53" s="32"/>
      <c r="I53" s="32"/>
      <c r="J53" s="32"/>
    </row>
    <row r="54" spans="1:12" x14ac:dyDescent="0.2">
      <c r="A54" t="s">
        <v>239</v>
      </c>
      <c r="B54" s="15">
        <v>1923</v>
      </c>
      <c r="C54" s="15">
        <v>1926</v>
      </c>
      <c r="D54" s="15">
        <v>1927</v>
      </c>
      <c r="E54" s="15">
        <v>1928</v>
      </c>
      <c r="F54" s="15">
        <v>1929</v>
      </c>
      <c r="G54" s="15">
        <v>1938</v>
      </c>
      <c r="H54" s="15">
        <v>1939</v>
      </c>
      <c r="I54" s="15">
        <v>1940</v>
      </c>
      <c r="J54" s="15">
        <v>1941</v>
      </c>
      <c r="L54" s="1" t="s">
        <v>232</v>
      </c>
    </row>
    <row r="55" spans="1:12" x14ac:dyDescent="0.2">
      <c r="A55" t="s">
        <v>1048</v>
      </c>
      <c r="B55">
        <v>3738</v>
      </c>
      <c r="C55">
        <v>3007</v>
      </c>
      <c r="D55">
        <v>2945</v>
      </c>
      <c r="E55" s="1"/>
      <c r="F55" s="1">
        <v>3424</v>
      </c>
      <c r="G55" s="1"/>
      <c r="H55" s="1"/>
      <c r="I55" s="1">
        <v>5303</v>
      </c>
      <c r="J55" s="1">
        <v>5085</v>
      </c>
      <c r="L55" t="s">
        <v>265</v>
      </c>
    </row>
    <row r="56" spans="1:12" x14ac:dyDescent="0.2">
      <c r="A56" t="s">
        <v>1052</v>
      </c>
      <c r="B56">
        <v>3169</v>
      </c>
      <c r="E56" s="1"/>
      <c r="F56" s="1">
        <v>3674</v>
      </c>
      <c r="G56" s="1"/>
      <c r="H56" s="1"/>
      <c r="I56" s="1">
        <v>7248</v>
      </c>
      <c r="J56" s="1">
        <v>6446</v>
      </c>
      <c r="L56" t="s">
        <v>266</v>
      </c>
    </row>
    <row r="57" spans="1:12" x14ac:dyDescent="0.2">
      <c r="A57" t="s">
        <v>1053</v>
      </c>
      <c r="B57">
        <v>1620</v>
      </c>
      <c r="C57">
        <v>1471</v>
      </c>
      <c r="D57">
        <v>1563</v>
      </c>
      <c r="E57" s="1">
        <v>1717</v>
      </c>
      <c r="F57" s="1"/>
      <c r="G57" s="1">
        <v>2571</v>
      </c>
      <c r="H57" s="1">
        <f>B77+C77</f>
        <v>2679</v>
      </c>
      <c r="I57" s="1">
        <v>2604</v>
      </c>
      <c r="J57" s="1">
        <v>2651</v>
      </c>
    </row>
    <row r="58" spans="1:12" x14ac:dyDescent="0.2">
      <c r="E58" s="1"/>
      <c r="F58" s="1"/>
      <c r="G58" s="1"/>
      <c r="H58" s="1"/>
      <c r="I58" s="1"/>
      <c r="J58" s="1"/>
    </row>
    <row r="59" spans="1:12" x14ac:dyDescent="0.2">
      <c r="B59" s="1"/>
      <c r="C59" s="1" t="s">
        <v>233</v>
      </c>
      <c r="D59" s="1"/>
      <c r="G59" s="1" t="s">
        <v>234</v>
      </c>
      <c r="H59" s="1"/>
      <c r="I59" s="1"/>
      <c r="J59" s="1"/>
    </row>
    <row r="60" spans="1:12" x14ac:dyDescent="0.2">
      <c r="B60" s="1" t="s">
        <v>35</v>
      </c>
      <c r="C60" s="1" t="s">
        <v>915</v>
      </c>
      <c r="D60" s="1" t="s">
        <v>916</v>
      </c>
      <c r="E60" s="1" t="s">
        <v>920</v>
      </c>
      <c r="F60" t="s">
        <v>38</v>
      </c>
      <c r="G60" s="1" t="s">
        <v>915</v>
      </c>
      <c r="H60" s="1" t="s">
        <v>916</v>
      </c>
      <c r="I60" s="1" t="s">
        <v>920</v>
      </c>
      <c r="J60" s="1" t="s">
        <v>38</v>
      </c>
    </row>
    <row r="61" spans="1:12" x14ac:dyDescent="0.2">
      <c r="A61" t="s">
        <v>1052</v>
      </c>
      <c r="B61">
        <v>1928</v>
      </c>
      <c r="C61" s="1">
        <v>3028</v>
      </c>
      <c r="D61" s="1">
        <v>124</v>
      </c>
      <c r="E61" s="1">
        <f>C61+D61</f>
        <v>3152</v>
      </c>
      <c r="F61" s="3">
        <f>C61/D61</f>
        <v>24.419354838709676</v>
      </c>
      <c r="G61" s="1">
        <v>2415</v>
      </c>
      <c r="H61" s="1">
        <v>75</v>
      </c>
      <c r="I61" s="1">
        <f>G61+H61</f>
        <v>2490</v>
      </c>
      <c r="J61" s="3">
        <f>G61/H61</f>
        <v>32.200000000000003</v>
      </c>
      <c r="L61" t="s">
        <v>237</v>
      </c>
    </row>
    <row r="62" spans="1:12" x14ac:dyDescent="0.2">
      <c r="B62">
        <v>1929</v>
      </c>
      <c r="C62" s="1">
        <v>3530</v>
      </c>
      <c r="D62" s="1">
        <v>144</v>
      </c>
      <c r="E62" s="1">
        <f t="shared" ref="E62:E68" si="1">C62+D62</f>
        <v>3674</v>
      </c>
      <c r="F62" s="3">
        <f>C62/D62</f>
        <v>24.513888888888889</v>
      </c>
      <c r="G62" s="1"/>
      <c r="H62" s="1"/>
      <c r="I62" s="1"/>
      <c r="J62" s="1"/>
      <c r="L62" t="s">
        <v>237</v>
      </c>
    </row>
    <row r="63" spans="1:12" x14ac:dyDescent="0.2">
      <c r="B63">
        <v>1940</v>
      </c>
      <c r="C63" s="1"/>
      <c r="D63" s="1"/>
      <c r="E63" s="1"/>
      <c r="F63" s="3"/>
      <c r="G63" s="1">
        <v>4820</v>
      </c>
      <c r="H63" s="1">
        <v>487</v>
      </c>
      <c r="I63" s="1">
        <f>G63+H63</f>
        <v>5307</v>
      </c>
      <c r="J63" s="3">
        <f>G63/H63</f>
        <v>9.897330595482547</v>
      </c>
      <c r="L63" t="s">
        <v>235</v>
      </c>
    </row>
    <row r="64" spans="1:12" x14ac:dyDescent="0.2">
      <c r="A64" t="s">
        <v>1048</v>
      </c>
      <c r="B64">
        <v>1928</v>
      </c>
      <c r="C64" s="1">
        <v>3029</v>
      </c>
      <c r="D64" s="1">
        <v>155</v>
      </c>
      <c r="E64" s="1">
        <f t="shared" si="1"/>
        <v>3184</v>
      </c>
      <c r="F64" s="3">
        <f>C64/D64</f>
        <v>19.541935483870969</v>
      </c>
      <c r="G64" s="1">
        <f>1128+235</f>
        <v>1363</v>
      </c>
      <c r="H64" s="1">
        <v>70</v>
      </c>
      <c r="I64" s="1">
        <f>G64+H64</f>
        <v>1433</v>
      </c>
      <c r="J64" s="3">
        <f>G64/H64</f>
        <v>19.471428571428572</v>
      </c>
      <c r="L64" t="s">
        <v>237</v>
      </c>
    </row>
    <row r="65" spans="1:12" x14ac:dyDescent="0.2">
      <c r="B65">
        <v>1929</v>
      </c>
      <c r="C65" s="1">
        <v>3253</v>
      </c>
      <c r="D65" s="1">
        <v>171</v>
      </c>
      <c r="E65" s="1">
        <f t="shared" si="1"/>
        <v>3424</v>
      </c>
      <c r="F65" s="3">
        <f>C65/D65</f>
        <v>19.023391812865498</v>
      </c>
      <c r="G65" s="1"/>
      <c r="H65" s="1"/>
      <c r="I65" s="1"/>
      <c r="J65" s="1"/>
      <c r="L65" t="s">
        <v>237</v>
      </c>
    </row>
    <row r="66" spans="1:12" x14ac:dyDescent="0.2">
      <c r="A66" t="s">
        <v>1053</v>
      </c>
      <c r="B66">
        <v>1928</v>
      </c>
      <c r="C66" s="1">
        <v>1640</v>
      </c>
      <c r="D66" s="1">
        <v>77</v>
      </c>
      <c r="E66" s="1">
        <f t="shared" si="1"/>
        <v>1717</v>
      </c>
      <c r="F66" s="3">
        <f>C66/D66</f>
        <v>21.2987012987013</v>
      </c>
      <c r="G66" s="1"/>
      <c r="H66" s="1"/>
      <c r="I66" s="1"/>
      <c r="J66" s="1"/>
      <c r="L66" t="s">
        <v>237</v>
      </c>
    </row>
    <row r="67" spans="1:12" x14ac:dyDescent="0.2">
      <c r="B67">
        <v>1930</v>
      </c>
      <c r="C67" s="1"/>
      <c r="D67" s="1"/>
      <c r="E67" s="1"/>
      <c r="F67" s="3"/>
      <c r="G67" s="1">
        <v>963</v>
      </c>
      <c r="H67" s="1">
        <v>28</v>
      </c>
      <c r="I67" s="1">
        <f>G67+H67</f>
        <v>991</v>
      </c>
      <c r="J67" s="3">
        <f>G67/H67</f>
        <v>34.392857142857146</v>
      </c>
      <c r="L67" t="s">
        <v>236</v>
      </c>
    </row>
    <row r="68" spans="1:12" x14ac:dyDescent="0.2">
      <c r="B68" s="15">
        <v>1939</v>
      </c>
      <c r="C68" s="1">
        <v>2569</v>
      </c>
      <c r="D68" s="1">
        <v>111</v>
      </c>
      <c r="E68" s="1">
        <f t="shared" si="1"/>
        <v>2680</v>
      </c>
      <c r="F68" s="2">
        <f>C68/D68</f>
        <v>23.144144144144143</v>
      </c>
      <c r="G68" s="1"/>
      <c r="H68" s="1"/>
      <c r="I68" s="1">
        <v>973</v>
      </c>
      <c r="J68" s="1"/>
      <c r="L68" t="s">
        <v>238</v>
      </c>
    </row>
    <row r="69" spans="1:12" x14ac:dyDescent="0.2">
      <c r="B69" s="1"/>
      <c r="C69" s="1"/>
      <c r="D69" s="1"/>
      <c r="E69" s="1"/>
      <c r="F69" s="1"/>
      <c r="G69" s="1"/>
      <c r="H69" s="1"/>
      <c r="I69" s="1"/>
      <c r="J69" s="1"/>
    </row>
    <row r="70" spans="1:12" x14ac:dyDescent="0.2">
      <c r="B70" s="1"/>
      <c r="C70" s="1"/>
      <c r="D70" s="1"/>
      <c r="E70" s="1"/>
      <c r="F70" s="1"/>
      <c r="G70" s="1"/>
      <c r="H70" s="1"/>
      <c r="I70" s="1"/>
      <c r="J70" s="1"/>
    </row>
    <row r="71" spans="1:12" x14ac:dyDescent="0.2">
      <c r="A71" t="s">
        <v>243</v>
      </c>
      <c r="C71" s="1"/>
      <c r="D71" s="1"/>
      <c r="E71" s="1"/>
      <c r="F71" s="1"/>
      <c r="G71" s="1"/>
      <c r="H71" s="1"/>
    </row>
    <row r="72" spans="1:12" x14ac:dyDescent="0.2">
      <c r="B72" s="1" t="s">
        <v>915</v>
      </c>
      <c r="C72" s="1" t="s">
        <v>916</v>
      </c>
      <c r="D72" t="s">
        <v>38</v>
      </c>
      <c r="E72" s="1"/>
      <c r="F72" s="1"/>
      <c r="G72" s="1"/>
      <c r="H72" s="1"/>
      <c r="I72" s="1"/>
      <c r="J72" s="1"/>
    </row>
    <row r="73" spans="1:12" x14ac:dyDescent="0.2">
      <c r="A73" t="s">
        <v>1047</v>
      </c>
      <c r="B73" s="1">
        <v>1132</v>
      </c>
      <c r="C73" s="1">
        <v>87</v>
      </c>
      <c r="D73" s="2">
        <f>B73/C73</f>
        <v>13.011494252873563</v>
      </c>
      <c r="E73" s="1"/>
      <c r="F73" s="1"/>
      <c r="G73" s="1"/>
      <c r="H73" s="1"/>
      <c r="L73" t="s">
        <v>240</v>
      </c>
    </row>
    <row r="74" spans="1:12" x14ac:dyDescent="0.2">
      <c r="A74" t="s">
        <v>1046</v>
      </c>
      <c r="B74" s="1">
        <v>3916</v>
      </c>
      <c r="C74" s="1">
        <v>218</v>
      </c>
      <c r="D74" s="2">
        <f>B74/C74</f>
        <v>17.963302752293579</v>
      </c>
      <c r="E74" s="1"/>
      <c r="F74" s="1"/>
      <c r="G74" s="1"/>
      <c r="H74" s="1"/>
    </row>
    <row r="75" spans="1:12" x14ac:dyDescent="0.2">
      <c r="A75" t="s">
        <v>1053</v>
      </c>
      <c r="B75" s="1">
        <v>2569</v>
      </c>
      <c r="C75" s="1">
        <v>111</v>
      </c>
      <c r="D75" s="2">
        <f>B75/C75</f>
        <v>23.144144144144143</v>
      </c>
      <c r="E75" s="1"/>
      <c r="F75" s="1"/>
      <c r="G75" s="1"/>
      <c r="H75" s="1"/>
    </row>
    <row r="76" spans="1:12" x14ac:dyDescent="0.2">
      <c r="A76" t="s">
        <v>1049</v>
      </c>
      <c r="B76" s="1">
        <v>3441</v>
      </c>
      <c r="C76" s="1">
        <v>137</v>
      </c>
      <c r="D76" s="2">
        <f>B76/C76</f>
        <v>25.116788321167885</v>
      </c>
      <c r="E76" s="1"/>
      <c r="F76" s="1"/>
      <c r="G76" s="1"/>
      <c r="H76" s="1"/>
    </row>
    <row r="77" spans="1:12" x14ac:dyDescent="0.2">
      <c r="A77" t="s">
        <v>4</v>
      </c>
      <c r="B77" s="1">
        <v>2580</v>
      </c>
      <c r="C77" s="1">
        <v>99</v>
      </c>
      <c r="D77" s="2">
        <f>B77/C77</f>
        <v>26.060606060606062</v>
      </c>
      <c r="E77" s="1"/>
      <c r="F77" s="1"/>
      <c r="G77" s="1"/>
      <c r="H77" s="1"/>
    </row>
    <row r="78" spans="1:12" x14ac:dyDescent="0.2">
      <c r="C78" s="1"/>
      <c r="D78" s="1"/>
      <c r="E78" s="1"/>
      <c r="F78" s="1"/>
      <c r="G78" s="1"/>
      <c r="H78" s="1"/>
    </row>
    <row r="79" spans="1:12" x14ac:dyDescent="0.2">
      <c r="C79" s="1"/>
      <c r="D79" s="1"/>
      <c r="E79" s="1"/>
      <c r="F79" s="1"/>
      <c r="G79" s="1"/>
      <c r="H79" s="1"/>
    </row>
    <row r="80" spans="1:12" x14ac:dyDescent="0.2">
      <c r="C80" s="1"/>
      <c r="D80" s="1"/>
      <c r="E80" s="1"/>
      <c r="F80" s="1"/>
      <c r="G80" s="1"/>
      <c r="H80" s="1"/>
    </row>
    <row r="81" spans="1:12" x14ac:dyDescent="0.2">
      <c r="A81" t="s">
        <v>268</v>
      </c>
      <c r="B81" s="1"/>
      <c r="C81" s="1"/>
      <c r="D81" s="1"/>
      <c r="F81" s="1"/>
      <c r="G81" s="1"/>
      <c r="H81" s="1"/>
    </row>
    <row r="82" spans="1:12" x14ac:dyDescent="0.2">
      <c r="B82" s="1" t="s">
        <v>915</v>
      </c>
      <c r="C82" s="1" t="s">
        <v>916</v>
      </c>
      <c r="D82" s="1" t="s">
        <v>920</v>
      </c>
      <c r="E82" t="s">
        <v>38</v>
      </c>
      <c r="F82" s="1"/>
      <c r="G82" s="1"/>
      <c r="H82" s="1"/>
    </row>
    <row r="83" spans="1:12" x14ac:dyDescent="0.2">
      <c r="A83" t="s">
        <v>1143</v>
      </c>
      <c r="B83" s="1">
        <v>38936</v>
      </c>
      <c r="C83" s="1">
        <v>2325</v>
      </c>
      <c r="D83" s="1">
        <f>B83+C83</f>
        <v>41261</v>
      </c>
      <c r="E83" s="3">
        <f>B83/C83</f>
        <v>16.746666666666666</v>
      </c>
      <c r="F83" s="1"/>
      <c r="G83" s="1"/>
      <c r="H83" s="1"/>
      <c r="L83" t="s">
        <v>267</v>
      </c>
    </row>
    <row r="84" spans="1:12" x14ac:dyDescent="0.2">
      <c r="A84" t="s">
        <v>270</v>
      </c>
      <c r="B84" s="1">
        <v>757</v>
      </c>
      <c r="C84" s="1">
        <v>727</v>
      </c>
      <c r="D84" s="1">
        <f>B84+C84</f>
        <v>1484</v>
      </c>
      <c r="E84" s="3">
        <f>B84/C84</f>
        <v>1.0412654745529573</v>
      </c>
      <c r="F84" s="1"/>
      <c r="G84" s="1"/>
      <c r="H84" s="1"/>
    </row>
    <row r="85" spans="1:12" x14ac:dyDescent="0.2">
      <c r="A85" t="s">
        <v>269</v>
      </c>
      <c r="B85" s="5">
        <f>B84/B83</f>
        <v>1.9442161495787959E-2</v>
      </c>
      <c r="C85" s="5">
        <f>C84/C83</f>
        <v>0.31268817204301075</v>
      </c>
      <c r="D85" s="5">
        <f>D84/D83</f>
        <v>3.596616659799811E-2</v>
      </c>
      <c r="F85" s="1"/>
      <c r="G85" s="1"/>
      <c r="H85" s="1"/>
    </row>
    <row r="86" spans="1:12" x14ac:dyDescent="0.2">
      <c r="D86" s="1"/>
      <c r="E86" s="1"/>
      <c r="F86" s="1"/>
      <c r="G86" s="1"/>
      <c r="H86" s="1"/>
      <c r="I86" s="1"/>
    </row>
  </sheetData>
  <mergeCells count="5">
    <mergeCell ref="B53:J53"/>
    <mergeCell ref="B4:E4"/>
    <mergeCell ref="B22:E22"/>
    <mergeCell ref="F22:I22"/>
    <mergeCell ref="A1:B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E1" workbookViewId="0">
      <selection activeCell="L1" sqref="L1:L3"/>
    </sheetView>
  </sheetViews>
  <sheetFormatPr defaultRowHeight="12.75" x14ac:dyDescent="0.2"/>
  <cols>
    <col min="1" max="1" width="4.5703125" customWidth="1"/>
    <col min="2" max="2" width="18.28515625" customWidth="1"/>
    <col min="5" max="10" width="9.140625" style="1"/>
    <col min="11" max="11" width="3" customWidth="1"/>
    <col min="12" max="12" width="95.140625" customWidth="1"/>
  </cols>
  <sheetData>
    <row r="1" spans="1:14" x14ac:dyDescent="0.2">
      <c r="A1" s="30" t="s">
        <v>227</v>
      </c>
      <c r="B1" s="30"/>
      <c r="C1" s="30"/>
      <c r="D1" s="30"/>
      <c r="E1" s="30"/>
      <c r="L1" t="s">
        <v>1332</v>
      </c>
    </row>
    <row r="2" spans="1:14" x14ac:dyDescent="0.2">
      <c r="L2" t="s">
        <v>1333</v>
      </c>
    </row>
    <row r="3" spans="1:14" x14ac:dyDescent="0.2">
      <c r="L3" t="s">
        <v>1334</v>
      </c>
    </row>
    <row r="4" spans="1:14" x14ac:dyDescent="0.2">
      <c r="C4" s="1" t="s">
        <v>224</v>
      </c>
      <c r="E4" s="1" t="s">
        <v>224</v>
      </c>
      <c r="G4" s="1" t="s">
        <v>223</v>
      </c>
      <c r="I4" s="1" t="s">
        <v>225</v>
      </c>
    </row>
    <row r="5" spans="1:14" x14ac:dyDescent="0.2">
      <c r="A5" t="s">
        <v>1021</v>
      </c>
      <c r="B5" t="s">
        <v>925</v>
      </c>
      <c r="C5" t="s">
        <v>915</v>
      </c>
      <c r="D5" t="s">
        <v>916</v>
      </c>
      <c r="E5" s="1" t="s">
        <v>220</v>
      </c>
      <c r="F5" s="1" t="s">
        <v>221</v>
      </c>
      <c r="G5" t="s">
        <v>915</v>
      </c>
      <c r="H5" t="s">
        <v>916</v>
      </c>
      <c r="I5" t="s">
        <v>915</v>
      </c>
      <c r="J5" t="s">
        <v>916</v>
      </c>
      <c r="K5" s="1"/>
      <c r="L5" s="1" t="s">
        <v>37</v>
      </c>
      <c r="M5" s="1"/>
      <c r="N5" s="1"/>
    </row>
    <row r="6" spans="1:14" x14ac:dyDescent="0.2">
      <c r="A6">
        <v>1</v>
      </c>
      <c r="B6" t="s">
        <v>1022</v>
      </c>
      <c r="C6" s="1">
        <v>317</v>
      </c>
      <c r="D6" s="1">
        <v>6</v>
      </c>
      <c r="E6" s="1">
        <v>323</v>
      </c>
      <c r="G6" s="1">
        <v>337</v>
      </c>
      <c r="H6" s="1">
        <v>7</v>
      </c>
      <c r="I6" s="1">
        <f>G6*(1+$F6/$E6)</f>
        <v>337</v>
      </c>
      <c r="J6" s="1">
        <f>H6*(1+$F6/$E6)</f>
        <v>7</v>
      </c>
      <c r="K6" s="1"/>
      <c r="L6" s="1" t="s">
        <v>219</v>
      </c>
      <c r="M6" s="1"/>
      <c r="N6" s="3"/>
    </row>
    <row r="7" spans="1:14" x14ac:dyDescent="0.2">
      <c r="A7">
        <v>2</v>
      </c>
      <c r="B7" t="s">
        <v>1023</v>
      </c>
      <c r="C7" s="1">
        <v>139</v>
      </c>
      <c r="D7" s="1">
        <v>5</v>
      </c>
      <c r="E7" s="1">
        <v>144</v>
      </c>
      <c r="F7" s="1">
        <v>27</v>
      </c>
      <c r="G7" s="1">
        <v>136</v>
      </c>
      <c r="H7" s="1">
        <v>9</v>
      </c>
      <c r="I7" s="1">
        <f>G7*(1+$F7/$E7)</f>
        <v>161.5</v>
      </c>
      <c r="J7" s="1">
        <f t="shared" ref="J7:J54" si="0">H7*(1+$F7/$E7)</f>
        <v>10.6875</v>
      </c>
      <c r="K7" s="1"/>
      <c r="L7" s="1" t="s">
        <v>222</v>
      </c>
      <c r="M7" s="1"/>
      <c r="N7" s="3"/>
    </row>
    <row r="8" spans="1:14" x14ac:dyDescent="0.2">
      <c r="A8">
        <v>3</v>
      </c>
      <c r="B8" t="s">
        <v>1024</v>
      </c>
      <c r="C8" s="1">
        <v>65</v>
      </c>
      <c r="D8" s="1">
        <v>0</v>
      </c>
      <c r="E8" s="1">
        <v>65</v>
      </c>
      <c r="F8" s="1">
        <v>2</v>
      </c>
      <c r="G8" s="1">
        <v>99</v>
      </c>
      <c r="I8" s="1">
        <f t="shared" ref="I8:I54" si="1">G8*(1+$F8/$E8)</f>
        <v>102.04615384615383</v>
      </c>
      <c r="J8" s="1">
        <f t="shared" si="0"/>
        <v>0</v>
      </c>
      <c r="K8" s="5"/>
      <c r="L8" s="5" t="s">
        <v>228</v>
      </c>
      <c r="M8" s="5"/>
      <c r="N8" s="3"/>
    </row>
    <row r="9" spans="1:14" x14ac:dyDescent="0.2">
      <c r="A9">
        <v>4</v>
      </c>
      <c r="B9" t="s">
        <v>923</v>
      </c>
      <c r="C9" s="1">
        <v>2089</v>
      </c>
      <c r="D9" s="1">
        <v>68</v>
      </c>
      <c r="E9" s="1">
        <v>2157</v>
      </c>
      <c r="G9" s="1">
        <v>2471</v>
      </c>
      <c r="H9" s="1">
        <v>84</v>
      </c>
      <c r="I9" s="1">
        <f t="shared" si="1"/>
        <v>2471</v>
      </c>
      <c r="J9" s="1">
        <f t="shared" si="0"/>
        <v>84</v>
      </c>
      <c r="K9" s="1"/>
      <c r="L9" s="1"/>
      <c r="M9" s="1"/>
      <c r="N9" s="3"/>
    </row>
    <row r="10" spans="1:14" x14ac:dyDescent="0.2">
      <c r="A10">
        <v>5</v>
      </c>
      <c r="B10" t="s">
        <v>1025</v>
      </c>
      <c r="C10" s="1">
        <v>163</v>
      </c>
      <c r="D10" s="1">
        <v>0</v>
      </c>
      <c r="E10" s="1">
        <v>163</v>
      </c>
      <c r="G10" s="1">
        <v>164</v>
      </c>
      <c r="H10" s="1">
        <v>5</v>
      </c>
      <c r="I10" s="1">
        <f t="shared" si="1"/>
        <v>164</v>
      </c>
      <c r="J10" s="1">
        <f t="shared" si="0"/>
        <v>5</v>
      </c>
      <c r="L10" s="1" t="s">
        <v>255</v>
      </c>
      <c r="N10" s="3"/>
    </row>
    <row r="11" spans="1:14" x14ac:dyDescent="0.2">
      <c r="A11">
        <v>6</v>
      </c>
      <c r="B11" t="s">
        <v>1026</v>
      </c>
      <c r="C11" s="1">
        <v>541</v>
      </c>
      <c r="D11" s="1">
        <v>23</v>
      </c>
      <c r="E11" s="1">
        <v>564</v>
      </c>
      <c r="G11" s="1">
        <v>579</v>
      </c>
      <c r="H11" s="1">
        <v>26</v>
      </c>
      <c r="I11" s="1">
        <f t="shared" si="1"/>
        <v>579</v>
      </c>
      <c r="J11" s="1">
        <f t="shared" si="0"/>
        <v>26</v>
      </c>
    </row>
    <row r="12" spans="1:14" x14ac:dyDescent="0.2">
      <c r="A12">
        <v>7</v>
      </c>
      <c r="B12" t="s">
        <v>1027</v>
      </c>
      <c r="C12" s="1">
        <v>7425</v>
      </c>
      <c r="D12" s="1">
        <v>445</v>
      </c>
      <c r="E12" s="1">
        <v>7870</v>
      </c>
      <c r="G12" s="1">
        <v>6851</v>
      </c>
      <c r="H12" s="1">
        <v>420</v>
      </c>
      <c r="I12" s="1">
        <f t="shared" si="1"/>
        <v>6851</v>
      </c>
      <c r="J12" s="1">
        <f t="shared" si="0"/>
        <v>420</v>
      </c>
    </row>
    <row r="13" spans="1:14" x14ac:dyDescent="0.2">
      <c r="A13">
        <v>8</v>
      </c>
      <c r="B13" t="s">
        <v>1028</v>
      </c>
      <c r="C13" s="1">
        <v>1493</v>
      </c>
      <c r="D13" s="1">
        <v>113</v>
      </c>
      <c r="E13" s="1">
        <v>1606</v>
      </c>
      <c r="G13" s="1">
        <v>1450</v>
      </c>
      <c r="H13" s="1">
        <v>127</v>
      </c>
      <c r="I13" s="1">
        <f t="shared" si="1"/>
        <v>1450</v>
      </c>
      <c r="J13" s="1">
        <f t="shared" si="0"/>
        <v>127</v>
      </c>
    </row>
    <row r="14" spans="1:14" x14ac:dyDescent="0.2">
      <c r="A14">
        <v>9</v>
      </c>
      <c r="B14" t="s">
        <v>1029</v>
      </c>
      <c r="C14" s="1">
        <v>4984</v>
      </c>
      <c r="D14" s="1">
        <v>242</v>
      </c>
      <c r="E14" s="1">
        <v>5226</v>
      </c>
      <c r="F14" s="1">
        <v>440</v>
      </c>
      <c r="G14" s="1">
        <v>4929</v>
      </c>
      <c r="H14" s="1">
        <v>252</v>
      </c>
      <c r="I14" s="1">
        <f t="shared" si="1"/>
        <v>5343.9942594718714</v>
      </c>
      <c r="J14" s="1">
        <f>H14*(1+$F14/$E14)</f>
        <v>273.21699196326063</v>
      </c>
    </row>
    <row r="15" spans="1:14" x14ac:dyDescent="0.2">
      <c r="A15">
        <v>10</v>
      </c>
      <c r="B15" t="s">
        <v>1030</v>
      </c>
      <c r="C15" s="1">
        <v>2027</v>
      </c>
      <c r="D15" s="1">
        <v>153</v>
      </c>
      <c r="E15" s="1">
        <v>2180</v>
      </c>
      <c r="F15" s="1">
        <v>263</v>
      </c>
      <c r="G15" s="1">
        <v>2234</v>
      </c>
      <c r="H15" s="1">
        <v>227</v>
      </c>
      <c r="I15" s="1">
        <f t="shared" si="1"/>
        <v>2503.5146788990824</v>
      </c>
      <c r="J15" s="1">
        <f t="shared" si="0"/>
        <v>254.38577981651375</v>
      </c>
      <c r="K15" s="5"/>
      <c r="L15" s="5"/>
      <c r="M15" s="5"/>
    </row>
    <row r="16" spans="1:14" x14ac:dyDescent="0.2">
      <c r="A16">
        <v>11</v>
      </c>
      <c r="B16" t="s">
        <v>1031</v>
      </c>
      <c r="C16" s="1">
        <v>366</v>
      </c>
      <c r="D16" s="1">
        <v>13</v>
      </c>
      <c r="E16" s="1">
        <v>379</v>
      </c>
      <c r="F16" s="1">
        <v>15</v>
      </c>
      <c r="G16" s="1">
        <v>382</v>
      </c>
      <c r="H16" s="1">
        <v>22</v>
      </c>
      <c r="I16" s="1">
        <f t="shared" si="1"/>
        <v>397.11873350923486</v>
      </c>
      <c r="J16" s="1">
        <f t="shared" si="0"/>
        <v>22.87071240105541</v>
      </c>
    </row>
    <row r="17" spans="1:13" x14ac:dyDescent="0.2">
      <c r="A17">
        <v>12</v>
      </c>
      <c r="B17" t="s">
        <v>1032</v>
      </c>
      <c r="C17" s="1">
        <v>2897</v>
      </c>
      <c r="D17" s="1">
        <v>163</v>
      </c>
      <c r="E17" s="1">
        <v>3060</v>
      </c>
      <c r="F17" s="1">
        <v>51</v>
      </c>
      <c r="G17" s="1">
        <v>3059</v>
      </c>
      <c r="H17" s="1">
        <v>206</v>
      </c>
      <c r="I17" s="1">
        <f t="shared" si="1"/>
        <v>3109.9833333333331</v>
      </c>
      <c r="J17" s="1">
        <f t="shared" si="0"/>
        <v>209.43333333333331</v>
      </c>
      <c r="K17" s="5"/>
      <c r="L17" s="5"/>
      <c r="M17" s="5"/>
    </row>
    <row r="18" spans="1:13" x14ac:dyDescent="0.2">
      <c r="A18">
        <v>13</v>
      </c>
      <c r="B18" t="s">
        <v>1033</v>
      </c>
      <c r="C18" s="1">
        <v>1402</v>
      </c>
      <c r="D18" s="1">
        <v>284</v>
      </c>
      <c r="E18" s="1">
        <v>1686</v>
      </c>
      <c r="F18" s="1">
        <v>15</v>
      </c>
      <c r="G18" s="1">
        <v>1139</v>
      </c>
      <c r="H18" s="1">
        <v>257</v>
      </c>
      <c r="I18" s="1">
        <f t="shared" si="1"/>
        <v>1149.1334519572954</v>
      </c>
      <c r="J18" s="1">
        <f t="shared" si="0"/>
        <v>259.28647686832738</v>
      </c>
    </row>
    <row r="19" spans="1:13" x14ac:dyDescent="0.2">
      <c r="A19">
        <v>14</v>
      </c>
      <c r="B19" t="s">
        <v>1034</v>
      </c>
      <c r="C19" s="1">
        <v>1301</v>
      </c>
      <c r="D19" s="1">
        <v>74</v>
      </c>
      <c r="E19" s="1">
        <v>1375</v>
      </c>
      <c r="F19" s="1">
        <v>15</v>
      </c>
      <c r="G19" s="1">
        <v>1222</v>
      </c>
      <c r="H19" s="1">
        <v>87</v>
      </c>
      <c r="I19" s="1">
        <f t="shared" si="1"/>
        <v>1235.3309090909092</v>
      </c>
      <c r="J19" s="1">
        <f t="shared" si="0"/>
        <v>87.949090909090913</v>
      </c>
      <c r="M19" s="1"/>
    </row>
    <row r="20" spans="1:13" x14ac:dyDescent="0.2">
      <c r="A20">
        <v>15</v>
      </c>
      <c r="B20" t="s">
        <v>1035</v>
      </c>
      <c r="C20" s="1">
        <v>935</v>
      </c>
      <c r="D20" s="1">
        <v>49</v>
      </c>
      <c r="E20" s="1">
        <v>984</v>
      </c>
      <c r="F20" s="1">
        <v>22</v>
      </c>
      <c r="G20" s="1">
        <v>809</v>
      </c>
      <c r="H20" s="1">
        <v>32</v>
      </c>
      <c r="I20" s="1">
        <f t="shared" si="1"/>
        <v>827.08739837398377</v>
      </c>
      <c r="J20" s="1">
        <f t="shared" si="0"/>
        <v>32.715447154471548</v>
      </c>
    </row>
    <row r="21" spans="1:13" x14ac:dyDescent="0.2">
      <c r="A21">
        <v>16</v>
      </c>
      <c r="B21" t="s">
        <v>1036</v>
      </c>
      <c r="C21" s="1">
        <v>544</v>
      </c>
      <c r="D21" s="1">
        <v>14</v>
      </c>
      <c r="E21" s="1">
        <v>558</v>
      </c>
      <c r="F21" s="1">
        <v>14</v>
      </c>
      <c r="G21" s="1">
        <v>475</v>
      </c>
      <c r="H21" s="1">
        <v>12</v>
      </c>
      <c r="I21" s="1">
        <f t="shared" si="1"/>
        <v>486.91756272401432</v>
      </c>
      <c r="J21" s="1">
        <f t="shared" si="0"/>
        <v>12.301075268817204</v>
      </c>
    </row>
    <row r="22" spans="1:13" x14ac:dyDescent="0.2">
      <c r="A22">
        <v>17</v>
      </c>
      <c r="B22" t="s">
        <v>1037</v>
      </c>
      <c r="C22" s="1">
        <v>850</v>
      </c>
      <c r="D22" s="1">
        <v>39</v>
      </c>
      <c r="E22" s="1">
        <v>889</v>
      </c>
      <c r="F22" s="1">
        <v>156</v>
      </c>
      <c r="G22" s="1">
        <v>836</v>
      </c>
      <c r="H22" s="1">
        <v>38</v>
      </c>
      <c r="I22" s="1">
        <f t="shared" si="1"/>
        <v>982.6996625421823</v>
      </c>
      <c r="J22" s="1">
        <f t="shared" si="0"/>
        <v>44.668166479190106</v>
      </c>
    </row>
    <row r="23" spans="1:13" x14ac:dyDescent="0.2">
      <c r="A23">
        <v>18</v>
      </c>
      <c r="B23" t="s">
        <v>1038</v>
      </c>
      <c r="C23" s="1">
        <v>66</v>
      </c>
      <c r="D23" s="1">
        <v>3</v>
      </c>
      <c r="E23" s="1">
        <v>69</v>
      </c>
      <c r="F23" s="1">
        <v>1</v>
      </c>
      <c r="G23" s="1">
        <v>69</v>
      </c>
      <c r="H23" s="1">
        <v>8</v>
      </c>
      <c r="I23" s="1">
        <f t="shared" si="1"/>
        <v>70</v>
      </c>
      <c r="J23" s="1">
        <f t="shared" si="0"/>
        <v>8.1159420289855078</v>
      </c>
    </row>
    <row r="24" spans="1:13" x14ac:dyDescent="0.2">
      <c r="A24">
        <v>19</v>
      </c>
      <c r="B24" t="s">
        <v>1039</v>
      </c>
      <c r="C24" s="1">
        <v>130</v>
      </c>
      <c r="D24" s="1">
        <v>2</v>
      </c>
      <c r="E24" s="1">
        <v>132</v>
      </c>
      <c r="F24" s="1">
        <v>1</v>
      </c>
      <c r="G24" s="1">
        <v>117</v>
      </c>
      <c r="H24" s="1">
        <v>4</v>
      </c>
      <c r="I24" s="1">
        <f t="shared" si="1"/>
        <v>117.88636363636364</v>
      </c>
      <c r="J24" s="1">
        <f t="shared" si="0"/>
        <v>4.0303030303030303</v>
      </c>
    </row>
    <row r="25" spans="1:13" x14ac:dyDescent="0.2">
      <c r="A25">
        <v>20</v>
      </c>
      <c r="B25" t="s">
        <v>1040</v>
      </c>
      <c r="C25" s="1">
        <v>324</v>
      </c>
      <c r="D25" s="1">
        <v>9</v>
      </c>
      <c r="E25" s="1">
        <v>333</v>
      </c>
      <c r="F25" s="1">
        <v>11</v>
      </c>
      <c r="G25" s="1">
        <v>300</v>
      </c>
      <c r="H25" s="1">
        <v>12</v>
      </c>
      <c r="I25" s="1">
        <f t="shared" si="1"/>
        <v>309.90990990990991</v>
      </c>
      <c r="J25" s="1">
        <f t="shared" si="0"/>
        <v>12.396396396396398</v>
      </c>
    </row>
    <row r="26" spans="1:13" x14ac:dyDescent="0.2">
      <c r="A26">
        <v>21</v>
      </c>
      <c r="B26" t="s">
        <v>1041</v>
      </c>
      <c r="C26" s="1">
        <v>270</v>
      </c>
      <c r="D26" s="1">
        <v>4</v>
      </c>
      <c r="E26" s="1">
        <v>274</v>
      </c>
      <c r="F26" s="1">
        <v>22</v>
      </c>
      <c r="G26" s="1">
        <v>417</v>
      </c>
      <c r="H26" s="1">
        <v>6</v>
      </c>
      <c r="I26" s="1">
        <f t="shared" si="1"/>
        <v>450.48175182481754</v>
      </c>
      <c r="J26" s="1">
        <f t="shared" si="0"/>
        <v>6.4817518248175183</v>
      </c>
    </row>
    <row r="27" spans="1:13" x14ac:dyDescent="0.2">
      <c r="A27">
        <v>22</v>
      </c>
      <c r="B27" t="s">
        <v>1042</v>
      </c>
      <c r="C27" s="1">
        <v>431</v>
      </c>
      <c r="D27" s="1">
        <v>22</v>
      </c>
      <c r="E27" s="1">
        <v>453</v>
      </c>
      <c r="G27" s="1">
        <v>462</v>
      </c>
      <c r="H27" s="1">
        <v>24</v>
      </c>
      <c r="I27" s="1">
        <f t="shared" si="1"/>
        <v>462</v>
      </c>
      <c r="J27" s="1">
        <f t="shared" si="0"/>
        <v>24</v>
      </c>
    </row>
    <row r="28" spans="1:13" x14ac:dyDescent="0.2">
      <c r="A28">
        <v>23</v>
      </c>
      <c r="B28" t="s">
        <v>1043</v>
      </c>
      <c r="C28" s="1">
        <v>172</v>
      </c>
      <c r="D28" s="1">
        <v>4</v>
      </c>
      <c r="E28" s="1">
        <v>176</v>
      </c>
      <c r="F28" s="1">
        <v>5</v>
      </c>
      <c r="G28" s="1">
        <v>788</v>
      </c>
      <c r="H28" s="1">
        <v>77</v>
      </c>
      <c r="I28" s="1">
        <f t="shared" si="1"/>
        <v>810.38636363636363</v>
      </c>
      <c r="J28" s="1">
        <f t="shared" si="0"/>
        <v>79.1875</v>
      </c>
    </row>
    <row r="29" spans="1:13" x14ac:dyDescent="0.2">
      <c r="A29">
        <v>24</v>
      </c>
      <c r="B29" t="s">
        <v>36</v>
      </c>
      <c r="C29" s="1">
        <v>221</v>
      </c>
      <c r="D29" s="1">
        <v>17</v>
      </c>
      <c r="E29" s="1">
        <v>238</v>
      </c>
      <c r="G29" s="1">
        <v>189</v>
      </c>
      <c r="H29" s="1">
        <v>15</v>
      </c>
      <c r="I29" s="1">
        <f t="shared" si="1"/>
        <v>189</v>
      </c>
      <c r="J29" s="1">
        <f t="shared" si="0"/>
        <v>15</v>
      </c>
    </row>
    <row r="30" spans="1:13" x14ac:dyDescent="0.2">
      <c r="A30">
        <v>25</v>
      </c>
      <c r="B30" t="s">
        <v>1044</v>
      </c>
      <c r="C30" s="1">
        <v>1891</v>
      </c>
      <c r="D30" s="1">
        <v>103</v>
      </c>
      <c r="E30" s="1">
        <v>1994</v>
      </c>
      <c r="F30" s="1">
        <v>108</v>
      </c>
      <c r="G30" s="1">
        <v>2072</v>
      </c>
      <c r="H30" s="1">
        <v>188</v>
      </c>
      <c r="I30" s="1">
        <f t="shared" si="1"/>
        <v>2184.2246740220662</v>
      </c>
      <c r="J30" s="1">
        <f t="shared" si="0"/>
        <v>198.1825476429288</v>
      </c>
    </row>
    <row r="31" spans="1:13" x14ac:dyDescent="0.2">
      <c r="A31">
        <v>26</v>
      </c>
      <c r="B31" t="s">
        <v>1045</v>
      </c>
      <c r="C31" s="1">
        <v>573</v>
      </c>
      <c r="D31" s="1">
        <v>30</v>
      </c>
      <c r="E31" s="1">
        <v>603</v>
      </c>
      <c r="F31" s="1">
        <v>104</v>
      </c>
      <c r="G31" s="1">
        <v>573</v>
      </c>
      <c r="H31" s="1">
        <v>50</v>
      </c>
      <c r="I31" s="1">
        <f t="shared" si="1"/>
        <v>671.82587064676625</v>
      </c>
      <c r="J31" s="1">
        <f t="shared" si="0"/>
        <v>58.623548922056386</v>
      </c>
    </row>
    <row r="32" spans="1:13" x14ac:dyDescent="0.2">
      <c r="A32">
        <v>27</v>
      </c>
      <c r="B32" t="s">
        <v>1046</v>
      </c>
      <c r="C32" s="1">
        <v>209</v>
      </c>
      <c r="D32" s="1">
        <v>60</v>
      </c>
      <c r="E32" s="1">
        <v>269</v>
      </c>
      <c r="F32" s="1">
        <v>79</v>
      </c>
      <c r="G32" s="1">
        <v>366</v>
      </c>
      <c r="H32" s="1">
        <v>112</v>
      </c>
      <c r="I32" s="1">
        <f t="shared" si="1"/>
        <v>473.48698884758363</v>
      </c>
      <c r="J32" s="1">
        <f t="shared" si="0"/>
        <v>144.89219330855019</v>
      </c>
    </row>
    <row r="33" spans="1:10" x14ac:dyDescent="0.2">
      <c r="A33">
        <v>28</v>
      </c>
      <c r="B33" t="s">
        <v>1047</v>
      </c>
      <c r="C33" s="1">
        <v>667</v>
      </c>
      <c r="D33" s="1">
        <v>10</v>
      </c>
      <c r="E33" s="1">
        <v>677</v>
      </c>
      <c r="F33" s="1">
        <v>242</v>
      </c>
      <c r="G33" s="1">
        <v>661</v>
      </c>
      <c r="H33" s="1">
        <v>25</v>
      </c>
      <c r="I33" s="1">
        <f t="shared" si="1"/>
        <v>897.28064992614486</v>
      </c>
      <c r="J33" s="1">
        <f t="shared" si="0"/>
        <v>33.936484490398819</v>
      </c>
    </row>
    <row r="34" spans="1:10" x14ac:dyDescent="0.2">
      <c r="A34">
        <v>29</v>
      </c>
      <c r="B34" t="s">
        <v>1048</v>
      </c>
      <c r="C34" s="1">
        <v>1787</v>
      </c>
      <c r="D34" s="1">
        <v>22</v>
      </c>
      <c r="E34" s="1">
        <v>1809</v>
      </c>
      <c r="F34" s="1">
        <v>469</v>
      </c>
      <c r="G34" s="1">
        <v>1863</v>
      </c>
      <c r="H34" s="1">
        <v>183</v>
      </c>
      <c r="I34" s="1">
        <f t="shared" si="1"/>
        <v>2346</v>
      </c>
      <c r="J34" s="1">
        <f t="shared" si="0"/>
        <v>230.44444444444446</v>
      </c>
    </row>
    <row r="35" spans="1:10" x14ac:dyDescent="0.2">
      <c r="A35">
        <v>30</v>
      </c>
      <c r="B35" t="s">
        <v>1049</v>
      </c>
      <c r="C35" s="1">
        <v>562</v>
      </c>
      <c r="D35" s="1">
        <v>38</v>
      </c>
      <c r="E35" s="1">
        <v>600</v>
      </c>
      <c r="F35" s="1">
        <v>142</v>
      </c>
      <c r="G35" s="1">
        <v>812</v>
      </c>
      <c r="H35" s="1">
        <v>89</v>
      </c>
      <c r="I35" s="1">
        <f t="shared" si="1"/>
        <v>1004.1733333333333</v>
      </c>
      <c r="J35" s="1">
        <f t="shared" si="0"/>
        <v>110.06333333333333</v>
      </c>
    </row>
    <row r="36" spans="1:10" x14ac:dyDescent="0.2">
      <c r="A36">
        <v>31</v>
      </c>
      <c r="B36" t="s">
        <v>1050</v>
      </c>
      <c r="C36" s="1">
        <v>605</v>
      </c>
      <c r="D36" s="1">
        <v>36</v>
      </c>
      <c r="E36" s="1">
        <v>641</v>
      </c>
      <c r="F36" s="1">
        <v>95</v>
      </c>
      <c r="G36" s="1">
        <v>619</v>
      </c>
      <c r="H36" s="1">
        <v>52</v>
      </c>
      <c r="I36" s="1">
        <f t="shared" si="1"/>
        <v>710.7394695787832</v>
      </c>
      <c r="J36" s="1">
        <f t="shared" si="0"/>
        <v>59.706708268330736</v>
      </c>
    </row>
    <row r="37" spans="1:10" x14ac:dyDescent="0.2">
      <c r="A37">
        <v>32</v>
      </c>
      <c r="B37" t="s">
        <v>1051</v>
      </c>
      <c r="C37" s="1">
        <v>1339</v>
      </c>
      <c r="D37" s="1">
        <v>116</v>
      </c>
      <c r="E37" s="1">
        <v>1455</v>
      </c>
      <c r="F37" s="1">
        <v>364</v>
      </c>
      <c r="G37" s="1">
        <v>1821</v>
      </c>
      <c r="H37" s="1">
        <v>138</v>
      </c>
      <c r="I37" s="1">
        <f t="shared" si="1"/>
        <v>2276.5628865979384</v>
      </c>
      <c r="J37" s="1">
        <f t="shared" si="0"/>
        <v>172.52371134020618</v>
      </c>
    </row>
    <row r="38" spans="1:10" x14ac:dyDescent="0.2">
      <c r="A38">
        <v>33</v>
      </c>
      <c r="B38" t="s">
        <v>1052</v>
      </c>
      <c r="C38" s="1">
        <v>434</v>
      </c>
      <c r="D38" s="1">
        <v>52</v>
      </c>
      <c r="E38" s="1">
        <v>486</v>
      </c>
      <c r="F38" s="1">
        <v>756</v>
      </c>
      <c r="G38" s="1">
        <v>757</v>
      </c>
      <c r="H38" s="1">
        <v>75</v>
      </c>
      <c r="I38" s="1">
        <f t="shared" si="1"/>
        <v>1934.5555555555554</v>
      </c>
      <c r="J38" s="1">
        <f t="shared" si="0"/>
        <v>191.66666666666666</v>
      </c>
    </row>
    <row r="39" spans="1:10" x14ac:dyDescent="0.2">
      <c r="A39">
        <v>34</v>
      </c>
      <c r="B39" t="s">
        <v>1053</v>
      </c>
      <c r="C39" s="1">
        <v>237</v>
      </c>
      <c r="D39" s="1">
        <v>14</v>
      </c>
      <c r="E39" s="1">
        <v>251</v>
      </c>
      <c r="F39" s="1">
        <v>234</v>
      </c>
      <c r="G39" s="1">
        <v>267</v>
      </c>
      <c r="H39" s="1">
        <v>23</v>
      </c>
      <c r="I39" s="1">
        <f t="shared" si="1"/>
        <v>515.91633466135465</v>
      </c>
      <c r="J39" s="1">
        <f t="shared" si="0"/>
        <v>44.442231075697215</v>
      </c>
    </row>
    <row r="40" spans="1:10" x14ac:dyDescent="0.2">
      <c r="A40">
        <v>35</v>
      </c>
      <c r="B40" t="s">
        <v>1054</v>
      </c>
      <c r="C40" s="1">
        <v>224</v>
      </c>
      <c r="D40" s="1">
        <v>11</v>
      </c>
      <c r="E40" s="1">
        <v>235</v>
      </c>
      <c r="F40" s="1">
        <v>46</v>
      </c>
      <c r="G40" s="1">
        <v>320</v>
      </c>
      <c r="H40" s="1">
        <v>24</v>
      </c>
      <c r="I40" s="1">
        <f t="shared" si="1"/>
        <v>382.63829787234044</v>
      </c>
      <c r="J40" s="1">
        <f t="shared" si="0"/>
        <v>28.697872340425533</v>
      </c>
    </row>
    <row r="41" spans="1:10" x14ac:dyDescent="0.2">
      <c r="A41">
        <v>36</v>
      </c>
      <c r="B41" t="s">
        <v>1055</v>
      </c>
      <c r="C41" s="1">
        <v>606</v>
      </c>
      <c r="D41" s="1">
        <v>49</v>
      </c>
      <c r="E41" s="1">
        <v>655</v>
      </c>
      <c r="F41" s="1">
        <v>86</v>
      </c>
      <c r="G41" s="1">
        <v>497</v>
      </c>
      <c r="H41" s="1">
        <v>63</v>
      </c>
      <c r="I41" s="1">
        <f t="shared" si="1"/>
        <v>562.2549618320611</v>
      </c>
      <c r="J41" s="1">
        <f t="shared" si="0"/>
        <v>71.271755725190843</v>
      </c>
    </row>
    <row r="42" spans="1:10" x14ac:dyDescent="0.2">
      <c r="A42">
        <v>37</v>
      </c>
      <c r="B42" t="s">
        <v>1056</v>
      </c>
      <c r="C42" s="1">
        <v>585</v>
      </c>
      <c r="D42" s="1">
        <v>23</v>
      </c>
      <c r="E42" s="1">
        <v>608</v>
      </c>
      <c r="F42" s="1">
        <v>226</v>
      </c>
      <c r="G42" s="1">
        <v>630</v>
      </c>
      <c r="H42" s="1">
        <v>21</v>
      </c>
      <c r="I42" s="1">
        <f t="shared" si="1"/>
        <v>864.17763157894728</v>
      </c>
      <c r="J42" s="1">
        <f t="shared" si="0"/>
        <v>28.805921052631575</v>
      </c>
    </row>
    <row r="43" spans="1:10" x14ac:dyDescent="0.2">
      <c r="A43">
        <v>38</v>
      </c>
      <c r="B43" t="s">
        <v>1057</v>
      </c>
      <c r="C43" s="1">
        <v>839</v>
      </c>
      <c r="D43" s="1">
        <v>28</v>
      </c>
      <c r="E43" s="1">
        <v>867</v>
      </c>
      <c r="F43" s="1">
        <v>186</v>
      </c>
      <c r="G43" s="1">
        <v>1583</v>
      </c>
      <c r="H43" s="1">
        <v>58</v>
      </c>
      <c r="I43" s="1">
        <f t="shared" si="1"/>
        <v>1922.6055363321798</v>
      </c>
      <c r="J43" s="1">
        <f t="shared" si="0"/>
        <v>70.442906574394456</v>
      </c>
    </row>
    <row r="44" spans="1:10" x14ac:dyDescent="0.2">
      <c r="A44">
        <v>39</v>
      </c>
      <c r="B44" t="s">
        <v>1058</v>
      </c>
      <c r="C44" s="1">
        <v>119</v>
      </c>
      <c r="D44" s="1">
        <v>3</v>
      </c>
      <c r="E44" s="1">
        <v>122</v>
      </c>
      <c r="F44" s="1">
        <v>8</v>
      </c>
      <c r="G44" s="1">
        <v>137</v>
      </c>
      <c r="H44" s="1">
        <v>1</v>
      </c>
      <c r="I44" s="1">
        <f t="shared" si="1"/>
        <v>145.98360655737707</v>
      </c>
      <c r="J44" s="1">
        <f t="shared" si="0"/>
        <v>1.0655737704918034</v>
      </c>
    </row>
    <row r="45" spans="1:10" x14ac:dyDescent="0.2">
      <c r="A45">
        <v>40</v>
      </c>
      <c r="B45" t="s">
        <v>1059</v>
      </c>
      <c r="C45" s="1">
        <v>258</v>
      </c>
      <c r="D45" s="1">
        <v>4</v>
      </c>
      <c r="E45" s="1">
        <v>262</v>
      </c>
      <c r="F45" s="1">
        <v>10</v>
      </c>
      <c r="G45" s="1">
        <v>173</v>
      </c>
      <c r="H45" s="1">
        <v>7</v>
      </c>
      <c r="I45" s="1">
        <f t="shared" si="1"/>
        <v>179.6030534351145</v>
      </c>
      <c r="J45" s="1">
        <f t="shared" si="0"/>
        <v>7.2671755725190836</v>
      </c>
    </row>
    <row r="46" spans="1:10" x14ac:dyDescent="0.2">
      <c r="A46">
        <v>41</v>
      </c>
      <c r="B46" t="s">
        <v>1060</v>
      </c>
      <c r="C46" s="1">
        <v>39</v>
      </c>
      <c r="D46" s="1">
        <v>2</v>
      </c>
      <c r="E46" s="1">
        <v>41</v>
      </c>
      <c r="F46" s="1">
        <v>7</v>
      </c>
      <c r="G46" s="1">
        <v>27</v>
      </c>
      <c r="I46" s="1">
        <f t="shared" si="1"/>
        <v>31.609756097560975</v>
      </c>
      <c r="J46" s="1">
        <f t="shared" si="0"/>
        <v>0</v>
      </c>
    </row>
    <row r="47" spans="1:10" x14ac:dyDescent="0.2">
      <c r="A47">
        <v>42</v>
      </c>
      <c r="B47" t="s">
        <v>1061</v>
      </c>
      <c r="C47" s="1">
        <v>239</v>
      </c>
      <c r="D47" s="1">
        <v>9</v>
      </c>
      <c r="E47" s="1">
        <v>248</v>
      </c>
      <c r="F47" s="1">
        <v>4</v>
      </c>
      <c r="G47" s="1">
        <v>324</v>
      </c>
      <c r="H47" s="1">
        <v>20</v>
      </c>
      <c r="I47" s="1">
        <f t="shared" si="1"/>
        <v>329.22580645161293</v>
      </c>
      <c r="J47" s="1">
        <f t="shared" si="0"/>
        <v>20.322580645161288</v>
      </c>
    </row>
    <row r="48" spans="1:10" x14ac:dyDescent="0.2">
      <c r="A48">
        <v>43</v>
      </c>
      <c r="B48" t="s">
        <v>1062</v>
      </c>
      <c r="C48" s="1">
        <v>28</v>
      </c>
      <c r="D48" s="1">
        <v>0</v>
      </c>
      <c r="E48" s="1">
        <v>28</v>
      </c>
      <c r="F48" s="1">
        <v>11</v>
      </c>
      <c r="G48" s="1">
        <v>55</v>
      </c>
      <c r="H48" s="1">
        <v>5</v>
      </c>
      <c r="I48" s="1">
        <f t="shared" si="1"/>
        <v>76.607142857142847</v>
      </c>
      <c r="J48" s="1">
        <f t="shared" si="0"/>
        <v>6.9642857142857135</v>
      </c>
    </row>
    <row r="49" spans="1:10" x14ac:dyDescent="0.2">
      <c r="A49">
        <v>44</v>
      </c>
      <c r="B49" t="s">
        <v>1063</v>
      </c>
      <c r="C49" s="1">
        <v>29</v>
      </c>
      <c r="D49" s="1">
        <v>1</v>
      </c>
      <c r="E49" s="1">
        <v>30</v>
      </c>
      <c r="F49" s="1">
        <v>1</v>
      </c>
      <c r="G49" s="1">
        <v>52</v>
      </c>
      <c r="H49" s="1">
        <v>3</v>
      </c>
      <c r="I49" s="1">
        <f t="shared" si="1"/>
        <v>53.733333333333341</v>
      </c>
      <c r="J49" s="1">
        <f t="shared" si="0"/>
        <v>3.1000000000000005</v>
      </c>
    </row>
    <row r="50" spans="1:10" x14ac:dyDescent="0.2">
      <c r="A50">
        <v>45</v>
      </c>
      <c r="B50" t="s">
        <v>1064</v>
      </c>
      <c r="C50" s="1">
        <v>73</v>
      </c>
      <c r="D50" s="1">
        <v>2</v>
      </c>
      <c r="E50" s="1">
        <v>75</v>
      </c>
      <c r="F50" s="1">
        <v>3</v>
      </c>
      <c r="G50" s="1">
        <v>38</v>
      </c>
      <c r="I50" s="1">
        <f t="shared" si="1"/>
        <v>39.520000000000003</v>
      </c>
      <c r="J50" s="1">
        <f t="shared" si="0"/>
        <v>0</v>
      </c>
    </row>
    <row r="51" spans="1:10" x14ac:dyDescent="0.2">
      <c r="A51">
        <v>46</v>
      </c>
      <c r="B51" t="s">
        <v>1065</v>
      </c>
      <c r="C51" s="1">
        <v>70</v>
      </c>
      <c r="D51" s="1">
        <v>1</v>
      </c>
      <c r="E51" s="1">
        <v>71</v>
      </c>
      <c r="F51" s="1">
        <v>7</v>
      </c>
      <c r="G51" s="1">
        <v>48</v>
      </c>
      <c r="H51" s="1">
        <v>2</v>
      </c>
      <c r="I51" s="1">
        <f t="shared" si="1"/>
        <v>52.732394366197184</v>
      </c>
      <c r="J51" s="1">
        <f t="shared" si="0"/>
        <v>2.1971830985915495</v>
      </c>
    </row>
    <row r="52" spans="1:10" x14ac:dyDescent="0.2">
      <c r="A52">
        <v>47</v>
      </c>
      <c r="B52" t="s">
        <v>1066</v>
      </c>
      <c r="C52" s="1">
        <v>327</v>
      </c>
      <c r="D52" s="1">
        <v>13</v>
      </c>
      <c r="E52" s="1">
        <v>340</v>
      </c>
      <c r="F52" s="1">
        <v>2</v>
      </c>
      <c r="G52" s="1">
        <v>463</v>
      </c>
      <c r="H52" s="1">
        <v>19</v>
      </c>
      <c r="I52" s="1">
        <f t="shared" si="1"/>
        <v>465.72352941176467</v>
      </c>
      <c r="J52" s="1">
        <f t="shared" si="0"/>
        <v>19.111764705882351</v>
      </c>
    </row>
    <row r="53" spans="1:10" x14ac:dyDescent="0.2">
      <c r="A53">
        <v>48</v>
      </c>
      <c r="B53" t="s">
        <v>1067</v>
      </c>
      <c r="C53" s="1">
        <v>320</v>
      </c>
      <c r="D53" s="1">
        <v>5</v>
      </c>
      <c r="E53" s="1">
        <v>325</v>
      </c>
      <c r="F53" s="1">
        <v>23</v>
      </c>
      <c r="G53" s="1">
        <v>281</v>
      </c>
      <c r="H53" s="1">
        <v>6</v>
      </c>
      <c r="I53" s="1">
        <f t="shared" si="1"/>
        <v>300.88615384615383</v>
      </c>
      <c r="J53" s="1">
        <f t="shared" si="0"/>
        <v>6.4246153846153842</v>
      </c>
    </row>
    <row r="54" spans="1:10" x14ac:dyDescent="0.2">
      <c r="A54">
        <v>49</v>
      </c>
      <c r="B54" t="s">
        <v>1068</v>
      </c>
      <c r="C54" s="1">
        <v>2590</v>
      </c>
      <c r="D54" s="1">
        <v>106</v>
      </c>
      <c r="E54" s="1">
        <v>2696</v>
      </c>
      <c r="F54" s="1">
        <v>871</v>
      </c>
      <c r="G54" s="1">
        <v>3098</v>
      </c>
      <c r="H54" s="1">
        <v>113</v>
      </c>
      <c r="I54" s="1">
        <f t="shared" si="1"/>
        <v>4098.8746290801191</v>
      </c>
      <c r="J54" s="1">
        <f t="shared" si="0"/>
        <v>149.50704747774481</v>
      </c>
    </row>
    <row r="55" spans="1:10" x14ac:dyDescent="0.2">
      <c r="C55" s="1"/>
      <c r="D55" s="1"/>
    </row>
    <row r="56" spans="1:10" x14ac:dyDescent="0.2">
      <c r="B56" t="s">
        <v>226</v>
      </c>
      <c r="C56" s="1">
        <f>SUM(C6:C54)</f>
        <v>43802</v>
      </c>
      <c r="D56" s="1">
        <f>SUM(D6:D54)</f>
        <v>2490</v>
      </c>
      <c r="E56" s="1">
        <f t="shared" ref="E56:J56" si="2">SUM(E6:E54)</f>
        <v>46292</v>
      </c>
      <c r="F56" s="1">
        <f t="shared" si="2"/>
        <v>5144</v>
      </c>
      <c r="G56" s="1">
        <f t="shared" si="2"/>
        <v>47051</v>
      </c>
      <c r="H56" s="1">
        <f t="shared" si="2"/>
        <v>3234</v>
      </c>
      <c r="I56" s="1">
        <f t="shared" si="2"/>
        <v>53081.932128976943</v>
      </c>
      <c r="J56" s="1">
        <f t="shared" si="2"/>
        <v>3685.3870190291104</v>
      </c>
    </row>
    <row r="58" spans="1:10" x14ac:dyDescent="0.2">
      <c r="B58" t="s">
        <v>253</v>
      </c>
      <c r="I58" s="1">
        <f>I56+J56-G56-H56</f>
        <v>6482.3191480060559</v>
      </c>
    </row>
    <row r="59" spans="1:10" x14ac:dyDescent="0.2">
      <c r="B59" t="s">
        <v>254</v>
      </c>
      <c r="I59" s="14">
        <f>I58/(I56+J56)</f>
        <v>0.114191038881105</v>
      </c>
    </row>
  </sheetData>
  <mergeCells count="1">
    <mergeCell ref="A1:E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opLeftCell="E1" workbookViewId="0">
      <selection activeCell="L1" sqref="L1:L3"/>
    </sheetView>
  </sheetViews>
  <sheetFormatPr defaultRowHeight="12.75" x14ac:dyDescent="0.2"/>
  <cols>
    <col min="1" max="1" width="23.140625" customWidth="1"/>
    <col min="8" max="8" width="11.28515625" bestFit="1" customWidth="1"/>
    <col min="11" max="11" width="2.85546875" customWidth="1"/>
    <col min="12" max="12" width="87.5703125" customWidth="1"/>
  </cols>
  <sheetData>
    <row r="1" spans="1:12" x14ac:dyDescent="0.2">
      <c r="A1" s="30" t="s">
        <v>195</v>
      </c>
      <c r="B1" s="30"/>
      <c r="C1" s="1"/>
      <c r="D1" s="1"/>
      <c r="E1" s="1"/>
      <c r="L1" t="s">
        <v>1332</v>
      </c>
    </row>
    <row r="2" spans="1:12" x14ac:dyDescent="0.2">
      <c r="C2" s="1"/>
      <c r="D2" s="1"/>
      <c r="E2" s="1"/>
      <c r="L2" t="s">
        <v>1333</v>
      </c>
    </row>
    <row r="3" spans="1:12" x14ac:dyDescent="0.2">
      <c r="L3" t="s">
        <v>1334</v>
      </c>
    </row>
    <row r="4" spans="1:12" x14ac:dyDescent="0.2">
      <c r="A4" t="s">
        <v>106</v>
      </c>
    </row>
    <row r="5" spans="1:12" x14ac:dyDescent="0.2">
      <c r="B5" t="s">
        <v>915</v>
      </c>
      <c r="C5" t="s">
        <v>916</v>
      </c>
      <c r="D5" t="s">
        <v>920</v>
      </c>
      <c r="E5" t="s">
        <v>38</v>
      </c>
      <c r="L5" t="s">
        <v>37</v>
      </c>
    </row>
    <row r="6" spans="1:12" x14ac:dyDescent="0.2">
      <c r="A6" t="s">
        <v>1109</v>
      </c>
      <c r="B6" s="1">
        <f>B23</f>
        <v>131195.36082945947</v>
      </c>
      <c r="C6" s="1">
        <f>C23</f>
        <v>7233.1897655813627</v>
      </c>
      <c r="D6" s="1">
        <f>D23</f>
        <v>138428.55059504084</v>
      </c>
      <c r="E6" s="3">
        <f>B6/C6</f>
        <v>18.137967491706576</v>
      </c>
      <c r="H6" s="1"/>
      <c r="I6" s="1"/>
      <c r="J6" s="1"/>
      <c r="L6" t="s">
        <v>107</v>
      </c>
    </row>
    <row r="7" spans="1:12" x14ac:dyDescent="0.2">
      <c r="A7" t="s">
        <v>1141</v>
      </c>
      <c r="B7" s="1">
        <f>F23</f>
        <v>25239.164016735282</v>
      </c>
      <c r="C7" s="1">
        <f>G23</f>
        <v>1779.3803532215688</v>
      </c>
      <c r="D7" s="1">
        <f>H23</f>
        <v>27018.54436995685</v>
      </c>
      <c r="E7" s="3">
        <f>B7/C7</f>
        <v>14.184243391830064</v>
      </c>
    </row>
    <row r="8" spans="1:12" x14ac:dyDescent="0.2">
      <c r="A8" t="s">
        <v>1072</v>
      </c>
      <c r="B8" s="1">
        <f>B6+B7</f>
        <v>156434.52484619475</v>
      </c>
      <c r="C8" s="1">
        <f>C6+C7</f>
        <v>9012.5701188029307</v>
      </c>
      <c r="D8" s="1">
        <f>B8+C8</f>
        <v>165447.09496499767</v>
      </c>
      <c r="E8" s="3">
        <f>B8/C8</f>
        <v>17.357371180927103</v>
      </c>
    </row>
    <row r="9" spans="1:12" x14ac:dyDescent="0.2">
      <c r="B9" s="1"/>
      <c r="C9" s="1"/>
      <c r="D9" s="1"/>
      <c r="L9" t="s">
        <v>358</v>
      </c>
    </row>
    <row r="10" spans="1:12" x14ac:dyDescent="0.2">
      <c r="A10" t="s">
        <v>355</v>
      </c>
      <c r="B10" s="1">
        <f>F23</f>
        <v>25239.164016735282</v>
      </c>
      <c r="C10" s="1">
        <f>G23</f>
        <v>1779.3803532215688</v>
      </c>
      <c r="D10" s="1">
        <f>B10+C10</f>
        <v>27018.54436995685</v>
      </c>
      <c r="E10" s="3">
        <f>B10/C10</f>
        <v>14.184243391830064</v>
      </c>
    </row>
    <row r="11" spans="1:12" x14ac:dyDescent="0.2">
      <c r="A11" t="s">
        <v>356</v>
      </c>
      <c r="B11" s="1">
        <f>B24-D46</f>
        <v>46563.360829459474</v>
      </c>
      <c r="C11" s="1">
        <f>C24-E46</f>
        <v>3914.1897655813623</v>
      </c>
      <c r="D11" s="1">
        <f>B11+C11</f>
        <v>50477.550595040833</v>
      </c>
      <c r="E11" s="3">
        <f>B11/C11</f>
        <v>11.896040718031863</v>
      </c>
    </row>
    <row r="12" spans="1:12" x14ac:dyDescent="0.2">
      <c r="A12" t="s">
        <v>357</v>
      </c>
      <c r="B12" s="1">
        <f>B10+B11</f>
        <v>71802.524846194749</v>
      </c>
      <c r="C12" s="1">
        <f>C10+C11</f>
        <v>5693.5701188029307</v>
      </c>
      <c r="D12" s="1">
        <f>B12+C12</f>
        <v>77496.094964997683</v>
      </c>
      <c r="E12" s="3">
        <f>B12/C12</f>
        <v>12.611160194386292</v>
      </c>
    </row>
    <row r="14" spans="1:12" x14ac:dyDescent="0.2">
      <c r="A14" t="s">
        <v>177</v>
      </c>
    </row>
    <row r="15" spans="1:12" x14ac:dyDescent="0.2">
      <c r="B15" t="s">
        <v>1015</v>
      </c>
      <c r="F15" t="s">
        <v>1115</v>
      </c>
    </row>
    <row r="16" spans="1:12" x14ac:dyDescent="0.2">
      <c r="A16" t="s">
        <v>178</v>
      </c>
      <c r="B16" t="s">
        <v>915</v>
      </c>
      <c r="C16" t="s">
        <v>916</v>
      </c>
      <c r="D16" t="s">
        <v>920</v>
      </c>
      <c r="E16" t="s">
        <v>38</v>
      </c>
      <c r="F16" t="s">
        <v>915</v>
      </c>
      <c r="G16" t="s">
        <v>916</v>
      </c>
      <c r="H16" t="s">
        <v>920</v>
      </c>
      <c r="I16" t="s">
        <v>38</v>
      </c>
    </row>
    <row r="17" spans="1:12" x14ac:dyDescent="0.2">
      <c r="A17" t="s">
        <v>1016</v>
      </c>
      <c r="B17" s="1">
        <f>D17</f>
        <v>5540</v>
      </c>
      <c r="C17">
        <v>0</v>
      </c>
      <c r="D17" s="1">
        <f>D79</f>
        <v>5540</v>
      </c>
      <c r="F17" s="1">
        <f>C29-B17</f>
        <v>0</v>
      </c>
      <c r="G17" s="1">
        <f>D29-C17</f>
        <v>0</v>
      </c>
      <c r="H17" s="1">
        <f>F17+G17</f>
        <v>0</v>
      </c>
      <c r="L17" t="s">
        <v>181</v>
      </c>
    </row>
    <row r="18" spans="1:12" x14ac:dyDescent="0.2">
      <c r="A18" t="s">
        <v>925</v>
      </c>
      <c r="B18" s="1">
        <f>D18-C18</f>
        <v>75465</v>
      </c>
      <c r="C18" s="1">
        <f>D18/(1+E18)</f>
        <v>3208</v>
      </c>
      <c r="D18" s="1">
        <f>D80</f>
        <v>78673</v>
      </c>
      <c r="E18" s="3">
        <f>F30</f>
        <v>23.524002493765586</v>
      </c>
      <c r="F18" s="1">
        <f>C30-B18</f>
        <v>0</v>
      </c>
      <c r="G18" s="1">
        <f>D30-C18</f>
        <v>0</v>
      </c>
      <c r="H18" s="1">
        <f>F18+G18</f>
        <v>0</v>
      </c>
    </row>
    <row r="19" spans="1:12" x14ac:dyDescent="0.2">
      <c r="A19" t="s">
        <v>926</v>
      </c>
      <c r="B19" s="1">
        <f>D19-C19</f>
        <v>22879.766151097232</v>
      </c>
      <c r="C19" s="1">
        <f>D19/(1+E19)</f>
        <v>1719.046237963541</v>
      </c>
      <c r="D19" s="1">
        <f>D81</f>
        <v>24598.812389060771</v>
      </c>
      <c r="E19" s="3">
        <f>E136</f>
        <v>13.309569949788916</v>
      </c>
      <c r="F19" s="1">
        <f>C31+G31-B19</f>
        <v>19296.929976012994</v>
      </c>
      <c r="G19" s="1">
        <f>D31+H31-C19</f>
        <v>1149.493980507164</v>
      </c>
      <c r="H19" s="1">
        <f>F19+G19</f>
        <v>20446.423956520157</v>
      </c>
      <c r="I19" s="2">
        <f>F19/G19</f>
        <v>16.787325817486288</v>
      </c>
    </row>
    <row r="20" spans="1:12" x14ac:dyDescent="0.2">
      <c r="A20" t="s">
        <v>927</v>
      </c>
      <c r="B20" s="1">
        <f>D20-C20</f>
        <v>15088.594678362244</v>
      </c>
      <c r="C20" s="1">
        <f>D20/(1+E20)</f>
        <v>1811.1435276178213</v>
      </c>
      <c r="D20" s="1">
        <f>D82</f>
        <v>16899.738205980066</v>
      </c>
      <c r="E20" s="3">
        <f>E137</f>
        <v>8.3309767825016721</v>
      </c>
      <c r="F20" s="1">
        <f>C32+G32-B20</f>
        <v>5942.2340407222891</v>
      </c>
      <c r="G20" s="1">
        <f>D32+H32-C20</f>
        <v>629.88637271440484</v>
      </c>
      <c r="H20" s="1">
        <f>F20+G20</f>
        <v>6572.1204134366944</v>
      </c>
      <c r="I20" s="2">
        <f>F20/G20</f>
        <v>9.4338190158251631</v>
      </c>
    </row>
    <row r="21" spans="1:12" x14ac:dyDescent="0.2">
      <c r="A21" t="s">
        <v>928</v>
      </c>
      <c r="B21" s="1">
        <f>D21-C21</f>
        <v>12222</v>
      </c>
      <c r="C21" s="1">
        <f>D21/(1+E21)</f>
        <v>495</v>
      </c>
      <c r="D21" s="1">
        <f>D83</f>
        <v>12717</v>
      </c>
      <c r="E21" s="3">
        <f>F33</f>
        <v>24.690909090909091</v>
      </c>
      <c r="F21" s="1">
        <f>C33-B21</f>
        <v>0</v>
      </c>
      <c r="G21" s="1">
        <f>D33-C21</f>
        <v>0</v>
      </c>
      <c r="H21" s="1">
        <f>F21+G21</f>
        <v>0</v>
      </c>
    </row>
    <row r="23" spans="1:12" x14ac:dyDescent="0.2">
      <c r="A23" t="s">
        <v>920</v>
      </c>
      <c r="B23" s="1">
        <f>SUM(B17:B21)</f>
        <v>131195.36082945947</v>
      </c>
      <c r="C23" s="1">
        <f t="shared" ref="C23:H23" si="0">SUM(C17:C21)</f>
        <v>7233.1897655813627</v>
      </c>
      <c r="D23" s="1">
        <f t="shared" si="0"/>
        <v>138428.55059504084</v>
      </c>
      <c r="E23" s="3">
        <f>B23/C23</f>
        <v>18.137967491706576</v>
      </c>
      <c r="F23" s="1">
        <f t="shared" si="0"/>
        <v>25239.164016735282</v>
      </c>
      <c r="G23" s="1">
        <f t="shared" si="0"/>
        <v>1779.3803532215688</v>
      </c>
      <c r="H23" s="1">
        <f t="shared" si="0"/>
        <v>27018.54436995685</v>
      </c>
      <c r="I23" s="2">
        <f>F23/G23</f>
        <v>14.184243391830064</v>
      </c>
    </row>
    <row r="24" spans="1:12" x14ac:dyDescent="0.2">
      <c r="A24" t="s">
        <v>199</v>
      </c>
      <c r="B24" s="1">
        <f>SUM(B19:B21)</f>
        <v>50190.360829459474</v>
      </c>
      <c r="C24" s="1">
        <f>SUM(C19:C21)</f>
        <v>4025.1897655813623</v>
      </c>
      <c r="D24" s="1">
        <f>SUM(D19:D21)</f>
        <v>54215.550595040841</v>
      </c>
      <c r="E24" s="3">
        <f>B24/C24</f>
        <v>12.469066988748649</v>
      </c>
      <c r="F24" s="1">
        <f>SUM(F19:F21)</f>
        <v>25239.164016735282</v>
      </c>
      <c r="G24" s="1">
        <f>SUM(G19:G21)</f>
        <v>1779.3803532215688</v>
      </c>
      <c r="H24" s="1">
        <f>SUM(H19:H21)</f>
        <v>27018.54436995685</v>
      </c>
      <c r="I24" s="3">
        <f>F24/G24</f>
        <v>14.184243391830064</v>
      </c>
    </row>
    <row r="26" spans="1:12" x14ac:dyDescent="0.2">
      <c r="A26" t="s">
        <v>184</v>
      </c>
    </row>
    <row r="27" spans="1:12" x14ac:dyDescent="0.2">
      <c r="B27" t="s">
        <v>98</v>
      </c>
      <c r="C27" t="s">
        <v>100</v>
      </c>
      <c r="G27" t="s">
        <v>101</v>
      </c>
    </row>
    <row r="28" spans="1:12" x14ac:dyDescent="0.2">
      <c r="B28" t="s">
        <v>99</v>
      </c>
      <c r="C28" t="s">
        <v>915</v>
      </c>
      <c r="D28" t="s">
        <v>916</v>
      </c>
      <c r="E28" t="s">
        <v>920</v>
      </c>
      <c r="F28" t="s">
        <v>38</v>
      </c>
      <c r="G28" t="s">
        <v>915</v>
      </c>
      <c r="H28" t="s">
        <v>916</v>
      </c>
      <c r="I28" t="s">
        <v>920</v>
      </c>
      <c r="J28" t="s">
        <v>183</v>
      </c>
    </row>
    <row r="29" spans="1:12" x14ac:dyDescent="0.2">
      <c r="A29" t="s">
        <v>1016</v>
      </c>
      <c r="B29" s="1">
        <v>3</v>
      </c>
      <c r="C29" s="1">
        <v>5540</v>
      </c>
      <c r="D29" s="1">
        <v>0</v>
      </c>
      <c r="E29" s="1">
        <f t="shared" ref="E29:E34" si="1">C29+D29</f>
        <v>5540</v>
      </c>
      <c r="L29" t="s">
        <v>263</v>
      </c>
    </row>
    <row r="30" spans="1:12" x14ac:dyDescent="0.2">
      <c r="A30" t="s">
        <v>925</v>
      </c>
      <c r="B30" s="1">
        <v>104</v>
      </c>
      <c r="C30" s="1">
        <f>75465</f>
        <v>75465</v>
      </c>
      <c r="D30" s="1">
        <v>3208</v>
      </c>
      <c r="E30" s="1">
        <f>C30+D30</f>
        <v>78673</v>
      </c>
      <c r="F30" s="3">
        <f>C30/D30</f>
        <v>23.524002493765586</v>
      </c>
      <c r="L30" t="s">
        <v>96</v>
      </c>
    </row>
    <row r="31" spans="1:12" x14ac:dyDescent="0.2">
      <c r="A31" t="s">
        <v>926</v>
      </c>
      <c r="B31" s="1">
        <v>3073</v>
      </c>
      <c r="C31" s="1">
        <v>41463</v>
      </c>
      <c r="D31" s="1">
        <v>2820</v>
      </c>
      <c r="E31" s="1">
        <f>C31+D31</f>
        <v>44283</v>
      </c>
      <c r="F31" s="3">
        <f>C31/D31</f>
        <v>14.703191489361702</v>
      </c>
      <c r="G31" s="1">
        <f>I31-H31</f>
        <v>713.69612711022842</v>
      </c>
      <c r="H31" s="1">
        <f>I31/(1+F31)</f>
        <v>48.540218470705071</v>
      </c>
      <c r="I31" s="1">
        <f>F57*J57/(E57-F57)</f>
        <v>762.23634558093352</v>
      </c>
      <c r="J31" s="1">
        <f>E31+I31</f>
        <v>45045.236345580932</v>
      </c>
      <c r="L31" t="s">
        <v>97</v>
      </c>
    </row>
    <row r="32" spans="1:12" x14ac:dyDescent="0.2">
      <c r="A32" t="s">
        <v>927</v>
      </c>
      <c r="B32" s="1">
        <v>2939</v>
      </c>
      <c r="C32" s="1">
        <v>19385</v>
      </c>
      <c r="D32" s="1">
        <v>2250</v>
      </c>
      <c r="E32" s="1">
        <f t="shared" si="1"/>
        <v>21635</v>
      </c>
      <c r="F32" s="3">
        <f>C32/D32</f>
        <v>8.6155555555555559</v>
      </c>
      <c r="G32" s="1">
        <f>I32-H32</f>
        <v>1645.8287190845331</v>
      </c>
      <c r="H32" s="1">
        <f>I32/(1+F32)</f>
        <v>191.02990033222591</v>
      </c>
      <c r="I32" s="1">
        <f>F58*J58/(E58-F58)</f>
        <v>1836.858619416759</v>
      </c>
      <c r="J32" s="1">
        <f>E32+I32</f>
        <v>23471.858619416758</v>
      </c>
    </row>
    <row r="33" spans="1:12" x14ac:dyDescent="0.2">
      <c r="A33" t="s">
        <v>928</v>
      </c>
      <c r="B33">
        <v>296</v>
      </c>
      <c r="C33" s="1">
        <v>12222</v>
      </c>
      <c r="D33" s="1">
        <v>495</v>
      </c>
      <c r="E33" s="1">
        <f t="shared" si="1"/>
        <v>12717</v>
      </c>
      <c r="F33" s="3">
        <f>C33/D33</f>
        <v>24.690909090909091</v>
      </c>
    </row>
    <row r="34" spans="1:12" x14ac:dyDescent="0.2">
      <c r="A34" t="s">
        <v>1008</v>
      </c>
      <c r="B34">
        <v>24</v>
      </c>
      <c r="C34" s="1">
        <v>0</v>
      </c>
      <c r="D34" s="1">
        <v>1041</v>
      </c>
      <c r="E34" s="1">
        <f t="shared" si="1"/>
        <v>1041</v>
      </c>
    </row>
    <row r="36" spans="1:12" x14ac:dyDescent="0.2">
      <c r="A36" t="s">
        <v>182</v>
      </c>
      <c r="B36" s="1">
        <f>SUM(B29:B33)</f>
        <v>6415</v>
      </c>
      <c r="C36" s="1">
        <f>SUM(C29:C33)</f>
        <v>154075</v>
      </c>
      <c r="D36" s="1">
        <f>SUM(D29:D33)</f>
        <v>8773</v>
      </c>
      <c r="E36" s="1">
        <f>SUM(E29:E33)</f>
        <v>162848</v>
      </c>
      <c r="F36" s="3">
        <f>C36/D36</f>
        <v>17.562407386298872</v>
      </c>
      <c r="G36" s="1">
        <f>C36+G31+G32</f>
        <v>156434.52484619475</v>
      </c>
      <c r="H36" s="1">
        <f>D36+H31+H32</f>
        <v>9012.5701188029307</v>
      </c>
      <c r="I36" s="1">
        <f>E36+I31+I32</f>
        <v>165447.0949649977</v>
      </c>
    </row>
    <row r="39" spans="1:12" x14ac:dyDescent="0.2">
      <c r="A39" t="s">
        <v>1048</v>
      </c>
      <c r="C39" s="33" t="s">
        <v>137</v>
      </c>
      <c r="D39" s="28"/>
      <c r="E39" s="28"/>
    </row>
    <row r="40" spans="1:12" x14ac:dyDescent="0.2">
      <c r="B40">
        <v>1917</v>
      </c>
      <c r="C40" t="s">
        <v>920</v>
      </c>
      <c r="D40" t="s">
        <v>915</v>
      </c>
      <c r="E40" t="s">
        <v>916</v>
      </c>
    </row>
    <row r="41" spans="1:12" x14ac:dyDescent="0.2">
      <c r="A41" t="s">
        <v>102</v>
      </c>
      <c r="B41" s="1">
        <f>H59-B42</f>
        <v>5506</v>
      </c>
      <c r="C41">
        <v>5604</v>
      </c>
      <c r="D41">
        <f>5849-D42</f>
        <v>5455</v>
      </c>
      <c r="E41">
        <f>342-E42</f>
        <v>149</v>
      </c>
      <c r="L41" t="s">
        <v>115</v>
      </c>
    </row>
    <row r="42" spans="1:12" x14ac:dyDescent="0.2">
      <c r="A42" t="s">
        <v>103</v>
      </c>
      <c r="B42">
        <v>469</v>
      </c>
      <c r="C42">
        <v>587</v>
      </c>
      <c r="D42">
        <v>394</v>
      </c>
      <c r="E42">
        <v>193</v>
      </c>
    </row>
    <row r="43" spans="1:12" x14ac:dyDescent="0.2">
      <c r="A43" t="s">
        <v>116</v>
      </c>
      <c r="B43" s="1">
        <f>B41+B42</f>
        <v>5975</v>
      </c>
      <c r="C43" s="1">
        <f>C41+C42</f>
        <v>6191</v>
      </c>
      <c r="D43" s="1">
        <f>D41+D42</f>
        <v>5849</v>
      </c>
      <c r="E43" s="1">
        <f>E41+E42</f>
        <v>342</v>
      </c>
    </row>
    <row r="44" spans="1:12" x14ac:dyDescent="0.2">
      <c r="C44" t="s">
        <v>1</v>
      </c>
    </row>
    <row r="45" spans="1:12" x14ac:dyDescent="0.2">
      <c r="C45" t="s">
        <v>920</v>
      </c>
      <c r="D45" t="s">
        <v>915</v>
      </c>
      <c r="E45" t="s">
        <v>916</v>
      </c>
      <c r="F45" t="s">
        <v>38</v>
      </c>
    </row>
    <row r="46" spans="1:12" x14ac:dyDescent="0.2">
      <c r="A46" t="s">
        <v>117</v>
      </c>
      <c r="C46">
        <v>3738</v>
      </c>
      <c r="D46">
        <v>3627</v>
      </c>
      <c r="E46">
        <v>111</v>
      </c>
      <c r="F46" s="3">
        <f>D46/E46</f>
        <v>32.675675675675677</v>
      </c>
      <c r="L46" t="s">
        <v>118</v>
      </c>
    </row>
    <row r="48" spans="1:12" x14ac:dyDescent="0.2">
      <c r="A48" t="s">
        <v>108</v>
      </c>
      <c r="C48" s="14">
        <f>D34/(D36-D34)</f>
        <v>0.13463528194516297</v>
      </c>
      <c r="L48" t="s">
        <v>131</v>
      </c>
    </row>
    <row r="51" spans="1:12" x14ac:dyDescent="0.2">
      <c r="A51" t="s">
        <v>80</v>
      </c>
    </row>
    <row r="52" spans="1:12" x14ac:dyDescent="0.2">
      <c r="B52" s="28" t="s">
        <v>84</v>
      </c>
      <c r="C52" s="28"/>
      <c r="D52" s="28"/>
      <c r="E52" s="28"/>
      <c r="F52" s="28"/>
      <c r="G52" s="28"/>
    </row>
    <row r="53" spans="1:12" x14ac:dyDescent="0.2">
      <c r="B53" t="s">
        <v>83</v>
      </c>
      <c r="E53" t="s">
        <v>82</v>
      </c>
      <c r="H53" t="s">
        <v>85</v>
      </c>
    </row>
    <row r="54" spans="1:12" x14ac:dyDescent="0.2">
      <c r="A54" t="s">
        <v>81</v>
      </c>
      <c r="B54" t="s">
        <v>920</v>
      </c>
      <c r="C54" t="s">
        <v>1117</v>
      </c>
      <c r="D54" t="s">
        <v>94</v>
      </c>
      <c r="E54" t="s">
        <v>920</v>
      </c>
      <c r="F54" t="s">
        <v>1117</v>
      </c>
      <c r="G54" t="s">
        <v>94</v>
      </c>
      <c r="H54" s="7">
        <v>6392</v>
      </c>
      <c r="I54" t="s">
        <v>88</v>
      </c>
      <c r="J54" t="s">
        <v>86</v>
      </c>
      <c r="L54" t="s">
        <v>46</v>
      </c>
    </row>
    <row r="55" spans="1:12" x14ac:dyDescent="0.2">
      <c r="A55" t="s">
        <v>1016</v>
      </c>
      <c r="B55" s="1">
        <v>3</v>
      </c>
      <c r="C55" s="1">
        <v>0</v>
      </c>
      <c r="D55" s="1">
        <v>0</v>
      </c>
      <c r="E55" s="1">
        <v>3</v>
      </c>
      <c r="F55" s="1">
        <v>0</v>
      </c>
      <c r="G55" s="1">
        <v>0</v>
      </c>
      <c r="H55" s="1">
        <v>3018</v>
      </c>
      <c r="I55" s="1">
        <v>5540</v>
      </c>
      <c r="J55" s="1">
        <v>5540</v>
      </c>
      <c r="L55" t="s">
        <v>87</v>
      </c>
    </row>
    <row r="56" spans="1:12" x14ac:dyDescent="0.2">
      <c r="A56" t="s">
        <v>925</v>
      </c>
      <c r="B56" s="1">
        <v>94</v>
      </c>
      <c r="C56" s="1">
        <v>0</v>
      </c>
      <c r="D56" s="1">
        <v>0</v>
      </c>
      <c r="E56" s="1">
        <v>104</v>
      </c>
      <c r="F56" s="1">
        <v>0</v>
      </c>
      <c r="G56" s="1">
        <v>0</v>
      </c>
      <c r="H56" s="1">
        <v>71442</v>
      </c>
      <c r="I56" s="1">
        <v>78673</v>
      </c>
      <c r="J56" s="1">
        <v>78673</v>
      </c>
      <c r="L56" t="s">
        <v>89</v>
      </c>
    </row>
    <row r="57" spans="1:12" x14ac:dyDescent="0.2">
      <c r="A57" t="s">
        <v>926</v>
      </c>
      <c r="B57" s="1">
        <v>3049</v>
      </c>
      <c r="C57" s="1">
        <v>476</v>
      </c>
      <c r="D57" s="1">
        <v>618</v>
      </c>
      <c r="E57" s="1">
        <v>3073</v>
      </c>
      <c r="F57" s="1">
        <v>52</v>
      </c>
      <c r="G57" s="1">
        <v>570</v>
      </c>
      <c r="H57" s="1">
        <v>42216</v>
      </c>
      <c r="I57" s="1">
        <v>38948</v>
      </c>
      <c r="J57" s="1">
        <v>44283</v>
      </c>
      <c r="L57" t="s">
        <v>104</v>
      </c>
    </row>
    <row r="58" spans="1:12" x14ac:dyDescent="0.2">
      <c r="A58" t="s">
        <v>927</v>
      </c>
      <c r="B58" s="1">
        <v>2956</v>
      </c>
      <c r="C58" s="1">
        <v>605</v>
      </c>
      <c r="D58" s="1">
        <v>1169</v>
      </c>
      <c r="E58" s="1">
        <v>2939</v>
      </c>
      <c r="F58" s="1">
        <v>230</v>
      </c>
      <c r="G58" s="1">
        <v>1390</v>
      </c>
      <c r="H58" s="1">
        <v>23510</v>
      </c>
      <c r="I58" s="1">
        <v>20557</v>
      </c>
      <c r="J58" s="1">
        <v>21635</v>
      </c>
      <c r="L58" t="s">
        <v>105</v>
      </c>
    </row>
    <row r="59" spans="1:12" x14ac:dyDescent="0.2">
      <c r="A59" t="s">
        <v>1114</v>
      </c>
      <c r="B59" s="1">
        <v>134</v>
      </c>
      <c r="C59" s="1">
        <v>0</v>
      </c>
      <c r="D59" s="1">
        <v>0</v>
      </c>
      <c r="E59" s="1">
        <v>296</v>
      </c>
      <c r="F59" s="1">
        <v>0</v>
      </c>
      <c r="G59" s="1">
        <v>0</v>
      </c>
      <c r="H59" s="1">
        <v>5975</v>
      </c>
      <c r="I59" s="1">
        <v>6191</v>
      </c>
      <c r="J59" s="1">
        <v>12717</v>
      </c>
    </row>
    <row r="60" spans="1:12" x14ac:dyDescent="0.2">
      <c r="A60" t="s">
        <v>1121</v>
      </c>
      <c r="B60" s="1"/>
      <c r="C60" s="1"/>
      <c r="D60" s="1"/>
      <c r="E60" s="1">
        <v>24</v>
      </c>
      <c r="F60" s="1"/>
      <c r="G60" s="1"/>
      <c r="H60" s="1"/>
      <c r="I60" s="1"/>
      <c r="J60" s="1">
        <v>1041</v>
      </c>
    </row>
    <row r="61" spans="1:12" x14ac:dyDescent="0.2">
      <c r="B61" s="1"/>
      <c r="C61" s="1"/>
      <c r="D61" s="1"/>
      <c r="E61" s="1"/>
      <c r="F61" s="1"/>
      <c r="G61" s="1"/>
      <c r="H61" s="1"/>
      <c r="I61" s="1"/>
      <c r="J61" s="1"/>
    </row>
    <row r="62" spans="1:12" x14ac:dyDescent="0.2">
      <c r="A62" t="s">
        <v>919</v>
      </c>
      <c r="B62" s="1">
        <f t="shared" ref="B62:J62" si="2">SUM(B55:B60)</f>
        <v>6236</v>
      </c>
      <c r="C62" s="1">
        <f t="shared" si="2"/>
        <v>1081</v>
      </c>
      <c r="D62" s="1">
        <f t="shared" si="2"/>
        <v>1787</v>
      </c>
      <c r="E62" s="1">
        <f t="shared" si="2"/>
        <v>6439</v>
      </c>
      <c r="F62" s="1">
        <f t="shared" si="2"/>
        <v>282</v>
      </c>
      <c r="G62" s="1">
        <f t="shared" si="2"/>
        <v>1960</v>
      </c>
      <c r="H62" s="1">
        <f t="shared" si="2"/>
        <v>146161</v>
      </c>
      <c r="I62" s="1">
        <f t="shared" si="2"/>
        <v>149909</v>
      </c>
      <c r="J62" s="1">
        <f t="shared" si="2"/>
        <v>163889</v>
      </c>
    </row>
    <row r="63" spans="1:12" x14ac:dyDescent="0.2">
      <c r="B63" s="1"/>
      <c r="C63" s="1"/>
      <c r="D63" s="1"/>
      <c r="E63" s="1"/>
      <c r="F63" s="1"/>
      <c r="G63" s="1"/>
      <c r="H63" s="1"/>
      <c r="I63" s="1"/>
      <c r="J63" s="1"/>
    </row>
    <row r="64" spans="1:12" x14ac:dyDescent="0.2">
      <c r="B64" t="s">
        <v>93</v>
      </c>
    </row>
    <row r="65" spans="1:12" x14ac:dyDescent="0.2">
      <c r="A65" t="s">
        <v>90</v>
      </c>
      <c r="B65">
        <v>1917</v>
      </c>
      <c r="C65">
        <v>1922</v>
      </c>
    </row>
    <row r="66" spans="1:12" x14ac:dyDescent="0.2">
      <c r="A66" t="s">
        <v>91</v>
      </c>
      <c r="B66" s="14">
        <f>(C57+C58)/(B57+B58)</f>
        <v>0.1800166527893422</v>
      </c>
      <c r="C66" s="14">
        <f>(F57+F58)/(E57+E58)</f>
        <v>4.6906187624750496E-2</v>
      </c>
      <c r="D66" s="14"/>
    </row>
    <row r="67" spans="1:12" x14ac:dyDescent="0.2">
      <c r="A67" t="s">
        <v>92</v>
      </c>
      <c r="B67" s="3">
        <f>(H57+H58)/(B57+B58-C57-C58)</f>
        <v>13.348090982940699</v>
      </c>
      <c r="C67" s="3">
        <f>(J57+J58)/(E57+E58-F57-F58)</f>
        <v>11.504013961605585</v>
      </c>
      <c r="D67" s="3"/>
    </row>
    <row r="68" spans="1:12" x14ac:dyDescent="0.2">
      <c r="A68" t="s">
        <v>95</v>
      </c>
      <c r="B68" s="14">
        <f>D62/B62</f>
        <v>0.28656189865298271</v>
      </c>
      <c r="C68" s="14">
        <f>G62/E62</f>
        <v>0.30439509240565304</v>
      </c>
    </row>
    <row r="69" spans="1:12" x14ac:dyDescent="0.2">
      <c r="A69" t="s">
        <v>109</v>
      </c>
      <c r="B69" s="1">
        <f>H57+C57*H57/(B57-C57)</f>
        <v>50025.877963466774</v>
      </c>
      <c r="C69" s="1">
        <f>E31+I31</f>
        <v>45045.236345580932</v>
      </c>
    </row>
    <row r="70" spans="1:12" x14ac:dyDescent="0.2">
      <c r="A70" t="s">
        <v>110</v>
      </c>
      <c r="B70" s="1">
        <f>H58+C58*H58/(B58-C58)</f>
        <v>29560</v>
      </c>
      <c r="C70" s="1">
        <f>E32+I32</f>
        <v>23471.858619416758</v>
      </c>
    </row>
    <row r="71" spans="1:12" x14ac:dyDescent="0.2">
      <c r="A71" t="s">
        <v>111</v>
      </c>
      <c r="B71" s="1">
        <f>B69+B70</f>
        <v>79585.877963466774</v>
      </c>
      <c r="C71" s="1">
        <f>C69+C70</f>
        <v>68517.094964997697</v>
      </c>
    </row>
    <row r="72" spans="1:12" x14ac:dyDescent="0.2">
      <c r="B72" s="1"/>
      <c r="C72" s="1"/>
    </row>
    <row r="73" spans="1:12" x14ac:dyDescent="0.2">
      <c r="A73" t="s">
        <v>112</v>
      </c>
      <c r="B73" s="1">
        <f>B71-C71*(H55+H56)/(I55+I56)</f>
        <v>19003.985724813254</v>
      </c>
      <c r="C73" s="1"/>
      <c r="L73" t="s">
        <v>113</v>
      </c>
    </row>
    <row r="74" spans="1:12" x14ac:dyDescent="0.2">
      <c r="C74" s="1"/>
    </row>
    <row r="76" spans="1:12" x14ac:dyDescent="0.2">
      <c r="A76" t="s">
        <v>114</v>
      </c>
    </row>
    <row r="77" spans="1:12" x14ac:dyDescent="0.2">
      <c r="B77" s="7" t="s">
        <v>16</v>
      </c>
      <c r="E77" t="s">
        <v>15</v>
      </c>
    </row>
    <row r="78" spans="1:12" x14ac:dyDescent="0.2">
      <c r="A78" t="s">
        <v>8</v>
      </c>
      <c r="B78" s="1" t="s">
        <v>17</v>
      </c>
      <c r="C78" t="s">
        <v>14</v>
      </c>
      <c r="D78" t="s">
        <v>7</v>
      </c>
      <c r="E78" t="s">
        <v>7</v>
      </c>
      <c r="F78" t="s">
        <v>18</v>
      </c>
    </row>
    <row r="79" spans="1:12" x14ac:dyDescent="0.2">
      <c r="A79" t="s">
        <v>9</v>
      </c>
      <c r="B79" s="1">
        <f>E29</f>
        <v>5540</v>
      </c>
      <c r="C79" s="5">
        <v>1</v>
      </c>
      <c r="D79" s="1">
        <f>B79*C79</f>
        <v>5540</v>
      </c>
      <c r="E79" s="1">
        <f>D119</f>
        <v>4664</v>
      </c>
      <c r="F79" s="8">
        <f t="shared" ref="F79:F84" si="3">E79/D79</f>
        <v>0.8418772563176895</v>
      </c>
      <c r="G79" s="1"/>
      <c r="H79" s="5"/>
      <c r="L79" t="s">
        <v>119</v>
      </c>
    </row>
    <row r="80" spans="1:12" x14ac:dyDescent="0.2">
      <c r="A80" t="s">
        <v>10</v>
      </c>
      <c r="B80" s="1">
        <f>E30</f>
        <v>78673</v>
      </c>
      <c r="C80" s="5">
        <v>1</v>
      </c>
      <c r="D80" s="1">
        <f>B80*C80</f>
        <v>78673</v>
      </c>
      <c r="E80" s="1">
        <f>D120+D121+D130</f>
        <v>76815</v>
      </c>
      <c r="F80" s="8">
        <f t="shared" si="3"/>
        <v>0.9763832572801342</v>
      </c>
      <c r="G80" s="1"/>
      <c r="H80" s="5"/>
    </row>
    <row r="81" spans="1:12" x14ac:dyDescent="0.2">
      <c r="A81" t="s">
        <v>11</v>
      </c>
      <c r="B81" s="1">
        <f>J31</f>
        <v>45045.236345580932</v>
      </c>
      <c r="C81" s="5">
        <f>E101</f>
        <v>0.54609131585728676</v>
      </c>
      <c r="D81" s="1">
        <f>B81*C81</f>
        <v>24598.812389060771</v>
      </c>
      <c r="E81" s="1">
        <f>D136</f>
        <v>14830.989990224356</v>
      </c>
      <c r="F81" s="8">
        <f t="shared" si="3"/>
        <v>0.60291487880202621</v>
      </c>
      <c r="G81" s="1"/>
      <c r="H81" s="5"/>
    </row>
    <row r="82" spans="1:12" x14ac:dyDescent="0.2">
      <c r="A82" t="s">
        <v>12</v>
      </c>
      <c r="B82" s="1">
        <f>J32</f>
        <v>23471.858619416758</v>
      </c>
      <c r="C82" s="5">
        <v>0.72</v>
      </c>
      <c r="D82" s="1">
        <f>B82*C82</f>
        <v>16899.738205980066</v>
      </c>
      <c r="E82" s="1">
        <f>D137</f>
        <v>8459.0813182321544</v>
      </c>
      <c r="F82" s="8">
        <f t="shared" si="3"/>
        <v>0.50054510993778956</v>
      </c>
      <c r="G82" s="1"/>
      <c r="H82" s="5"/>
      <c r="L82" t="s">
        <v>174</v>
      </c>
    </row>
    <row r="83" spans="1:12" x14ac:dyDescent="0.2">
      <c r="A83" t="s">
        <v>13</v>
      </c>
      <c r="B83" s="1">
        <f>E33</f>
        <v>12717</v>
      </c>
      <c r="C83" s="5">
        <v>1</v>
      </c>
      <c r="D83" s="1">
        <f>B83*C83</f>
        <v>12717</v>
      </c>
      <c r="E83" s="1">
        <f>D122+D127+D128</f>
        <v>6771</v>
      </c>
      <c r="F83" s="8">
        <f t="shared" si="3"/>
        <v>0.53243689549422035</v>
      </c>
      <c r="G83" s="1"/>
      <c r="H83" s="5"/>
    </row>
    <row r="84" spans="1:12" x14ac:dyDescent="0.2">
      <c r="A84" t="s">
        <v>1020</v>
      </c>
      <c r="B84" s="1">
        <f>SUM(B79:B83)</f>
        <v>165447.09496499767</v>
      </c>
      <c r="C84" s="5">
        <f>D84/B84</f>
        <v>0.83669375170550486</v>
      </c>
      <c r="D84" s="1">
        <f>SUM(D79:D83)</f>
        <v>138428.55059504084</v>
      </c>
      <c r="E84" s="1">
        <f>SUM(E79:E83)</f>
        <v>111540.07130845652</v>
      </c>
      <c r="F84" s="8">
        <f t="shared" si="3"/>
        <v>0.80575915032698764</v>
      </c>
      <c r="G84" s="1"/>
      <c r="H84" s="5"/>
    </row>
    <row r="85" spans="1:12" x14ac:dyDescent="0.2">
      <c r="B85" s="1"/>
      <c r="C85" s="5"/>
      <c r="D85" s="1"/>
      <c r="E85" s="1"/>
      <c r="F85" s="1" t="s">
        <v>200</v>
      </c>
      <c r="G85" s="5" t="s">
        <v>175</v>
      </c>
    </row>
    <row r="86" spans="1:12" x14ac:dyDescent="0.2">
      <c r="A86" t="s">
        <v>135</v>
      </c>
      <c r="B86" s="1">
        <f>SUM(B81:B83)</f>
        <v>81234.094964997697</v>
      </c>
      <c r="C86" s="5">
        <f>D86/B86</f>
        <v>0.66739896121697839</v>
      </c>
      <c r="D86" s="1">
        <f>SUM(D81:D83)</f>
        <v>54215.550595040841</v>
      </c>
      <c r="E86" s="1">
        <f>SUM(E81:E83)</f>
        <v>30061.07130845651</v>
      </c>
      <c r="F86" s="1">
        <f>E86*(C158+C159)/(B158+B159)</f>
        <v>56792.277784106256</v>
      </c>
      <c r="G86" s="1">
        <f>F86-E86</f>
        <v>26731.206475649746</v>
      </c>
      <c r="L86" t="s">
        <v>176</v>
      </c>
    </row>
    <row r="87" spans="1:12" x14ac:dyDescent="0.2">
      <c r="A87" t="s">
        <v>134</v>
      </c>
      <c r="B87" s="1">
        <f>B86-C46</f>
        <v>77496.094964997697</v>
      </c>
      <c r="C87" s="5">
        <f>D87/B87</f>
        <v>0.65135605371909133</v>
      </c>
      <c r="D87" s="1">
        <f>D86-$C46</f>
        <v>50477.550595040841</v>
      </c>
      <c r="E87" s="1">
        <f>E86-$C46</f>
        <v>26323.07130845651</v>
      </c>
      <c r="F87" s="8"/>
      <c r="G87" s="1"/>
      <c r="H87" s="5"/>
      <c r="L87" t="s">
        <v>132</v>
      </c>
    </row>
    <row r="88" spans="1:12" x14ac:dyDescent="0.2">
      <c r="A88" t="s">
        <v>215</v>
      </c>
      <c r="B88" s="1"/>
      <c r="C88" s="5"/>
      <c r="D88" s="1"/>
      <c r="E88" s="1"/>
      <c r="F88" s="8"/>
      <c r="G88" s="1"/>
      <c r="H88" s="5"/>
    </row>
    <row r="89" spans="1:12" x14ac:dyDescent="0.2">
      <c r="A89" t="s">
        <v>138</v>
      </c>
      <c r="B89" s="1"/>
      <c r="C89" s="1"/>
      <c r="D89" s="1"/>
      <c r="E89" s="1">
        <f>SUM(E81:E83)*'1933'!D26</f>
        <v>2592.9719548662151</v>
      </c>
      <c r="F89" s="8"/>
      <c r="L89" t="s">
        <v>77</v>
      </c>
    </row>
    <row r="90" spans="1:12" x14ac:dyDescent="0.2">
      <c r="A90" t="s">
        <v>5</v>
      </c>
      <c r="B90" s="1"/>
      <c r="C90" s="1"/>
      <c r="D90" s="1"/>
      <c r="E90" s="1">
        <f>E84+E89</f>
        <v>114133.04326332273</v>
      </c>
    </row>
    <row r="91" spans="1:12" x14ac:dyDescent="0.2">
      <c r="A91" t="s">
        <v>139</v>
      </c>
      <c r="B91" s="1"/>
      <c r="C91" s="1"/>
      <c r="D91" s="1"/>
      <c r="E91" s="1">
        <f>E90-D84</f>
        <v>-24295.507331718109</v>
      </c>
      <c r="L91" t="s">
        <v>140</v>
      </c>
    </row>
    <row r="92" spans="1:12" x14ac:dyDescent="0.2">
      <c r="A92" t="s">
        <v>216</v>
      </c>
      <c r="B92" s="1"/>
      <c r="C92" s="1"/>
      <c r="D92" s="1"/>
      <c r="E92" s="1"/>
    </row>
    <row r="93" spans="1:12" x14ac:dyDescent="0.2">
      <c r="A93" t="s">
        <v>217</v>
      </c>
      <c r="B93" s="1"/>
      <c r="C93" s="1"/>
      <c r="D93" s="1"/>
      <c r="E93" s="14">
        <f>(E79+E80)/(D79+D80)-1</f>
        <v>-3.2465296331920301E-2</v>
      </c>
    </row>
    <row r="94" spans="1:12" x14ac:dyDescent="0.2">
      <c r="B94" s="1"/>
      <c r="C94" s="1"/>
      <c r="D94" s="1"/>
      <c r="E94" s="1"/>
    </row>
    <row r="95" spans="1:12" x14ac:dyDescent="0.2">
      <c r="A95" t="s">
        <v>150</v>
      </c>
      <c r="B95" s="1"/>
      <c r="C95" s="1"/>
      <c r="D95" s="1"/>
      <c r="E95" s="1"/>
    </row>
    <row r="96" spans="1:12" x14ac:dyDescent="0.2">
      <c r="B96" s="1" t="s">
        <v>99</v>
      </c>
      <c r="C96" t="s">
        <v>123</v>
      </c>
      <c r="D96" s="1" t="s">
        <v>1109</v>
      </c>
      <c r="E96" s="1" t="s">
        <v>124</v>
      </c>
    </row>
    <row r="97" spans="1:12" x14ac:dyDescent="0.2">
      <c r="A97" t="s">
        <v>121</v>
      </c>
      <c r="B97" s="1">
        <v>3061</v>
      </c>
      <c r="D97" s="1"/>
      <c r="E97" s="1"/>
      <c r="L97" t="s">
        <v>125</v>
      </c>
    </row>
    <row r="98" spans="1:12" x14ac:dyDescent="0.2">
      <c r="A98" t="s">
        <v>1117</v>
      </c>
      <c r="B98" s="1">
        <v>51</v>
      </c>
      <c r="D98" s="1"/>
      <c r="E98" s="1"/>
    </row>
    <row r="99" spans="1:12" x14ac:dyDescent="0.2">
      <c r="A99" t="s">
        <v>1119</v>
      </c>
      <c r="B99" s="1">
        <v>605</v>
      </c>
      <c r="D99" s="1"/>
      <c r="E99" s="1"/>
    </row>
    <row r="100" spans="1:12" x14ac:dyDescent="0.2">
      <c r="A100" t="s">
        <v>1118</v>
      </c>
      <c r="B100" s="1">
        <v>2405</v>
      </c>
      <c r="D100" s="1"/>
      <c r="E100" s="1"/>
    </row>
    <row r="101" spans="1:12" x14ac:dyDescent="0.2">
      <c r="A101" t="s">
        <v>120</v>
      </c>
      <c r="B101" s="1">
        <v>2261</v>
      </c>
      <c r="C101" s="1">
        <v>42687</v>
      </c>
      <c r="D101" s="1">
        <v>23311</v>
      </c>
      <c r="E101" s="13">
        <f>D101/C101</f>
        <v>0.54609131585728676</v>
      </c>
      <c r="L101" t="s">
        <v>126</v>
      </c>
    </row>
    <row r="102" spans="1:12" x14ac:dyDescent="0.2">
      <c r="A102" t="s">
        <v>122</v>
      </c>
      <c r="B102" s="1">
        <f>B97-B98</f>
        <v>3010</v>
      </c>
      <c r="C102" s="1">
        <v>44283</v>
      </c>
      <c r="D102" s="1"/>
      <c r="E102" s="1"/>
    </row>
    <row r="103" spans="1:12" x14ac:dyDescent="0.2">
      <c r="B103" s="1"/>
      <c r="C103" s="1"/>
      <c r="D103" s="1"/>
      <c r="E103" s="1"/>
    </row>
    <row r="104" spans="1:12" x14ac:dyDescent="0.2">
      <c r="B104" s="1"/>
      <c r="C104" s="1"/>
      <c r="D104" s="1"/>
    </row>
    <row r="105" spans="1:12" x14ac:dyDescent="0.2">
      <c r="A105" t="s">
        <v>127</v>
      </c>
      <c r="B105" s="1"/>
      <c r="C105" s="1"/>
      <c r="D105" s="1"/>
    </row>
    <row r="106" spans="1:12" x14ac:dyDescent="0.2">
      <c r="B106" s="1" t="s">
        <v>915</v>
      </c>
      <c r="C106" s="1" t="s">
        <v>916</v>
      </c>
      <c r="D106" s="1" t="s">
        <v>920</v>
      </c>
      <c r="E106" s="1" t="s">
        <v>38</v>
      </c>
    </row>
    <row r="107" spans="1:12" x14ac:dyDescent="0.2">
      <c r="A107" t="str">
        <f>'1910'!A34</f>
        <v>county jails and workhouses</v>
      </c>
      <c r="B107" s="1">
        <f>'1910'!B34</f>
        <v>32102</v>
      </c>
      <c r="C107" s="1">
        <f>'1910'!C34</f>
        <v>2906</v>
      </c>
      <c r="D107" s="1">
        <f>'1910'!D34</f>
        <v>35008</v>
      </c>
      <c r="E107" s="3">
        <f>B107/C107</f>
        <v>11.046799724707501</v>
      </c>
    </row>
    <row r="108" spans="1:12" x14ac:dyDescent="0.2">
      <c r="A108" t="str">
        <f>'1910'!A35</f>
        <v>municipal jails and workhouses</v>
      </c>
      <c r="B108" s="1">
        <f>'1910'!B35</f>
        <v>7752</v>
      </c>
      <c r="C108" s="1">
        <f>'1910'!C35</f>
        <v>867</v>
      </c>
      <c r="D108" s="1">
        <f>'1910'!D35</f>
        <v>8619</v>
      </c>
      <c r="E108" s="3">
        <f>B108/C108</f>
        <v>8.9411764705882355</v>
      </c>
    </row>
    <row r="109" spans="1:12" x14ac:dyDescent="0.2">
      <c r="A109" t="str">
        <f>'1910'!A10</f>
        <v>total generic jails</v>
      </c>
      <c r="B109" s="1">
        <f>'1910'!B10</f>
        <v>39854</v>
      </c>
      <c r="C109" s="1">
        <f>'1910'!C10</f>
        <v>3773</v>
      </c>
      <c r="D109" s="1">
        <f>'1910'!D10</f>
        <v>43627</v>
      </c>
      <c r="E109" s="3">
        <f>B109/C109</f>
        <v>10.562947256824808</v>
      </c>
    </row>
    <row r="110" spans="1:12" x14ac:dyDescent="0.2">
      <c r="A110" t="str">
        <f>'1910'!A11</f>
        <v>generic jails, adj. to June</v>
      </c>
      <c r="B110" s="1">
        <f>'1910'!B11</f>
        <v>42810.158303273827</v>
      </c>
      <c r="C110" s="1">
        <f>'1910'!C11</f>
        <v>4900.3542168674694</v>
      </c>
      <c r="D110" s="1">
        <f>'1910'!D11</f>
        <v>47710.512520141296</v>
      </c>
      <c r="E110" s="3">
        <f>B110/C110</f>
        <v>8.7361354728026246</v>
      </c>
      <c r="L110" t="s">
        <v>136</v>
      </c>
    </row>
    <row r="111" spans="1:12" x14ac:dyDescent="0.2">
      <c r="B111" s="1"/>
      <c r="C111" s="1"/>
      <c r="D111" s="1"/>
    </row>
    <row r="113" spans="1:12" x14ac:dyDescent="0.2">
      <c r="A113" t="s">
        <v>1116</v>
      </c>
      <c r="B113" s="1"/>
      <c r="C113" s="1"/>
      <c r="D113" s="1"/>
    </row>
    <row r="114" spans="1:12" x14ac:dyDescent="0.2">
      <c r="B114" s="1"/>
      <c r="C114" s="1"/>
      <c r="D114" s="1"/>
    </row>
    <row r="115" spans="1:12" x14ac:dyDescent="0.2">
      <c r="B115" s="1" t="s">
        <v>142</v>
      </c>
      <c r="C115" s="1"/>
      <c r="D115" s="1"/>
      <c r="F115" t="s">
        <v>143</v>
      </c>
    </row>
    <row r="116" spans="1:12" x14ac:dyDescent="0.2">
      <c r="A116" t="s">
        <v>141</v>
      </c>
      <c r="B116" s="1" t="s">
        <v>915</v>
      </c>
      <c r="C116" s="1" t="s">
        <v>916</v>
      </c>
      <c r="D116" s="1" t="s">
        <v>920</v>
      </c>
      <c r="E116" t="s">
        <v>38</v>
      </c>
      <c r="F116" s="1" t="s">
        <v>915</v>
      </c>
      <c r="G116" s="1" t="s">
        <v>916</v>
      </c>
      <c r="H116" s="1" t="s">
        <v>920</v>
      </c>
      <c r="I116" t="s">
        <v>38</v>
      </c>
    </row>
    <row r="117" spans="1:12" x14ac:dyDescent="0.2">
      <c r="A117" t="s">
        <v>1110</v>
      </c>
      <c r="B117" s="1">
        <f>SUM(B119:B128)+B130</f>
        <v>104415.99609699185</v>
      </c>
      <c r="C117" s="1">
        <f>SUM(C119:C128)+C130</f>
        <v>5203.0039030081525</v>
      </c>
      <c r="D117" s="1">
        <f>B117+C117</f>
        <v>109619</v>
      </c>
      <c r="E117" s="3">
        <f>B117/C117</f>
        <v>20.068406259819067</v>
      </c>
      <c r="F117" s="1">
        <f>SUM(F119:F128)</f>
        <v>153016</v>
      </c>
      <c r="G117" s="1">
        <f>SUM(G119:G128)</f>
        <v>13340</v>
      </c>
      <c r="H117" s="1">
        <f>SUM(H119:H128)</f>
        <v>166356</v>
      </c>
      <c r="I117" s="3">
        <f>F117/G117</f>
        <v>11.470464767616193</v>
      </c>
    </row>
    <row r="118" spans="1:12" x14ac:dyDescent="0.2">
      <c r="B118" s="1"/>
      <c r="C118" s="1"/>
      <c r="D118" s="1"/>
      <c r="F118" s="1"/>
      <c r="G118" s="1"/>
      <c r="H118" s="1"/>
    </row>
    <row r="119" spans="1:12" x14ac:dyDescent="0.2">
      <c r="A119" t="s">
        <v>1016</v>
      </c>
      <c r="B119" s="1">
        <v>4664</v>
      </c>
      <c r="C119" s="1">
        <v>0</v>
      </c>
      <c r="D119" s="1">
        <f t="shared" ref="D119:D128" si="4">B119+C119</f>
        <v>4664</v>
      </c>
      <c r="E119" s="3"/>
      <c r="F119" s="1">
        <f t="shared" ref="F119:F128" si="5">H119-G119</f>
        <v>2003</v>
      </c>
      <c r="G119" s="1">
        <v>0</v>
      </c>
      <c r="H119" s="1">
        <v>2003</v>
      </c>
      <c r="L119" t="s">
        <v>144</v>
      </c>
    </row>
    <row r="120" spans="1:12" x14ac:dyDescent="0.2">
      <c r="A120" t="s">
        <v>1142</v>
      </c>
      <c r="B120" s="1">
        <v>60454</v>
      </c>
      <c r="C120" s="1">
        <v>1371</v>
      </c>
      <c r="D120" s="1">
        <f t="shared" si="4"/>
        <v>61825</v>
      </c>
      <c r="E120" s="3">
        <f t="shared" ref="E120:E128" si="6">B120/C120</f>
        <v>44.094821298322394</v>
      </c>
      <c r="F120" s="1">
        <f t="shared" si="5"/>
        <v>11816</v>
      </c>
      <c r="G120" s="1">
        <v>474</v>
      </c>
      <c r="H120" s="1">
        <v>12290</v>
      </c>
      <c r="I120" s="3">
        <f t="shared" ref="I120:I128" si="7">F120/G120</f>
        <v>24.928270042194093</v>
      </c>
    </row>
    <row r="121" spans="1:12" x14ac:dyDescent="0.2">
      <c r="A121" t="s">
        <v>153</v>
      </c>
      <c r="B121" s="1">
        <v>12607</v>
      </c>
      <c r="C121" s="1">
        <v>1839</v>
      </c>
      <c r="D121" s="1">
        <f t="shared" si="4"/>
        <v>14446</v>
      </c>
      <c r="E121" s="3">
        <f t="shared" si="6"/>
        <v>6.8553561718325176</v>
      </c>
      <c r="F121" s="1">
        <f t="shared" si="5"/>
        <v>4063</v>
      </c>
      <c r="G121" s="1">
        <v>724</v>
      </c>
      <c r="H121" s="1">
        <v>4787</v>
      </c>
      <c r="I121" s="3">
        <f t="shared" si="7"/>
        <v>5.6118784530386741</v>
      </c>
      <c r="L121" t="s">
        <v>205</v>
      </c>
    </row>
    <row r="122" spans="1:12" x14ac:dyDescent="0.2">
      <c r="A122" t="s">
        <v>1102</v>
      </c>
      <c r="B122" s="1">
        <v>1922</v>
      </c>
      <c r="C122" s="1">
        <v>233</v>
      </c>
      <c r="D122" s="1">
        <f t="shared" si="4"/>
        <v>2155</v>
      </c>
      <c r="E122" s="3">
        <f t="shared" si="6"/>
        <v>8.2489270386266096</v>
      </c>
      <c r="F122" s="1">
        <f t="shared" si="5"/>
        <v>2641</v>
      </c>
      <c r="G122" s="1">
        <v>213</v>
      </c>
      <c r="H122" s="1">
        <v>2854</v>
      </c>
      <c r="I122" s="3">
        <f t="shared" si="7"/>
        <v>12.39906103286385</v>
      </c>
      <c r="L122" t="s">
        <v>204</v>
      </c>
    </row>
    <row r="123" spans="1:12" x14ac:dyDescent="0.2">
      <c r="A123" t="s">
        <v>1103</v>
      </c>
      <c r="B123" s="1">
        <v>8012</v>
      </c>
      <c r="C123" s="1">
        <v>423</v>
      </c>
      <c r="D123" s="1">
        <f t="shared" si="4"/>
        <v>8435</v>
      </c>
      <c r="E123" s="3">
        <f t="shared" si="6"/>
        <v>18.940898345153663</v>
      </c>
      <c r="F123" s="1">
        <f t="shared" si="5"/>
        <v>53751</v>
      </c>
      <c r="G123" s="1">
        <v>4010</v>
      </c>
      <c r="H123" s="1">
        <v>57761</v>
      </c>
      <c r="I123" s="3">
        <f t="shared" si="7"/>
        <v>13.404239401496259</v>
      </c>
    </row>
    <row r="124" spans="1:12" x14ac:dyDescent="0.2">
      <c r="A124" t="s">
        <v>1073</v>
      </c>
      <c r="B124" s="1">
        <v>1736</v>
      </c>
      <c r="C124" s="1">
        <v>186</v>
      </c>
      <c r="D124" s="1">
        <f t="shared" si="4"/>
        <v>1922</v>
      </c>
      <c r="E124" s="3">
        <f t="shared" si="6"/>
        <v>9.3333333333333339</v>
      </c>
      <c r="F124" s="1">
        <f t="shared" si="5"/>
        <v>34848</v>
      </c>
      <c r="G124" s="1">
        <v>4123</v>
      </c>
      <c r="H124" s="1">
        <v>38971</v>
      </c>
      <c r="I124" s="3">
        <f t="shared" si="7"/>
        <v>8.4520979869027411</v>
      </c>
    </row>
    <row r="125" spans="1:12" x14ac:dyDescent="0.2">
      <c r="A125" t="s">
        <v>1104</v>
      </c>
      <c r="B125" s="1">
        <v>4830</v>
      </c>
      <c r="C125" s="1">
        <v>375</v>
      </c>
      <c r="D125" s="1">
        <f t="shared" si="4"/>
        <v>5205</v>
      </c>
      <c r="E125" s="3">
        <f t="shared" si="6"/>
        <v>12.88</v>
      </c>
      <c r="F125" s="1">
        <f t="shared" si="5"/>
        <v>12709</v>
      </c>
      <c r="G125" s="1">
        <v>815</v>
      </c>
      <c r="H125" s="1">
        <v>13524</v>
      </c>
      <c r="I125" s="3">
        <f t="shared" si="7"/>
        <v>15.593865030674847</v>
      </c>
    </row>
    <row r="126" spans="1:12" x14ac:dyDescent="0.2">
      <c r="A126" t="s">
        <v>1074</v>
      </c>
      <c r="B126" s="1">
        <v>5295</v>
      </c>
      <c r="C126" s="1">
        <v>512</v>
      </c>
      <c r="D126" s="1">
        <f t="shared" si="4"/>
        <v>5807</v>
      </c>
      <c r="E126" s="3">
        <f t="shared" si="6"/>
        <v>10.341796875</v>
      </c>
      <c r="F126" s="1">
        <f t="shared" si="5"/>
        <v>19555</v>
      </c>
      <c r="G126" s="1">
        <v>1760</v>
      </c>
      <c r="H126" s="1">
        <v>21315</v>
      </c>
      <c r="I126" s="3">
        <f t="shared" si="7"/>
        <v>11.110795454545455</v>
      </c>
    </row>
    <row r="127" spans="1:12" x14ac:dyDescent="0.2">
      <c r="A127" t="s">
        <v>1105</v>
      </c>
      <c r="B127" s="1">
        <v>3575</v>
      </c>
      <c r="C127" s="1">
        <v>156</v>
      </c>
      <c r="D127" s="1">
        <f t="shared" si="4"/>
        <v>3731</v>
      </c>
      <c r="E127" s="3">
        <f t="shared" si="6"/>
        <v>22.916666666666668</v>
      </c>
      <c r="F127" s="1">
        <f t="shared" si="5"/>
        <v>6061</v>
      </c>
      <c r="G127" s="1">
        <v>521</v>
      </c>
      <c r="H127" s="1">
        <v>6582</v>
      </c>
      <c r="I127" s="3">
        <f t="shared" si="7"/>
        <v>11.633397312859884</v>
      </c>
    </row>
    <row r="128" spans="1:12" x14ac:dyDescent="0.2">
      <c r="A128" t="s">
        <v>1106</v>
      </c>
      <c r="B128" s="1">
        <v>788</v>
      </c>
      <c r="C128" s="1">
        <v>97</v>
      </c>
      <c r="D128" s="1">
        <f t="shared" si="4"/>
        <v>885</v>
      </c>
      <c r="E128" s="3">
        <f t="shared" si="6"/>
        <v>8.1237113402061851</v>
      </c>
      <c r="F128" s="1">
        <f t="shared" si="5"/>
        <v>5569</v>
      </c>
      <c r="G128" s="1">
        <v>700</v>
      </c>
      <c r="H128" s="1">
        <v>6269</v>
      </c>
      <c r="I128" s="3">
        <f t="shared" si="7"/>
        <v>7.9557142857142855</v>
      </c>
    </row>
    <row r="129" spans="1:12" x14ac:dyDescent="0.2">
      <c r="B129" s="1"/>
      <c r="C129" s="1"/>
      <c r="D129" s="1"/>
      <c r="E129" s="3"/>
      <c r="F129" s="1"/>
      <c r="G129" s="1"/>
      <c r="H129" s="1"/>
    </row>
    <row r="130" spans="1:12" x14ac:dyDescent="0.2">
      <c r="A130" t="s">
        <v>1120</v>
      </c>
      <c r="B130" s="1">
        <f>B149</f>
        <v>532.99609699184737</v>
      </c>
      <c r="C130" s="1">
        <f>C149</f>
        <v>11.003903008152676</v>
      </c>
      <c r="D130" s="1">
        <f>D149</f>
        <v>544</v>
      </c>
      <c r="E130" s="3">
        <f>B130/C130</f>
        <v>48.437004269935507</v>
      </c>
      <c r="F130" s="1"/>
      <c r="G130" s="1"/>
      <c r="H130" s="1"/>
      <c r="L130" t="s">
        <v>145</v>
      </c>
    </row>
    <row r="131" spans="1:12" x14ac:dyDescent="0.2">
      <c r="B131" s="1"/>
      <c r="C131" s="1"/>
      <c r="D131" s="1"/>
      <c r="E131" s="3"/>
      <c r="F131" s="1"/>
      <c r="G131" s="1"/>
      <c r="H131" s="1"/>
    </row>
    <row r="132" spans="1:12" x14ac:dyDescent="0.2">
      <c r="A132" t="s">
        <v>1111</v>
      </c>
      <c r="B132" s="1">
        <f t="shared" ref="B132:D133" si="8">B123+B125</f>
        <v>12842</v>
      </c>
      <c r="C132" s="1">
        <f t="shared" si="8"/>
        <v>798</v>
      </c>
      <c r="D132" s="1">
        <f t="shared" si="8"/>
        <v>13640</v>
      </c>
      <c r="E132" s="3">
        <f>B132/C132</f>
        <v>16.092731829573935</v>
      </c>
      <c r="F132" s="1">
        <f t="shared" ref="F132:H133" si="9">F123+F125</f>
        <v>66460</v>
      </c>
      <c r="G132" s="1">
        <f t="shared" si="9"/>
        <v>4825</v>
      </c>
      <c r="H132" s="1">
        <f t="shared" si="9"/>
        <v>71285</v>
      </c>
      <c r="I132" s="3">
        <f>F132/G132</f>
        <v>13.774093264248705</v>
      </c>
    </row>
    <row r="133" spans="1:12" x14ac:dyDescent="0.2">
      <c r="A133" t="s">
        <v>196</v>
      </c>
      <c r="B133" s="1">
        <f t="shared" si="8"/>
        <v>7031</v>
      </c>
      <c r="C133" s="1">
        <f t="shared" si="8"/>
        <v>698</v>
      </c>
      <c r="D133" s="1">
        <f t="shared" si="8"/>
        <v>7729</v>
      </c>
      <c r="E133" s="3">
        <f>B133/C133</f>
        <v>10.073065902578797</v>
      </c>
      <c r="F133" s="1">
        <f t="shared" si="9"/>
        <v>54403</v>
      </c>
      <c r="G133" s="1">
        <f t="shared" si="9"/>
        <v>5883</v>
      </c>
      <c r="H133" s="1">
        <f t="shared" si="9"/>
        <v>60286</v>
      </c>
      <c r="I133" s="3">
        <f>F133/G133</f>
        <v>9.2474927757946634</v>
      </c>
    </row>
    <row r="134" spans="1:12" x14ac:dyDescent="0.2">
      <c r="B134" s="1"/>
      <c r="C134" s="1"/>
      <c r="D134" s="1"/>
      <c r="E134" s="3"/>
      <c r="F134" s="1"/>
      <c r="G134" s="1"/>
    </row>
    <row r="135" spans="1:12" x14ac:dyDescent="0.2">
      <c r="A135" t="s">
        <v>179</v>
      </c>
      <c r="B135" s="1"/>
      <c r="C135" s="1"/>
      <c r="D135" s="1"/>
      <c r="E135" s="3"/>
    </row>
    <row r="136" spans="1:12" x14ac:dyDescent="0.2">
      <c r="A136" t="s">
        <v>1111</v>
      </c>
      <c r="B136" s="1">
        <f>(B123+B125)*(1+'1933'!B26)</f>
        <v>13794.551436007489</v>
      </c>
      <c r="C136" s="1">
        <f>(C123+C125)*(1+'1933'!C26)</f>
        <v>1036.4385542168675</v>
      </c>
      <c r="D136" s="1">
        <f>B136+C136</f>
        <v>14830.989990224356</v>
      </c>
      <c r="E136" s="3">
        <f>B136/C136</f>
        <v>13.309569949788916</v>
      </c>
      <c r="L136" t="s">
        <v>180</v>
      </c>
    </row>
    <row r="137" spans="1:12" x14ac:dyDescent="0.2">
      <c r="A137" t="s">
        <v>196</v>
      </c>
      <c r="B137" s="1">
        <f>(B124+B126)*(1+'1933'!B26)</f>
        <v>7552.5222820875761</v>
      </c>
      <c r="C137" s="1">
        <f>(C124+C126)*(1+'1933'!C26)</f>
        <v>906.55903614457827</v>
      </c>
      <c r="D137" s="1">
        <f>B137+C137</f>
        <v>8459.0813182321544</v>
      </c>
      <c r="E137" s="3">
        <f>B137/C137</f>
        <v>8.3309767825016721</v>
      </c>
      <c r="F137" s="5"/>
      <c r="G137" s="5"/>
    </row>
    <row r="138" spans="1:12" x14ac:dyDescent="0.2">
      <c r="B138" s="1"/>
      <c r="C138" s="1"/>
      <c r="D138" s="1"/>
      <c r="E138" s="3"/>
    </row>
    <row r="139" spans="1:12" x14ac:dyDescent="0.2">
      <c r="A139" t="s">
        <v>197</v>
      </c>
      <c r="B139" s="1">
        <f>B136+B127</f>
        <v>17369.551436007489</v>
      </c>
      <c r="C139" s="1">
        <f t="shared" ref="B139:D140" si="10">C136+C127</f>
        <v>1192.4385542168675</v>
      </c>
      <c r="D139" s="1">
        <f t="shared" si="10"/>
        <v>18561.989990224356</v>
      </c>
      <c r="E139" s="3">
        <f>B139/C139</f>
        <v>14.566412143068385</v>
      </c>
    </row>
    <row r="140" spans="1:12" x14ac:dyDescent="0.2">
      <c r="A140" t="s">
        <v>198</v>
      </c>
      <c r="B140" s="1">
        <f t="shared" si="10"/>
        <v>8340.5222820875751</v>
      </c>
      <c r="C140" s="1">
        <f t="shared" si="10"/>
        <v>1003.5590361445783</v>
      </c>
      <c r="D140" s="1">
        <f t="shared" si="10"/>
        <v>9344.0813182321544</v>
      </c>
      <c r="E140" s="3">
        <f>B140/C140</f>
        <v>8.3109433343650281</v>
      </c>
    </row>
    <row r="141" spans="1:12" x14ac:dyDescent="0.2">
      <c r="A141" t="s">
        <v>199</v>
      </c>
      <c r="B141" s="1">
        <f>B139+B140+B122</f>
        <v>27632.073718095064</v>
      </c>
      <c r="C141" s="1">
        <f>C139+C140+C122</f>
        <v>2428.9975903614459</v>
      </c>
      <c r="D141" s="1">
        <f>B141+C141</f>
        <v>30061.07130845651</v>
      </c>
      <c r="E141" s="3">
        <f>B141/C141</f>
        <v>11.375916480009058</v>
      </c>
    </row>
    <row r="142" spans="1:12" x14ac:dyDescent="0.2">
      <c r="B142" s="1"/>
      <c r="C142" s="1"/>
      <c r="D142" s="1"/>
      <c r="E142" s="3"/>
    </row>
    <row r="143" spans="1:12" x14ac:dyDescent="0.2">
      <c r="A143" t="s">
        <v>160</v>
      </c>
      <c r="B143" s="1"/>
      <c r="C143" s="1"/>
      <c r="D143" s="1"/>
    </row>
    <row r="144" spans="1:12" x14ac:dyDescent="0.2">
      <c r="B144" t="s">
        <v>149</v>
      </c>
      <c r="C144" s="1"/>
      <c r="D144" s="1"/>
      <c r="E144" t="s">
        <v>1142</v>
      </c>
    </row>
    <row r="145" spans="1:12" x14ac:dyDescent="0.2">
      <c r="B145" s="1" t="s">
        <v>1107</v>
      </c>
      <c r="C145" s="1" t="s">
        <v>1108</v>
      </c>
      <c r="D145" s="1" t="s">
        <v>920</v>
      </c>
      <c r="E145" t="s">
        <v>924</v>
      </c>
      <c r="F145" t="s">
        <v>914</v>
      </c>
      <c r="G145" s="1" t="s">
        <v>920</v>
      </c>
      <c r="H145" t="s">
        <v>38</v>
      </c>
    </row>
    <row r="146" spans="1:12" x14ac:dyDescent="0.2">
      <c r="A146" t="s">
        <v>1033</v>
      </c>
      <c r="B146" s="1">
        <f>D146</f>
        <v>47</v>
      </c>
      <c r="C146" s="1"/>
      <c r="D146" s="1">
        <v>47</v>
      </c>
      <c r="E146">
        <v>2358</v>
      </c>
      <c r="F146">
        <v>0</v>
      </c>
      <c r="G146">
        <f>E146+F146</f>
        <v>2358</v>
      </c>
      <c r="L146" t="s">
        <v>146</v>
      </c>
    </row>
    <row r="147" spans="1:12" x14ac:dyDescent="0.2">
      <c r="A147" t="s">
        <v>1052</v>
      </c>
      <c r="B147" s="1">
        <f>D147*H147/(1+H147)</f>
        <v>47.707598589291436</v>
      </c>
      <c r="C147" s="1">
        <f>D147-B147</f>
        <v>2.292401410708564</v>
      </c>
      <c r="D147" s="1">
        <v>50</v>
      </c>
      <c r="E147">
        <v>2976</v>
      </c>
      <c r="F147">
        <v>143</v>
      </c>
      <c r="G147">
        <f>E147+F147</f>
        <v>3119</v>
      </c>
      <c r="H147" s="3">
        <f>E147/F147</f>
        <v>20.81118881118881</v>
      </c>
      <c r="L147" t="s">
        <v>147</v>
      </c>
    </row>
    <row r="148" spans="1:12" x14ac:dyDescent="0.2">
      <c r="A148" t="s">
        <v>1057</v>
      </c>
      <c r="B148" s="1">
        <f>D148*H148/(1+H148)</f>
        <v>438.28849840255589</v>
      </c>
      <c r="C148" s="1">
        <f>D148-B148</f>
        <v>8.7115015974441121</v>
      </c>
      <c r="D148" s="1">
        <v>447</v>
      </c>
      <c r="E148">
        <v>3069</v>
      </c>
      <c r="F148">
        <v>61</v>
      </c>
      <c r="G148">
        <f>E148+F148</f>
        <v>3130</v>
      </c>
      <c r="H148" s="3">
        <f>E148/F148</f>
        <v>50.311475409836063</v>
      </c>
    </row>
    <row r="149" spans="1:12" x14ac:dyDescent="0.2">
      <c r="A149" t="s">
        <v>148</v>
      </c>
      <c r="B149" s="1">
        <f>SUM(B146:B148)</f>
        <v>532.99609699184737</v>
      </c>
      <c r="C149" s="1">
        <f>SUM(C146:C148)</f>
        <v>11.003903008152676</v>
      </c>
      <c r="D149" s="1">
        <f>SUM(D146:D148)</f>
        <v>544</v>
      </c>
    </row>
    <row r="150" spans="1:12" x14ac:dyDescent="0.2">
      <c r="B150" s="1"/>
      <c r="C150" s="1"/>
      <c r="D150" s="1"/>
    </row>
    <row r="151" spans="1:12" x14ac:dyDescent="0.2">
      <c r="B151" s="1"/>
      <c r="C151" s="1"/>
      <c r="D151" s="1"/>
    </row>
    <row r="152" spans="1:12" x14ac:dyDescent="0.2">
      <c r="A152" t="s">
        <v>151</v>
      </c>
    </row>
    <row r="153" spans="1:12" x14ac:dyDescent="0.2">
      <c r="A153" t="s">
        <v>141</v>
      </c>
      <c r="B153" t="s">
        <v>185</v>
      </c>
      <c r="C153" t="s">
        <v>166</v>
      </c>
    </row>
    <row r="154" spans="1:12" x14ac:dyDescent="0.2">
      <c r="A154" t="s">
        <v>152</v>
      </c>
      <c r="B154">
        <v>3</v>
      </c>
      <c r="C154" s="1">
        <f>E55</f>
        <v>3</v>
      </c>
      <c r="L154" t="s">
        <v>159</v>
      </c>
    </row>
    <row r="155" spans="1:12" x14ac:dyDescent="0.2">
      <c r="A155" t="s">
        <v>1113</v>
      </c>
      <c r="B155">
        <v>61</v>
      </c>
      <c r="C155" s="1"/>
      <c r="L155" t="s">
        <v>173</v>
      </c>
    </row>
    <row r="156" spans="1:12" x14ac:dyDescent="0.2">
      <c r="A156" t="s">
        <v>153</v>
      </c>
      <c r="B156">
        <v>38</v>
      </c>
      <c r="C156" s="1"/>
      <c r="L156" t="s">
        <v>186</v>
      </c>
    </row>
    <row r="157" spans="1:12" x14ac:dyDescent="0.2">
      <c r="A157" t="s">
        <v>167</v>
      </c>
      <c r="B157">
        <f>B155+B156</f>
        <v>99</v>
      </c>
      <c r="C157" s="1">
        <f>E56</f>
        <v>104</v>
      </c>
    </row>
    <row r="158" spans="1:12" x14ac:dyDescent="0.2">
      <c r="A158" t="s">
        <v>154</v>
      </c>
      <c r="B158">
        <v>1900</v>
      </c>
      <c r="C158" s="1">
        <f>B170</f>
        <v>2760.311475409836</v>
      </c>
    </row>
    <row r="159" spans="1:12" x14ac:dyDescent="0.2">
      <c r="A159" t="s">
        <v>155</v>
      </c>
      <c r="B159">
        <v>339</v>
      </c>
      <c r="C159" s="1">
        <f>E58-G58-F58*G58/(E58-F58)+E59-B169</f>
        <v>1469.6744972738111</v>
      </c>
    </row>
    <row r="160" spans="1:12" x14ac:dyDescent="0.2">
      <c r="A160" t="s">
        <v>165</v>
      </c>
      <c r="B160">
        <f>SUM(B154:B159)</f>
        <v>2440</v>
      </c>
      <c r="C160" s="1">
        <f>E62-G62-F62*G62/(E62-F62)</f>
        <v>4389.2290076335876</v>
      </c>
    </row>
    <row r="161" spans="1:12" x14ac:dyDescent="0.2">
      <c r="A161" t="s">
        <v>156</v>
      </c>
      <c r="B161">
        <v>480</v>
      </c>
      <c r="C161" s="1">
        <f>G57+G58</f>
        <v>1960</v>
      </c>
    </row>
    <row r="162" spans="1:12" x14ac:dyDescent="0.2">
      <c r="A162" t="s">
        <v>157</v>
      </c>
      <c r="B162">
        <v>750</v>
      </c>
      <c r="C162" s="1">
        <f>F57+F58</f>
        <v>282</v>
      </c>
    </row>
    <row r="163" spans="1:12" x14ac:dyDescent="0.2">
      <c r="A163" t="s">
        <v>168</v>
      </c>
      <c r="B163">
        <f>B160+B161+B162</f>
        <v>3670</v>
      </c>
      <c r="C163" s="1">
        <f>C160+C161+C162</f>
        <v>6631.2290076335876</v>
      </c>
      <c r="L163" t="s">
        <v>172</v>
      </c>
    </row>
    <row r="165" spans="1:12" x14ac:dyDescent="0.2">
      <c r="B165" s="1"/>
      <c r="C165" s="1"/>
      <c r="D165" s="1"/>
    </row>
    <row r="166" spans="1:12" x14ac:dyDescent="0.2">
      <c r="A166" t="s">
        <v>161</v>
      </c>
      <c r="B166" s="1"/>
      <c r="C166" s="1"/>
      <c r="D166" s="1"/>
    </row>
    <row r="167" spans="1:12" x14ac:dyDescent="0.2">
      <c r="A167" t="s">
        <v>141</v>
      </c>
      <c r="B167" t="s">
        <v>158</v>
      </c>
      <c r="C167" s="1"/>
      <c r="D167" s="1"/>
      <c r="L167" t="s">
        <v>187</v>
      </c>
    </row>
    <row r="168" spans="1:12" x14ac:dyDescent="0.2">
      <c r="A168" t="s">
        <v>162</v>
      </c>
      <c r="B168" s="1">
        <f>E57-G57</f>
        <v>2503</v>
      </c>
      <c r="C168" s="1"/>
      <c r="D168" s="1"/>
    </row>
    <row r="169" spans="1:12" x14ac:dyDescent="0.2">
      <c r="A169" t="s">
        <v>163</v>
      </c>
      <c r="B169" s="1">
        <f>E59*(D122+D127)/(D122+D127+D128)</f>
        <v>257.31147540983608</v>
      </c>
      <c r="C169" s="1"/>
      <c r="D169" s="1"/>
    </row>
    <row r="170" spans="1:12" x14ac:dyDescent="0.2">
      <c r="A170" t="s">
        <v>164</v>
      </c>
      <c r="B170" s="1">
        <f>B168+B169</f>
        <v>2760.311475409836</v>
      </c>
      <c r="C170" s="1"/>
      <c r="D170" s="1"/>
    </row>
    <row r="171" spans="1:12" x14ac:dyDescent="0.2">
      <c r="B171" s="1"/>
      <c r="C171" s="1"/>
      <c r="D171" s="1"/>
    </row>
    <row r="172" spans="1:12" x14ac:dyDescent="0.2">
      <c r="B172" s="1"/>
      <c r="C172" s="1"/>
      <c r="D172" s="1"/>
    </row>
    <row r="173" spans="1:12" x14ac:dyDescent="0.2">
      <c r="A173" t="s">
        <v>188</v>
      </c>
      <c r="B173" s="1"/>
      <c r="C173" s="1"/>
      <c r="D173" s="1"/>
    </row>
    <row r="174" spans="1:12" x14ac:dyDescent="0.2">
      <c r="B174" t="s">
        <v>924</v>
      </c>
      <c r="C174" t="s">
        <v>914</v>
      </c>
      <c r="D174" s="1" t="s">
        <v>920</v>
      </c>
      <c r="E174" t="s">
        <v>38</v>
      </c>
    </row>
    <row r="175" spans="1:12" x14ac:dyDescent="0.2">
      <c r="A175" t="s">
        <v>189</v>
      </c>
      <c r="B175" s="1">
        <f>SUM(B119:B121)</f>
        <v>77725</v>
      </c>
      <c r="C175" s="1">
        <f>SUM(C119:C121)</f>
        <v>3210</v>
      </c>
      <c r="D175" s="1">
        <f>B175+C175</f>
        <v>80935</v>
      </c>
      <c r="E175" s="3">
        <f>B175/C175</f>
        <v>24.213395638629283</v>
      </c>
      <c r="L175" t="s">
        <v>194</v>
      </c>
    </row>
    <row r="176" spans="1:12" x14ac:dyDescent="0.2">
      <c r="A176" t="s">
        <v>190</v>
      </c>
      <c r="B176" s="13">
        <f>('fed-state from 1925'!B10/'fed-state from 1925'!B7)^(1/3)-1</f>
        <v>8.2231427040777572E-2</v>
      </c>
      <c r="C176" s="13">
        <f>('fed-state from 1925'!C10/'fed-state from 1925'!C7)^(1/3)-1</f>
        <v>9.8236106881124163E-2</v>
      </c>
    </row>
    <row r="177" spans="1:12" x14ac:dyDescent="0.2">
      <c r="A177" t="s">
        <v>191</v>
      </c>
      <c r="B177" s="1">
        <f>'fed-state from 1925'!B7*'fed-state from 1925'!B7/'fed-state from 1925'!B10</f>
        <v>69608.259961014337</v>
      </c>
      <c r="C177" s="1">
        <f>'fed-state from 1925'!C7*'fed-state from 1925'!C7/'fed-state from 1925'!C10</f>
        <v>2595.486166007905</v>
      </c>
      <c r="D177" s="1">
        <f>'fed-state from 1925'!D7*'fed-state from 1925'!D7/'fed-state from 1925'!D10</f>
        <v>72198.69027407853</v>
      </c>
      <c r="E177" s="2">
        <f>'fed-state from 1925'!E7*'fed-state from 1925'!E7/'fed-state from 1925'!E10</f>
        <v>26.818967819072679</v>
      </c>
      <c r="L177" t="s">
        <v>193</v>
      </c>
    </row>
    <row r="178" spans="1:12" x14ac:dyDescent="0.2">
      <c r="B178" s="1"/>
      <c r="C178" s="1"/>
      <c r="D178" s="1"/>
    </row>
    <row r="181" spans="1:12" x14ac:dyDescent="0.2">
      <c r="A181" t="s">
        <v>201</v>
      </c>
    </row>
    <row r="182" spans="1:12" x14ac:dyDescent="0.2">
      <c r="B182" t="s">
        <v>202</v>
      </c>
      <c r="C182" t="s">
        <v>203</v>
      </c>
      <c r="D182" t="s">
        <v>208</v>
      </c>
      <c r="L182" t="s">
        <v>206</v>
      </c>
    </row>
    <row r="183" spans="1:12" x14ac:dyDescent="0.2">
      <c r="A183" t="s">
        <v>152</v>
      </c>
      <c r="B183" s="1">
        <f>H119</f>
        <v>2003</v>
      </c>
      <c r="C183" s="1">
        <v>3703</v>
      </c>
      <c r="D183" s="14">
        <f>(C183-B183)/B183-1</f>
        <v>-0.15127309036445336</v>
      </c>
    </row>
    <row r="184" spans="1:12" x14ac:dyDescent="0.2">
      <c r="A184" t="s">
        <v>1113</v>
      </c>
      <c r="B184" s="1">
        <f>H120</f>
        <v>12290</v>
      </c>
      <c r="C184" s="1">
        <v>24255</v>
      </c>
      <c r="D184" s="14">
        <f t="shared" ref="D184:D196" si="11">(C184-B184)/B184-1</f>
        <v>-2.644426362896668E-2</v>
      </c>
    </row>
    <row r="185" spans="1:12" x14ac:dyDescent="0.2">
      <c r="A185" t="s">
        <v>153</v>
      </c>
      <c r="B185" s="1">
        <f>H121</f>
        <v>4787</v>
      </c>
      <c r="C185" s="1">
        <v>9627</v>
      </c>
      <c r="D185" s="14">
        <f t="shared" si="11"/>
        <v>1.1071652391894782E-2</v>
      </c>
    </row>
    <row r="186" spans="1:12" x14ac:dyDescent="0.2">
      <c r="A186" t="s">
        <v>1102</v>
      </c>
      <c r="B186" s="1">
        <f>H122</f>
        <v>2854</v>
      </c>
      <c r="C186" s="1"/>
      <c r="D186" s="14"/>
    </row>
    <row r="187" spans="1:12" x14ac:dyDescent="0.2">
      <c r="A187" t="s">
        <v>154</v>
      </c>
      <c r="B187" s="1">
        <f>H123+H125+H127</f>
        <v>77867</v>
      </c>
      <c r="C187" s="1">
        <v>176573</v>
      </c>
      <c r="D187" s="14">
        <f t="shared" si="11"/>
        <v>0.26762299818921997</v>
      </c>
    </row>
    <row r="188" spans="1:12" x14ac:dyDescent="0.2">
      <c r="A188" t="s">
        <v>155</v>
      </c>
      <c r="B188" s="1">
        <f>H124+H126+H128</f>
        <v>66555</v>
      </c>
      <c r="C188" s="1">
        <v>143335</v>
      </c>
      <c r="D188" s="14">
        <f t="shared" si="11"/>
        <v>0.15363233415971744</v>
      </c>
    </row>
    <row r="189" spans="1:12" x14ac:dyDescent="0.2">
      <c r="B189" s="1"/>
      <c r="C189" s="1"/>
      <c r="D189" s="14"/>
    </row>
    <row r="190" spans="1:12" x14ac:dyDescent="0.2">
      <c r="A190" t="s">
        <v>57</v>
      </c>
      <c r="B190" s="1">
        <f>SUM(B183:B188)</f>
        <v>166356</v>
      </c>
      <c r="C190" s="1">
        <f>SUM(C183:C188)</f>
        <v>357493</v>
      </c>
      <c r="D190" s="14">
        <f t="shared" si="11"/>
        <v>0.1489636682776696</v>
      </c>
    </row>
    <row r="191" spans="1:12" x14ac:dyDescent="0.2">
      <c r="A191" t="s">
        <v>209</v>
      </c>
      <c r="B191" s="1">
        <v>166356</v>
      </c>
      <c r="C191" s="1">
        <v>357493</v>
      </c>
      <c r="D191" s="14">
        <f t="shared" si="11"/>
        <v>0.1489636682776696</v>
      </c>
      <c r="L191" t="s">
        <v>207</v>
      </c>
    </row>
    <row r="193" spans="1:12" x14ac:dyDescent="0.2">
      <c r="A193" t="s">
        <v>212</v>
      </c>
      <c r="B193" s="1">
        <f>SUM(B184:B186)</f>
        <v>19931</v>
      </c>
      <c r="C193" s="1">
        <f>SUM(C184:C186)</f>
        <v>33882</v>
      </c>
      <c r="D193" s="14">
        <f t="shared" si="11"/>
        <v>-0.30003512116802966</v>
      </c>
      <c r="L193" t="s">
        <v>211</v>
      </c>
    </row>
    <row r="194" spans="1:12" x14ac:dyDescent="0.2">
      <c r="A194" t="s">
        <v>213</v>
      </c>
      <c r="B194" s="1">
        <f>SUM(B186:B188)</f>
        <v>147276</v>
      </c>
      <c r="C194" s="1">
        <f>SUM(C186:C188)</f>
        <v>319908</v>
      </c>
      <c r="D194" s="14">
        <f t="shared" si="11"/>
        <v>0.17216654444716051</v>
      </c>
      <c r="L194" t="s">
        <v>214</v>
      </c>
    </row>
    <row r="196" spans="1:12" x14ac:dyDescent="0.2">
      <c r="A196" t="s">
        <v>218</v>
      </c>
      <c r="B196" s="1">
        <f>SUM(B183:B185)</f>
        <v>19080</v>
      </c>
      <c r="C196" s="1">
        <f>SUM(C183:C185)</f>
        <v>37585</v>
      </c>
      <c r="D196" s="14">
        <f t="shared" si="11"/>
        <v>-3.0136268343815553E-2</v>
      </c>
    </row>
  </sheetData>
  <mergeCells count="3">
    <mergeCell ref="B52:G52"/>
    <mergeCell ref="C39:E39"/>
    <mergeCell ref="A1:B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B1" workbookViewId="0">
      <selection activeCell="G1" sqref="G1:G3"/>
    </sheetView>
  </sheetViews>
  <sheetFormatPr defaultRowHeight="12.75" x14ac:dyDescent="0.2"/>
  <cols>
    <col min="1" max="1" width="27.28515625" customWidth="1"/>
    <col min="6" max="6" width="3.42578125" customWidth="1"/>
    <col min="7" max="7" width="106.140625" customWidth="1"/>
  </cols>
  <sheetData>
    <row r="1" spans="1:7" x14ac:dyDescent="0.2">
      <c r="A1" t="s">
        <v>1331</v>
      </c>
      <c r="G1" t="s">
        <v>1332</v>
      </c>
    </row>
    <row r="2" spans="1:7" x14ac:dyDescent="0.2">
      <c r="G2" t="s">
        <v>1333</v>
      </c>
    </row>
    <row r="3" spans="1:7" x14ac:dyDescent="0.2">
      <c r="G3" t="s">
        <v>1334</v>
      </c>
    </row>
    <row r="4" spans="1:7" x14ac:dyDescent="0.2">
      <c r="B4" s="1" t="s">
        <v>915</v>
      </c>
      <c r="C4" s="1" t="s">
        <v>916</v>
      </c>
      <c r="D4" t="s">
        <v>920</v>
      </c>
      <c r="E4" t="s">
        <v>38</v>
      </c>
      <c r="G4" t="s">
        <v>37</v>
      </c>
    </row>
    <row r="5" spans="1:7" x14ac:dyDescent="0.2">
      <c r="A5" t="s">
        <v>353</v>
      </c>
      <c r="B5" s="1">
        <f>B6+B7</f>
        <v>130348.66548374952</v>
      </c>
      <c r="C5" s="1">
        <f>C6+C7</f>
        <v>8732.0546955658465</v>
      </c>
      <c r="D5" s="1">
        <f t="shared" ref="D5:D11" si="0">B5+C5</f>
        <v>139080.72017931537</v>
      </c>
      <c r="E5" s="3">
        <f t="shared" ref="E5:E11" si="1">B5/C5</f>
        <v>14.92760524621322</v>
      </c>
      <c r="G5" t="s">
        <v>73</v>
      </c>
    </row>
    <row r="6" spans="1:7" x14ac:dyDescent="0.2">
      <c r="A6" t="s">
        <v>1141</v>
      </c>
      <c r="B6" s="1">
        <v>22030.507180475692</v>
      </c>
      <c r="C6" s="1">
        <v>1468.700478698378</v>
      </c>
      <c r="D6" s="1">
        <f t="shared" si="0"/>
        <v>23499.20765917407</v>
      </c>
      <c r="E6" s="3">
        <f t="shared" si="1"/>
        <v>15.000000000000014</v>
      </c>
      <c r="G6" t="s">
        <v>71</v>
      </c>
    </row>
    <row r="7" spans="1:7" x14ac:dyDescent="0.2">
      <c r="A7" t="s">
        <v>63</v>
      </c>
      <c r="B7" s="1">
        <f>B8-B10+B11</f>
        <v>108318.15830327383</v>
      </c>
      <c r="C7" s="1">
        <f>C8-C10+C11</f>
        <v>7263.3542168674694</v>
      </c>
      <c r="D7" s="1">
        <f t="shared" si="0"/>
        <v>115581.5125201413</v>
      </c>
      <c r="E7" s="3">
        <f t="shared" si="1"/>
        <v>14.912966526089258</v>
      </c>
      <c r="G7" t="s">
        <v>72</v>
      </c>
    </row>
    <row r="8" spans="1:7" x14ac:dyDescent="0.2">
      <c r="A8" t="s">
        <v>62</v>
      </c>
      <c r="B8" s="1">
        <f>B29-B33</f>
        <v>105362</v>
      </c>
      <c r="C8" s="1">
        <f>C29-C33</f>
        <v>6136</v>
      </c>
      <c r="D8" s="1">
        <f t="shared" si="0"/>
        <v>111498</v>
      </c>
      <c r="E8" s="3">
        <f t="shared" si="1"/>
        <v>17.171121251629724</v>
      </c>
      <c r="G8" t="s">
        <v>74</v>
      </c>
    </row>
    <row r="10" spans="1:7" x14ac:dyDescent="0.2">
      <c r="A10" t="s">
        <v>53</v>
      </c>
      <c r="B10" s="1">
        <f>B34+B35</f>
        <v>39854</v>
      </c>
      <c r="C10" s="1">
        <f>C34+C35</f>
        <v>3773</v>
      </c>
      <c r="D10" s="1">
        <f t="shared" si="0"/>
        <v>43627</v>
      </c>
      <c r="E10" s="3">
        <f t="shared" si="1"/>
        <v>10.562947256824808</v>
      </c>
      <c r="G10" t="s">
        <v>351</v>
      </c>
    </row>
    <row r="11" spans="1:7" x14ac:dyDescent="0.2">
      <c r="A11" t="s">
        <v>64</v>
      </c>
      <c r="B11" s="1">
        <f>B10*(1+'1933'!B26)</f>
        <v>42810.158303273827</v>
      </c>
      <c r="C11" s="1">
        <f>C10*(1+'1933'!C26)</f>
        <v>4900.3542168674694</v>
      </c>
      <c r="D11" s="1">
        <f t="shared" si="0"/>
        <v>47710.512520141296</v>
      </c>
      <c r="E11" s="3">
        <f t="shared" si="1"/>
        <v>8.7361354728026246</v>
      </c>
      <c r="G11" t="s">
        <v>360</v>
      </c>
    </row>
    <row r="12" spans="1:7" x14ac:dyDescent="0.2">
      <c r="A12" t="s">
        <v>350</v>
      </c>
      <c r="B12" s="1">
        <f>B11-B6</f>
        <v>20779.651122798135</v>
      </c>
      <c r="C12" s="1">
        <f>C11-C6</f>
        <v>3431.6537381690914</v>
      </c>
      <c r="D12" s="1">
        <f>B12+C12</f>
        <v>24211.304860967226</v>
      </c>
      <c r="E12" s="3">
        <f>B12/C12</f>
        <v>6.0552878315411895</v>
      </c>
    </row>
    <row r="14" spans="1:7" x14ac:dyDescent="0.2">
      <c r="A14" t="s">
        <v>67</v>
      </c>
    </row>
    <row r="15" spans="1:7" x14ac:dyDescent="0.2">
      <c r="B15" t="s">
        <v>915</v>
      </c>
      <c r="C15" t="s">
        <v>916</v>
      </c>
      <c r="D15" t="s">
        <v>920</v>
      </c>
      <c r="E15" t="s">
        <v>38</v>
      </c>
    </row>
    <row r="16" spans="1:7" x14ac:dyDescent="0.2">
      <c r="A16" t="s">
        <v>1111</v>
      </c>
      <c r="B16" s="1">
        <v>250473</v>
      </c>
      <c r="C16" s="1">
        <v>25185</v>
      </c>
      <c r="D16" s="1">
        <f>B16+C16</f>
        <v>275658</v>
      </c>
      <c r="E16" s="3">
        <f>B16/C16</f>
        <v>9.9453245979749845</v>
      </c>
      <c r="G16" t="s">
        <v>75</v>
      </c>
    </row>
    <row r="17" spans="1:7" x14ac:dyDescent="0.2">
      <c r="A17" t="s">
        <v>1112</v>
      </c>
      <c r="B17" s="1">
        <v>156765</v>
      </c>
      <c r="C17" s="1">
        <v>19632</v>
      </c>
      <c r="D17" s="1">
        <f>B17+C17</f>
        <v>176397</v>
      </c>
      <c r="E17" s="3">
        <f>B17/C17</f>
        <v>7.9851772616136918</v>
      </c>
      <c r="G17" t="s">
        <v>76</v>
      </c>
    </row>
    <row r="18" spans="1:7" x14ac:dyDescent="0.2">
      <c r="A18" t="s">
        <v>920</v>
      </c>
      <c r="B18" s="1">
        <f>B16+B17</f>
        <v>407238</v>
      </c>
      <c r="C18" s="1">
        <f>C16+C17</f>
        <v>44817</v>
      </c>
      <c r="D18" s="1">
        <f>D16+D17</f>
        <v>452055</v>
      </c>
      <c r="E18" s="3">
        <f>B18/C18</f>
        <v>9.0866858558136414</v>
      </c>
    </row>
    <row r="20" spans="1:7" x14ac:dyDescent="0.2">
      <c r="A20" t="s">
        <v>65</v>
      </c>
      <c r="D20" s="12">
        <f>'1933'!E25/'1933'!E29</f>
        <v>1.016514446232925</v>
      </c>
    </row>
    <row r="21" spans="1:7" x14ac:dyDescent="0.2">
      <c r="A21" t="s">
        <v>66</v>
      </c>
      <c r="D21" s="3">
        <f>E18*D20</f>
        <v>9.2367474408149555</v>
      </c>
      <c r="G21" t="s">
        <v>79</v>
      </c>
    </row>
    <row r="23" spans="1:7" x14ac:dyDescent="0.2">
      <c r="A23" t="s">
        <v>69</v>
      </c>
      <c r="D23" s="13">
        <f>D32/D8</f>
        <v>8.1355719385101083E-2</v>
      </c>
      <c r="G23" t="s">
        <v>78</v>
      </c>
    </row>
    <row r="27" spans="1:7" x14ac:dyDescent="0.2">
      <c r="A27" t="s">
        <v>128</v>
      </c>
    </row>
    <row r="28" spans="1:7" x14ac:dyDescent="0.2">
      <c r="B28" t="s">
        <v>915</v>
      </c>
      <c r="C28" t="s">
        <v>916</v>
      </c>
      <c r="D28" t="s">
        <v>920</v>
      </c>
      <c r="E28" t="s">
        <v>38</v>
      </c>
    </row>
    <row r="29" spans="1:7" x14ac:dyDescent="0.2">
      <c r="A29" t="s">
        <v>1009</v>
      </c>
      <c r="B29" s="1">
        <v>124424</v>
      </c>
      <c r="C29" s="1">
        <v>12048</v>
      </c>
      <c r="D29" s="1">
        <f>B29+C29</f>
        <v>136472</v>
      </c>
      <c r="E29" s="3">
        <f>B29/C29</f>
        <v>10.327357237715804</v>
      </c>
      <c r="G29" t="s">
        <v>354</v>
      </c>
    </row>
    <row r="30" spans="1:7" x14ac:dyDescent="0.2">
      <c r="A30" t="s">
        <v>129</v>
      </c>
      <c r="B30" s="1"/>
      <c r="C30" s="1"/>
      <c r="D30" s="1"/>
      <c r="E30" s="3"/>
    </row>
    <row r="31" spans="1:7" x14ac:dyDescent="0.2">
      <c r="A31" t="s">
        <v>1071</v>
      </c>
      <c r="B31" s="1">
        <v>55319</v>
      </c>
      <c r="C31" s="1">
        <v>1577</v>
      </c>
      <c r="D31" s="1">
        <f t="shared" ref="D31:D36" si="2">B31+C31</f>
        <v>56896</v>
      </c>
      <c r="E31" s="3">
        <f>B31/C31</f>
        <v>35.078630310716548</v>
      </c>
      <c r="G31" t="s">
        <v>75</v>
      </c>
    </row>
    <row r="32" spans="1:7" x14ac:dyDescent="0.2">
      <c r="A32" t="s">
        <v>922</v>
      </c>
      <c r="B32" s="1">
        <v>8285</v>
      </c>
      <c r="C32" s="1">
        <v>786</v>
      </c>
      <c r="D32" s="1">
        <f t="shared" si="2"/>
        <v>9071</v>
      </c>
      <c r="E32" s="3">
        <f>B32/C32</f>
        <v>10.540712468193384</v>
      </c>
    </row>
    <row r="33" spans="1:7" x14ac:dyDescent="0.2">
      <c r="A33" t="s">
        <v>921</v>
      </c>
      <c r="B33" s="1">
        <v>19062</v>
      </c>
      <c r="C33" s="1">
        <v>5912</v>
      </c>
      <c r="D33" s="1">
        <f t="shared" si="2"/>
        <v>24974</v>
      </c>
      <c r="E33" s="3">
        <f>B33/C33</f>
        <v>3.2242895805142084</v>
      </c>
      <c r="G33" t="s">
        <v>352</v>
      </c>
    </row>
    <row r="34" spans="1:7" x14ac:dyDescent="0.2">
      <c r="A34" t="s">
        <v>1111</v>
      </c>
      <c r="B34">
        <v>32102</v>
      </c>
      <c r="C34">
        <v>2906</v>
      </c>
      <c r="D34" s="1">
        <f t="shared" si="2"/>
        <v>35008</v>
      </c>
      <c r="E34" s="3">
        <f>B34/C34</f>
        <v>11.046799724707501</v>
      </c>
      <c r="G34" t="s">
        <v>133</v>
      </c>
    </row>
    <row r="35" spans="1:7" x14ac:dyDescent="0.2">
      <c r="A35" t="s">
        <v>1112</v>
      </c>
      <c r="B35">
        <v>7752</v>
      </c>
      <c r="C35">
        <v>867</v>
      </c>
      <c r="D35" s="1">
        <f t="shared" si="2"/>
        <v>8619</v>
      </c>
      <c r="E35" s="3">
        <f>B35/C35</f>
        <v>8.9411764705882355</v>
      </c>
    </row>
    <row r="36" spans="1:7" x14ac:dyDescent="0.2">
      <c r="A36" t="s">
        <v>130</v>
      </c>
      <c r="B36" s="1">
        <v>1904</v>
      </c>
      <c r="C36" s="1">
        <v>0</v>
      </c>
      <c r="D36" s="1">
        <f t="shared" si="2"/>
        <v>1904</v>
      </c>
      <c r="E36" s="3"/>
    </row>
    <row r="38" spans="1:7" x14ac:dyDescent="0.2">
      <c r="D38" s="1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" sqref="I1:I3"/>
    </sheetView>
  </sheetViews>
  <sheetFormatPr defaultRowHeight="12.75" x14ac:dyDescent="0.2"/>
  <cols>
    <col min="1" max="1" width="29.28515625" customWidth="1"/>
    <col min="8" max="8" width="2.42578125" customWidth="1"/>
    <col min="9" max="9" width="57.140625" customWidth="1"/>
  </cols>
  <sheetData>
    <row r="1" spans="1:9" x14ac:dyDescent="0.2">
      <c r="A1" t="s">
        <v>61</v>
      </c>
      <c r="I1" t="s">
        <v>1332</v>
      </c>
    </row>
    <row r="2" spans="1:9" x14ac:dyDescent="0.2">
      <c r="I2" t="s">
        <v>1333</v>
      </c>
    </row>
    <row r="3" spans="1:9" x14ac:dyDescent="0.2">
      <c r="I3" t="s">
        <v>1334</v>
      </c>
    </row>
    <row r="4" spans="1:9" x14ac:dyDescent="0.2">
      <c r="B4" t="s">
        <v>915</v>
      </c>
      <c r="C4" t="s">
        <v>916</v>
      </c>
      <c r="D4" t="s">
        <v>920</v>
      </c>
      <c r="E4" t="s">
        <v>38</v>
      </c>
    </row>
    <row r="5" spans="1:9" x14ac:dyDescent="0.2">
      <c r="A5" t="s">
        <v>1072</v>
      </c>
      <c r="B5" s="1">
        <f>SUM(B6:B8)</f>
        <v>100525.69580938669</v>
      </c>
      <c r="C5" s="1">
        <f>SUM(C6:C8)</f>
        <v>6989.3315290041037</v>
      </c>
      <c r="D5" s="1">
        <f>SUM(D6:D8)</f>
        <v>107498.80682293125</v>
      </c>
      <c r="E5" s="3">
        <f>B5/C5</f>
        <v>14.382733941325917</v>
      </c>
      <c r="I5" t="s">
        <v>57</v>
      </c>
    </row>
    <row r="6" spans="1:9" x14ac:dyDescent="0.2">
      <c r="A6" t="s">
        <v>1010</v>
      </c>
      <c r="B6" s="1">
        <v>77269</v>
      </c>
      <c r="C6" s="1">
        <v>4503</v>
      </c>
      <c r="D6" s="1">
        <f>B6+C6</f>
        <v>81772</v>
      </c>
      <c r="E6" s="3">
        <f>B6/C6</f>
        <v>17.15944925605152</v>
      </c>
      <c r="I6" t="s">
        <v>60</v>
      </c>
    </row>
    <row r="7" spans="1:9" x14ac:dyDescent="0.2">
      <c r="A7" t="s">
        <v>51</v>
      </c>
      <c r="B7" s="1">
        <v>9198.3856900232458</v>
      </c>
      <c r="C7" s="1">
        <v>1516.7929000824872</v>
      </c>
      <c r="D7" s="1">
        <v>10715.178590105734</v>
      </c>
      <c r="E7" s="3">
        <f>B7/C7</f>
        <v>6.0643649436406335</v>
      </c>
      <c r="I7" t="s">
        <v>52</v>
      </c>
    </row>
    <row r="8" spans="1:9" x14ac:dyDescent="0.2">
      <c r="A8" t="s">
        <v>1141</v>
      </c>
      <c r="B8" s="1">
        <v>14058.310119363434</v>
      </c>
      <c r="C8" s="1">
        <v>969.53862892161669</v>
      </c>
      <c r="D8" s="1">
        <v>15011.628232825526</v>
      </c>
      <c r="E8" s="3">
        <f>B8/C8</f>
        <v>14.499999999999991</v>
      </c>
      <c r="I8" t="s">
        <v>59</v>
      </c>
    </row>
    <row r="10" spans="1:9" x14ac:dyDescent="0.2">
      <c r="A10" t="s">
        <v>1109</v>
      </c>
    </row>
    <row r="11" spans="1:9" x14ac:dyDescent="0.2">
      <c r="A11" t="s">
        <v>54</v>
      </c>
      <c r="B11" t="s">
        <v>915</v>
      </c>
      <c r="C11" t="s">
        <v>916</v>
      </c>
      <c r="D11" t="s">
        <v>920</v>
      </c>
      <c r="E11" t="s">
        <v>38</v>
      </c>
    </row>
    <row r="12" spans="1:9" x14ac:dyDescent="0.2">
      <c r="A12" t="s">
        <v>1111</v>
      </c>
      <c r="B12" s="1">
        <f>'1904 jails'!C55</f>
        <v>16614</v>
      </c>
      <c r="C12" s="1">
        <f>'1904 jails'!D55</f>
        <v>1930</v>
      </c>
      <c r="D12" s="1">
        <f>'1904 jails'!E55</f>
        <v>18544</v>
      </c>
      <c r="E12" s="3">
        <f>B12/C12</f>
        <v>8.6082901554404145</v>
      </c>
      <c r="I12" t="s">
        <v>55</v>
      </c>
    </row>
    <row r="13" spans="1:9" x14ac:dyDescent="0.2">
      <c r="A13" t="s">
        <v>0</v>
      </c>
      <c r="B13" s="1">
        <f>'1904 jails'!F55</f>
        <v>2351</v>
      </c>
      <c r="C13" s="1">
        <f>'1904 jails'!G55</f>
        <v>324</v>
      </c>
      <c r="D13" s="1">
        <f>'1904 jails'!H55</f>
        <v>2675</v>
      </c>
      <c r="E13" s="3">
        <f>B13/C13</f>
        <v>7.2561728395061724</v>
      </c>
      <c r="I13" t="s">
        <v>55</v>
      </c>
    </row>
    <row r="14" spans="1:9" x14ac:dyDescent="0.2">
      <c r="A14" t="s">
        <v>53</v>
      </c>
      <c r="B14" s="1">
        <f>B12+B13</f>
        <v>18965</v>
      </c>
      <c r="C14" s="1">
        <f>C12+C13</f>
        <v>2254</v>
      </c>
      <c r="D14" s="1">
        <f>B14+C14</f>
        <v>21219</v>
      </c>
      <c r="E14" s="3">
        <f>B14/C14</f>
        <v>8.4139307897071873</v>
      </c>
      <c r="I14" t="s">
        <v>57</v>
      </c>
    </row>
    <row r="16" spans="1:9" x14ac:dyDescent="0.2">
      <c r="A16" t="s">
        <v>56</v>
      </c>
      <c r="B16" s="1">
        <f>B7+B14</f>
        <v>28163.385690023246</v>
      </c>
      <c r="C16" s="1">
        <f>C7+C14</f>
        <v>3770.792900082487</v>
      </c>
      <c r="D16" s="1">
        <f>D7+D14</f>
        <v>31934.178590105734</v>
      </c>
      <c r="E16" s="3">
        <f>B16/C16</f>
        <v>7.4688232518437081</v>
      </c>
      <c r="I16" t="s">
        <v>58</v>
      </c>
    </row>
    <row r="17" spans="2:5" x14ac:dyDescent="0.2">
      <c r="B17" s="1"/>
      <c r="C17" s="1"/>
      <c r="D17" s="1"/>
      <c r="E17" s="3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J1" sqref="J1:J3"/>
    </sheetView>
  </sheetViews>
  <sheetFormatPr defaultRowHeight="12.75" x14ac:dyDescent="0.2"/>
  <cols>
    <col min="1" max="1" width="5.28515625" customWidth="1"/>
    <col min="2" max="2" width="19.28515625" customWidth="1"/>
    <col min="6" max="6" width="9.7109375" customWidth="1"/>
    <col min="9" max="9" width="3.42578125" customWidth="1"/>
    <col min="10" max="10" width="49.140625" customWidth="1"/>
  </cols>
  <sheetData>
    <row r="1" spans="1:10" x14ac:dyDescent="0.2">
      <c r="A1" s="30" t="s">
        <v>48</v>
      </c>
      <c r="B1" s="30"/>
      <c r="C1" s="30"/>
      <c r="D1" s="30"/>
      <c r="E1" s="30"/>
      <c r="F1" s="30"/>
      <c r="J1" t="s">
        <v>1332</v>
      </c>
    </row>
    <row r="2" spans="1:10" x14ac:dyDescent="0.2">
      <c r="J2" t="s">
        <v>1333</v>
      </c>
    </row>
    <row r="3" spans="1:10" ht="24.75" customHeight="1" x14ac:dyDescent="0.2">
      <c r="C3" s="34" t="s">
        <v>1111</v>
      </c>
      <c r="D3" s="34"/>
      <c r="E3" s="34"/>
      <c r="F3" s="34" t="s">
        <v>0</v>
      </c>
      <c r="G3" s="34"/>
      <c r="H3" s="34"/>
      <c r="J3" t="s">
        <v>1334</v>
      </c>
    </row>
    <row r="4" spans="1:10" x14ac:dyDescent="0.2">
      <c r="A4" t="s">
        <v>1021</v>
      </c>
      <c r="B4" t="s">
        <v>50</v>
      </c>
      <c r="C4" t="s">
        <v>915</v>
      </c>
      <c r="D4" t="s">
        <v>916</v>
      </c>
      <c r="E4" t="s">
        <v>920</v>
      </c>
      <c r="F4" t="s">
        <v>915</v>
      </c>
      <c r="G4" t="s">
        <v>916</v>
      </c>
      <c r="H4" t="s">
        <v>920</v>
      </c>
      <c r="J4" t="s">
        <v>46</v>
      </c>
    </row>
    <row r="5" spans="1:10" x14ac:dyDescent="0.2">
      <c r="A5">
        <v>1</v>
      </c>
      <c r="B5" t="s">
        <v>1052</v>
      </c>
      <c r="C5">
        <v>53</v>
      </c>
      <c r="D5">
        <v>5</v>
      </c>
      <c r="E5">
        <f t="shared" ref="E5:E36" si="0">C5+D5</f>
        <v>58</v>
      </c>
      <c r="F5">
        <v>112</v>
      </c>
      <c r="G5">
        <v>8</v>
      </c>
      <c r="H5">
        <f t="shared" ref="H5:H36" si="1">F5+G5</f>
        <v>120</v>
      </c>
      <c r="J5" t="s">
        <v>47</v>
      </c>
    </row>
    <row r="6" spans="1:10" x14ac:dyDescent="0.2">
      <c r="A6">
        <v>2</v>
      </c>
      <c r="B6" t="s">
        <v>1063</v>
      </c>
      <c r="C6">
        <v>20</v>
      </c>
      <c r="D6">
        <v>0</v>
      </c>
      <c r="E6">
        <f t="shared" si="0"/>
        <v>20</v>
      </c>
      <c r="F6">
        <v>4</v>
      </c>
      <c r="G6">
        <v>0</v>
      </c>
      <c r="H6">
        <f t="shared" si="1"/>
        <v>4</v>
      </c>
      <c r="J6" t="s">
        <v>49</v>
      </c>
    </row>
    <row r="7" spans="1:10" x14ac:dyDescent="0.2">
      <c r="A7">
        <v>3</v>
      </c>
      <c r="B7" t="s">
        <v>1054</v>
      </c>
      <c r="C7">
        <v>85</v>
      </c>
      <c r="D7">
        <v>6</v>
      </c>
      <c r="E7">
        <f t="shared" si="0"/>
        <v>91</v>
      </c>
      <c r="F7">
        <v>1</v>
      </c>
      <c r="G7">
        <v>0</v>
      </c>
      <c r="H7">
        <f t="shared" si="1"/>
        <v>1</v>
      </c>
    </row>
    <row r="8" spans="1:10" x14ac:dyDescent="0.2">
      <c r="A8">
        <v>4</v>
      </c>
      <c r="B8" t="s">
        <v>1068</v>
      </c>
      <c r="C8">
        <v>786</v>
      </c>
      <c r="D8">
        <v>63</v>
      </c>
      <c r="E8">
        <f t="shared" si="0"/>
        <v>849</v>
      </c>
      <c r="F8">
        <v>112</v>
      </c>
      <c r="G8">
        <v>11</v>
      </c>
      <c r="H8">
        <f t="shared" si="1"/>
        <v>123</v>
      </c>
    </row>
    <row r="9" spans="1:10" x14ac:dyDescent="0.2">
      <c r="A9">
        <v>5</v>
      </c>
      <c r="B9" t="s">
        <v>1061</v>
      </c>
      <c r="C9">
        <v>149</v>
      </c>
      <c r="D9">
        <v>9</v>
      </c>
      <c r="E9">
        <f t="shared" si="0"/>
        <v>158</v>
      </c>
      <c r="F9">
        <v>0</v>
      </c>
      <c r="G9">
        <v>0</v>
      </c>
      <c r="H9">
        <f t="shared" si="1"/>
        <v>0</v>
      </c>
    </row>
    <row r="10" spans="1:10" x14ac:dyDescent="0.2">
      <c r="A10">
        <v>6</v>
      </c>
      <c r="B10" t="s">
        <v>1026</v>
      </c>
      <c r="C10">
        <v>590</v>
      </c>
      <c r="D10">
        <v>61</v>
      </c>
      <c r="E10">
        <f t="shared" si="0"/>
        <v>651</v>
      </c>
      <c r="F10">
        <v>0</v>
      </c>
      <c r="G10">
        <v>0</v>
      </c>
      <c r="H10">
        <f t="shared" si="1"/>
        <v>0</v>
      </c>
    </row>
    <row r="11" spans="1:10" x14ac:dyDescent="0.2">
      <c r="A11">
        <v>7</v>
      </c>
      <c r="B11" t="s">
        <v>1042</v>
      </c>
      <c r="C11">
        <v>155</v>
      </c>
      <c r="D11">
        <v>5</v>
      </c>
      <c r="E11">
        <f t="shared" si="0"/>
        <v>160</v>
      </c>
      <c r="F11">
        <v>0</v>
      </c>
      <c r="G11">
        <v>0</v>
      </c>
      <c r="H11">
        <f t="shared" si="1"/>
        <v>0</v>
      </c>
    </row>
    <row r="12" spans="1:10" x14ac:dyDescent="0.2">
      <c r="A12">
        <v>8</v>
      </c>
      <c r="B12" t="s">
        <v>36</v>
      </c>
      <c r="C12">
        <v>0</v>
      </c>
      <c r="D12">
        <v>0</v>
      </c>
      <c r="E12">
        <f t="shared" si="0"/>
        <v>0</v>
      </c>
      <c r="F12">
        <v>0</v>
      </c>
      <c r="G12">
        <v>0</v>
      </c>
      <c r="H12">
        <f t="shared" si="1"/>
        <v>0</v>
      </c>
    </row>
    <row r="13" spans="1:10" x14ac:dyDescent="0.2">
      <c r="A13">
        <v>9</v>
      </c>
      <c r="B13" t="s">
        <v>1049</v>
      </c>
      <c r="C13">
        <v>81</v>
      </c>
      <c r="D13">
        <v>6</v>
      </c>
      <c r="E13">
        <f t="shared" si="0"/>
        <v>87</v>
      </c>
      <c r="F13">
        <v>38</v>
      </c>
      <c r="G13">
        <v>4</v>
      </c>
      <c r="H13">
        <f t="shared" si="1"/>
        <v>42</v>
      </c>
    </row>
    <row r="14" spans="1:10" x14ac:dyDescent="0.2">
      <c r="A14">
        <v>10</v>
      </c>
      <c r="B14" t="s">
        <v>1048</v>
      </c>
      <c r="C14">
        <v>216</v>
      </c>
      <c r="D14">
        <v>38</v>
      </c>
      <c r="E14">
        <f t="shared" si="0"/>
        <v>254</v>
      </c>
      <c r="F14">
        <v>0</v>
      </c>
      <c r="G14">
        <v>0</v>
      </c>
      <c r="H14">
        <f t="shared" si="1"/>
        <v>0</v>
      </c>
    </row>
    <row r="15" spans="1:10" x14ac:dyDescent="0.2">
      <c r="A15">
        <v>11</v>
      </c>
      <c r="B15" t="s">
        <v>1059</v>
      </c>
      <c r="C15">
        <v>53</v>
      </c>
      <c r="D15">
        <v>1</v>
      </c>
      <c r="E15">
        <f t="shared" si="0"/>
        <v>54</v>
      </c>
      <c r="H15">
        <f t="shared" si="1"/>
        <v>0</v>
      </c>
    </row>
    <row r="16" spans="1:10" x14ac:dyDescent="0.2">
      <c r="A16">
        <v>12</v>
      </c>
      <c r="B16" t="s">
        <v>1032</v>
      </c>
      <c r="C16">
        <v>454</v>
      </c>
      <c r="D16">
        <v>20</v>
      </c>
      <c r="E16">
        <f t="shared" si="0"/>
        <v>474</v>
      </c>
      <c r="F16">
        <v>280</v>
      </c>
      <c r="G16">
        <v>7</v>
      </c>
      <c r="H16">
        <f t="shared" si="1"/>
        <v>287</v>
      </c>
    </row>
    <row r="17" spans="1:8" x14ac:dyDescent="0.2">
      <c r="A17">
        <v>13</v>
      </c>
      <c r="B17" t="s">
        <v>1031</v>
      </c>
      <c r="C17">
        <v>288</v>
      </c>
      <c r="D17">
        <v>44</v>
      </c>
      <c r="E17">
        <f t="shared" si="0"/>
        <v>332</v>
      </c>
      <c r="F17">
        <v>1</v>
      </c>
      <c r="G17">
        <v>13</v>
      </c>
      <c r="H17">
        <f t="shared" si="1"/>
        <v>14</v>
      </c>
    </row>
    <row r="18" spans="1:8" x14ac:dyDescent="0.2">
      <c r="A18">
        <v>14</v>
      </c>
      <c r="B18" t="s">
        <v>1036</v>
      </c>
      <c r="C18">
        <v>256</v>
      </c>
      <c r="D18">
        <v>13</v>
      </c>
      <c r="E18">
        <f t="shared" si="0"/>
        <v>269</v>
      </c>
      <c r="F18">
        <v>121</v>
      </c>
      <c r="G18">
        <v>5</v>
      </c>
      <c r="H18">
        <f t="shared" si="1"/>
        <v>126</v>
      </c>
    </row>
    <row r="19" spans="1:8" x14ac:dyDescent="0.2">
      <c r="A19">
        <v>15</v>
      </c>
      <c r="B19" t="s">
        <v>1041</v>
      </c>
      <c r="C19">
        <v>210</v>
      </c>
      <c r="D19">
        <v>11</v>
      </c>
      <c r="E19">
        <f t="shared" si="0"/>
        <v>221</v>
      </c>
      <c r="F19">
        <v>4</v>
      </c>
      <c r="G19">
        <v>1</v>
      </c>
      <c r="H19">
        <f t="shared" si="1"/>
        <v>5</v>
      </c>
    </row>
    <row r="20" spans="1:8" x14ac:dyDescent="0.2">
      <c r="A20">
        <v>16</v>
      </c>
      <c r="B20" t="s">
        <v>1050</v>
      </c>
      <c r="C20">
        <v>206</v>
      </c>
      <c r="D20">
        <v>6</v>
      </c>
      <c r="E20">
        <f t="shared" si="0"/>
        <v>212</v>
      </c>
      <c r="F20">
        <v>61</v>
      </c>
      <c r="G20">
        <v>5</v>
      </c>
      <c r="H20">
        <f t="shared" si="1"/>
        <v>66</v>
      </c>
    </row>
    <row r="21" spans="1:8" x14ac:dyDescent="0.2">
      <c r="A21">
        <v>17</v>
      </c>
      <c r="B21" t="s">
        <v>1055</v>
      </c>
      <c r="C21">
        <v>315</v>
      </c>
      <c r="D21">
        <v>32</v>
      </c>
      <c r="E21">
        <f t="shared" si="0"/>
        <v>347</v>
      </c>
      <c r="F21">
        <v>2</v>
      </c>
      <c r="G21">
        <v>0</v>
      </c>
      <c r="H21">
        <f t="shared" si="1"/>
        <v>2</v>
      </c>
    </row>
    <row r="22" spans="1:8" x14ac:dyDescent="0.2">
      <c r="A22">
        <v>18</v>
      </c>
      <c r="B22" t="s">
        <v>1022</v>
      </c>
      <c r="C22">
        <v>286</v>
      </c>
      <c r="D22">
        <v>26</v>
      </c>
      <c r="E22">
        <f t="shared" si="0"/>
        <v>312</v>
      </c>
      <c r="F22">
        <v>1</v>
      </c>
      <c r="G22">
        <v>0</v>
      </c>
      <c r="H22">
        <f t="shared" si="1"/>
        <v>1</v>
      </c>
    </row>
    <row r="23" spans="1:8" x14ac:dyDescent="0.2">
      <c r="A23">
        <v>19</v>
      </c>
      <c r="B23" t="s">
        <v>1043</v>
      </c>
      <c r="C23">
        <v>189</v>
      </c>
      <c r="D23">
        <v>25</v>
      </c>
      <c r="E23">
        <f t="shared" si="0"/>
        <v>214</v>
      </c>
      <c r="F23">
        <v>129</v>
      </c>
      <c r="G23">
        <v>22</v>
      </c>
      <c r="H23">
        <f t="shared" si="1"/>
        <v>151</v>
      </c>
    </row>
    <row r="24" spans="1:8" x14ac:dyDescent="0.2">
      <c r="A24">
        <v>20</v>
      </c>
      <c r="B24" t="s">
        <v>923</v>
      </c>
      <c r="C24">
        <v>2189</v>
      </c>
      <c r="D24">
        <v>478</v>
      </c>
      <c r="E24">
        <f t="shared" si="0"/>
        <v>2667</v>
      </c>
      <c r="F24">
        <v>29</v>
      </c>
      <c r="G24">
        <v>22</v>
      </c>
      <c r="H24">
        <f t="shared" si="1"/>
        <v>51</v>
      </c>
    </row>
    <row r="25" spans="1:8" x14ac:dyDescent="0.2">
      <c r="A25">
        <v>21</v>
      </c>
      <c r="B25" t="s">
        <v>1033</v>
      </c>
      <c r="C25">
        <v>338</v>
      </c>
      <c r="D25">
        <v>4</v>
      </c>
      <c r="E25">
        <f t="shared" si="0"/>
        <v>342</v>
      </c>
      <c r="F25">
        <v>209</v>
      </c>
      <c r="G25">
        <v>46</v>
      </c>
      <c r="H25">
        <f t="shared" si="1"/>
        <v>255</v>
      </c>
    </row>
    <row r="26" spans="1:8" x14ac:dyDescent="0.2">
      <c r="A26">
        <v>22</v>
      </c>
      <c r="B26" t="s">
        <v>1035</v>
      </c>
      <c r="C26">
        <v>82</v>
      </c>
      <c r="D26">
        <v>4</v>
      </c>
      <c r="E26">
        <f t="shared" si="0"/>
        <v>86</v>
      </c>
      <c r="F26">
        <v>53</v>
      </c>
      <c r="G26">
        <v>11</v>
      </c>
      <c r="H26">
        <f t="shared" si="1"/>
        <v>64</v>
      </c>
    </row>
    <row r="27" spans="1:8" x14ac:dyDescent="0.2">
      <c r="A27">
        <v>23</v>
      </c>
      <c r="B27" t="s">
        <v>1053</v>
      </c>
      <c r="C27">
        <v>166</v>
      </c>
      <c r="D27">
        <v>23</v>
      </c>
      <c r="E27">
        <f t="shared" si="0"/>
        <v>189</v>
      </c>
      <c r="H27">
        <f t="shared" si="1"/>
        <v>0</v>
      </c>
    </row>
    <row r="28" spans="1:8" x14ac:dyDescent="0.2">
      <c r="A28">
        <v>24</v>
      </c>
      <c r="B28" t="s">
        <v>1037</v>
      </c>
      <c r="C28">
        <v>416</v>
      </c>
      <c r="D28">
        <v>34</v>
      </c>
      <c r="E28">
        <f t="shared" si="0"/>
        <v>450</v>
      </c>
      <c r="F28">
        <v>157</v>
      </c>
      <c r="G28">
        <v>23</v>
      </c>
      <c r="H28">
        <f t="shared" si="1"/>
        <v>180</v>
      </c>
    </row>
    <row r="29" spans="1:8" x14ac:dyDescent="0.2">
      <c r="A29">
        <v>25</v>
      </c>
      <c r="B29" t="s">
        <v>1058</v>
      </c>
      <c r="C29">
        <v>107</v>
      </c>
      <c r="D29">
        <v>17</v>
      </c>
      <c r="E29">
        <f t="shared" si="0"/>
        <v>124</v>
      </c>
      <c r="F29">
        <v>3</v>
      </c>
      <c r="G29">
        <v>0</v>
      </c>
      <c r="H29">
        <f t="shared" si="1"/>
        <v>3</v>
      </c>
    </row>
    <row r="30" spans="1:8" x14ac:dyDescent="0.2">
      <c r="A30">
        <v>26</v>
      </c>
      <c r="B30" t="s">
        <v>1040</v>
      </c>
      <c r="C30">
        <v>117</v>
      </c>
      <c r="D30">
        <v>3</v>
      </c>
      <c r="E30">
        <f t="shared" si="0"/>
        <v>120</v>
      </c>
      <c r="F30">
        <v>72</v>
      </c>
      <c r="G30">
        <v>0</v>
      </c>
      <c r="H30">
        <f t="shared" si="1"/>
        <v>72</v>
      </c>
    </row>
    <row r="31" spans="1:8" x14ac:dyDescent="0.2">
      <c r="A31">
        <v>27</v>
      </c>
      <c r="B31" t="s">
        <v>1065</v>
      </c>
      <c r="C31">
        <v>37</v>
      </c>
      <c r="D31">
        <v>1</v>
      </c>
      <c r="E31">
        <f t="shared" si="0"/>
        <v>38</v>
      </c>
      <c r="H31">
        <f t="shared" si="1"/>
        <v>0</v>
      </c>
    </row>
    <row r="32" spans="1:8" x14ac:dyDescent="0.2">
      <c r="A32">
        <v>28</v>
      </c>
      <c r="B32" t="s">
        <v>1023</v>
      </c>
      <c r="C32">
        <v>214</v>
      </c>
      <c r="D32">
        <v>29</v>
      </c>
      <c r="E32">
        <f t="shared" si="0"/>
        <v>243</v>
      </c>
      <c r="F32">
        <v>11</v>
      </c>
      <c r="G32">
        <v>2</v>
      </c>
      <c r="H32">
        <f t="shared" si="1"/>
        <v>13</v>
      </c>
    </row>
    <row r="33" spans="1:8" x14ac:dyDescent="0.2">
      <c r="A33">
        <v>29</v>
      </c>
      <c r="B33" t="s">
        <v>1028</v>
      </c>
      <c r="C33">
        <v>880</v>
      </c>
      <c r="D33">
        <v>82</v>
      </c>
      <c r="E33">
        <f t="shared" si="0"/>
        <v>962</v>
      </c>
      <c r="H33">
        <f t="shared" si="1"/>
        <v>0</v>
      </c>
    </row>
    <row r="34" spans="1:8" x14ac:dyDescent="0.2">
      <c r="A34">
        <v>30</v>
      </c>
      <c r="B34" t="s">
        <v>1062</v>
      </c>
      <c r="C34">
        <v>16</v>
      </c>
      <c r="D34">
        <v>2</v>
      </c>
      <c r="E34">
        <f t="shared" si="0"/>
        <v>18</v>
      </c>
      <c r="H34">
        <f t="shared" si="1"/>
        <v>0</v>
      </c>
    </row>
    <row r="35" spans="1:8" x14ac:dyDescent="0.2">
      <c r="A35">
        <v>31</v>
      </c>
      <c r="B35" t="s">
        <v>1027</v>
      </c>
      <c r="C35">
        <v>1647</v>
      </c>
      <c r="D35">
        <v>341</v>
      </c>
      <c r="E35">
        <f t="shared" si="0"/>
        <v>1988</v>
      </c>
      <c r="F35">
        <v>1</v>
      </c>
      <c r="G35">
        <v>0</v>
      </c>
      <c r="H35">
        <f t="shared" si="1"/>
        <v>1</v>
      </c>
    </row>
    <row r="36" spans="1:8" x14ac:dyDescent="0.2">
      <c r="A36">
        <v>32</v>
      </c>
      <c r="B36" t="s">
        <v>1046</v>
      </c>
      <c r="C36">
        <v>459</v>
      </c>
      <c r="D36">
        <v>45</v>
      </c>
      <c r="E36">
        <f t="shared" si="0"/>
        <v>504</v>
      </c>
      <c r="F36">
        <v>7</v>
      </c>
      <c r="G36">
        <v>0</v>
      </c>
      <c r="H36">
        <f t="shared" si="1"/>
        <v>7</v>
      </c>
    </row>
    <row r="37" spans="1:8" x14ac:dyDescent="0.2">
      <c r="A37">
        <v>33</v>
      </c>
      <c r="B37" t="s">
        <v>1038</v>
      </c>
      <c r="C37">
        <v>50</v>
      </c>
      <c r="D37">
        <v>2</v>
      </c>
      <c r="E37">
        <f t="shared" ref="E37:E53" si="2">C37+D37</f>
        <v>52</v>
      </c>
      <c r="H37">
        <f t="shared" ref="H37:H53" si="3">F37+G37</f>
        <v>0</v>
      </c>
    </row>
    <row r="38" spans="1:8" x14ac:dyDescent="0.2">
      <c r="A38">
        <v>34</v>
      </c>
      <c r="B38" t="s">
        <v>1030</v>
      </c>
      <c r="C38">
        <v>144</v>
      </c>
      <c r="D38">
        <v>16</v>
      </c>
      <c r="E38">
        <f t="shared" si="2"/>
        <v>160</v>
      </c>
      <c r="F38">
        <v>733</v>
      </c>
      <c r="G38">
        <v>122</v>
      </c>
      <c r="H38">
        <f t="shared" si="3"/>
        <v>855</v>
      </c>
    </row>
    <row r="39" spans="1:8" x14ac:dyDescent="0.2">
      <c r="A39">
        <v>35</v>
      </c>
      <c r="B39" t="s">
        <v>1056</v>
      </c>
      <c r="C39">
        <v>22</v>
      </c>
      <c r="D39">
        <v>0</v>
      </c>
      <c r="E39">
        <f t="shared" si="2"/>
        <v>22</v>
      </c>
      <c r="H39">
        <f t="shared" si="3"/>
        <v>0</v>
      </c>
    </row>
    <row r="40" spans="1:8" x14ac:dyDescent="0.2">
      <c r="A40">
        <v>36</v>
      </c>
      <c r="B40" t="s">
        <v>1067</v>
      </c>
      <c r="C40">
        <v>55</v>
      </c>
      <c r="D40">
        <v>2</v>
      </c>
      <c r="E40">
        <f t="shared" si="2"/>
        <v>57</v>
      </c>
      <c r="F40">
        <v>8</v>
      </c>
      <c r="G40">
        <v>0</v>
      </c>
      <c r="H40">
        <f t="shared" si="3"/>
        <v>8</v>
      </c>
    </row>
    <row r="41" spans="1:8" x14ac:dyDescent="0.2">
      <c r="A41">
        <v>37</v>
      </c>
      <c r="B41" t="s">
        <v>1029</v>
      </c>
      <c r="C41">
        <v>3172</v>
      </c>
      <c r="D41">
        <v>348</v>
      </c>
      <c r="E41">
        <f t="shared" si="2"/>
        <v>3520</v>
      </c>
      <c r="H41">
        <f t="shared" si="3"/>
        <v>0</v>
      </c>
    </row>
    <row r="42" spans="1:8" x14ac:dyDescent="0.2">
      <c r="A42">
        <v>38</v>
      </c>
      <c r="B42" t="s">
        <v>1025</v>
      </c>
      <c r="C42">
        <v>139</v>
      </c>
      <c r="D42">
        <v>14</v>
      </c>
      <c r="E42">
        <f t="shared" si="2"/>
        <v>153</v>
      </c>
      <c r="H42">
        <f t="shared" si="3"/>
        <v>0</v>
      </c>
    </row>
    <row r="43" spans="1:8" x14ac:dyDescent="0.2">
      <c r="A43">
        <v>39</v>
      </c>
      <c r="B43" t="s">
        <v>1047</v>
      </c>
      <c r="C43">
        <v>322</v>
      </c>
      <c r="D43">
        <v>6</v>
      </c>
      <c r="E43">
        <f t="shared" si="2"/>
        <v>328</v>
      </c>
      <c r="F43">
        <v>52</v>
      </c>
      <c r="G43">
        <v>5</v>
      </c>
      <c r="H43">
        <f t="shared" si="3"/>
        <v>57</v>
      </c>
    </row>
    <row r="44" spans="1:8" x14ac:dyDescent="0.2">
      <c r="A44">
        <v>40</v>
      </c>
      <c r="B44" t="s">
        <v>1039</v>
      </c>
      <c r="C44">
        <v>34</v>
      </c>
      <c r="D44">
        <v>0</v>
      </c>
      <c r="E44">
        <f t="shared" si="2"/>
        <v>34</v>
      </c>
      <c r="F44">
        <v>11</v>
      </c>
      <c r="G44">
        <v>4</v>
      </c>
      <c r="H44">
        <f t="shared" si="3"/>
        <v>15</v>
      </c>
    </row>
    <row r="45" spans="1:8" x14ac:dyDescent="0.2">
      <c r="A45">
        <v>41</v>
      </c>
      <c r="B45" t="s">
        <v>1051</v>
      </c>
      <c r="C45">
        <v>332</v>
      </c>
      <c r="D45">
        <v>28</v>
      </c>
      <c r="E45">
        <f t="shared" si="2"/>
        <v>360</v>
      </c>
      <c r="H45">
        <f t="shared" si="3"/>
        <v>0</v>
      </c>
    </row>
    <row r="46" spans="1:8" x14ac:dyDescent="0.2">
      <c r="A46">
        <v>42</v>
      </c>
      <c r="B46" t="s">
        <v>1057</v>
      </c>
      <c r="C46">
        <v>298</v>
      </c>
      <c r="D46">
        <v>16</v>
      </c>
      <c r="E46">
        <f t="shared" si="2"/>
        <v>314</v>
      </c>
      <c r="H46">
        <f t="shared" si="3"/>
        <v>0</v>
      </c>
    </row>
    <row r="47" spans="1:8" x14ac:dyDescent="0.2">
      <c r="A47">
        <v>43</v>
      </c>
      <c r="B47" t="s">
        <v>1064</v>
      </c>
      <c r="C47">
        <v>31</v>
      </c>
      <c r="D47">
        <v>0</v>
      </c>
      <c r="E47">
        <f t="shared" si="2"/>
        <v>31</v>
      </c>
      <c r="F47">
        <v>19</v>
      </c>
      <c r="G47">
        <v>0</v>
      </c>
      <c r="H47">
        <f t="shared" si="3"/>
        <v>19</v>
      </c>
    </row>
    <row r="48" spans="1:8" x14ac:dyDescent="0.2">
      <c r="A48">
        <v>44</v>
      </c>
      <c r="B48" t="s">
        <v>1024</v>
      </c>
      <c r="E48">
        <f t="shared" si="2"/>
        <v>0</v>
      </c>
      <c r="H48">
        <f t="shared" si="3"/>
        <v>0</v>
      </c>
    </row>
    <row r="49" spans="1:8" x14ac:dyDescent="0.2">
      <c r="A49">
        <v>45</v>
      </c>
      <c r="B49" t="s">
        <v>1044</v>
      </c>
      <c r="C49">
        <v>235</v>
      </c>
      <c r="D49" s="6">
        <f>38</f>
        <v>38</v>
      </c>
      <c r="E49">
        <f t="shared" si="2"/>
        <v>273</v>
      </c>
      <c r="F49">
        <v>67</v>
      </c>
      <c r="G49">
        <v>9</v>
      </c>
      <c r="H49">
        <f t="shared" si="3"/>
        <v>76</v>
      </c>
    </row>
    <row r="50" spans="1:8" x14ac:dyDescent="0.2">
      <c r="A50">
        <v>46</v>
      </c>
      <c r="B50" t="s">
        <v>1066</v>
      </c>
      <c r="C50">
        <v>56</v>
      </c>
      <c r="D50">
        <v>3</v>
      </c>
      <c r="E50">
        <f t="shared" si="2"/>
        <v>59</v>
      </c>
      <c r="F50">
        <v>53</v>
      </c>
      <c r="G50">
        <v>4</v>
      </c>
      <c r="H50">
        <f t="shared" si="3"/>
        <v>57</v>
      </c>
    </row>
    <row r="51" spans="1:8" x14ac:dyDescent="0.2">
      <c r="A51">
        <v>47</v>
      </c>
      <c r="B51" t="s">
        <v>1045</v>
      </c>
      <c r="C51">
        <v>114</v>
      </c>
      <c r="D51">
        <v>11</v>
      </c>
      <c r="E51">
        <f t="shared" si="2"/>
        <v>125</v>
      </c>
      <c r="H51">
        <f t="shared" si="3"/>
        <v>0</v>
      </c>
    </row>
    <row r="52" spans="1:8" x14ac:dyDescent="0.2">
      <c r="A52">
        <v>48</v>
      </c>
      <c r="B52" t="s">
        <v>1034</v>
      </c>
      <c r="C52">
        <v>512</v>
      </c>
      <c r="D52">
        <v>12</v>
      </c>
      <c r="E52">
        <f t="shared" si="2"/>
        <v>524</v>
      </c>
      <c r="H52">
        <f t="shared" si="3"/>
        <v>0</v>
      </c>
    </row>
    <row r="53" spans="1:8" x14ac:dyDescent="0.2">
      <c r="A53">
        <v>49</v>
      </c>
      <c r="B53" t="s">
        <v>1060</v>
      </c>
      <c r="C53">
        <v>38</v>
      </c>
      <c r="D53">
        <v>0</v>
      </c>
      <c r="E53">
        <f t="shared" si="2"/>
        <v>38</v>
      </c>
      <c r="H53">
        <f t="shared" si="3"/>
        <v>0</v>
      </c>
    </row>
    <row r="55" spans="1:8" x14ac:dyDescent="0.2">
      <c r="B55" t="s">
        <v>920</v>
      </c>
      <c r="C55">
        <f t="shared" ref="C55:H55" si="4">SUM(C5:C53)</f>
        <v>16614</v>
      </c>
      <c r="D55">
        <f t="shared" si="4"/>
        <v>1930</v>
      </c>
      <c r="E55">
        <f t="shared" si="4"/>
        <v>18544</v>
      </c>
      <c r="F55">
        <f t="shared" si="4"/>
        <v>2351</v>
      </c>
      <c r="G55">
        <f t="shared" si="4"/>
        <v>324</v>
      </c>
      <c r="H55">
        <f t="shared" si="4"/>
        <v>2675</v>
      </c>
    </row>
  </sheetData>
  <mergeCells count="3">
    <mergeCell ref="C3:E3"/>
    <mergeCell ref="F3:H3"/>
    <mergeCell ref="A1:F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workbookViewId="0">
      <selection activeCell="B36" sqref="B36"/>
    </sheetView>
  </sheetViews>
  <sheetFormatPr defaultRowHeight="12.75" x14ac:dyDescent="0.2"/>
  <sheetData>
    <row r="1" spans="1:12" x14ac:dyDescent="0.2">
      <c r="A1" t="s">
        <v>1424</v>
      </c>
    </row>
    <row r="4" spans="1:12" x14ac:dyDescent="0.2">
      <c r="A4" t="s">
        <v>1337</v>
      </c>
    </row>
    <row r="5" spans="1:12" x14ac:dyDescent="0.2">
      <c r="B5" t="s">
        <v>20</v>
      </c>
      <c r="F5" t="s">
        <v>21</v>
      </c>
      <c r="J5" t="s">
        <v>920</v>
      </c>
      <c r="L5" t="s">
        <v>920</v>
      </c>
    </row>
    <row r="6" spans="1:12" x14ac:dyDescent="0.2">
      <c r="B6" t="s">
        <v>1338</v>
      </c>
      <c r="C6" t="s">
        <v>1339</v>
      </c>
      <c r="D6" t="s">
        <v>1340</v>
      </c>
      <c r="E6" t="s">
        <v>1341</v>
      </c>
      <c r="F6" t="s">
        <v>1338</v>
      </c>
      <c r="G6" t="s">
        <v>1339</v>
      </c>
      <c r="H6" t="s">
        <v>1340</v>
      </c>
      <c r="I6" t="s">
        <v>1341</v>
      </c>
      <c r="J6" t="s">
        <v>1342</v>
      </c>
      <c r="K6" t="s">
        <v>1343</v>
      </c>
      <c r="L6" t="s">
        <v>919</v>
      </c>
    </row>
    <row r="7" spans="1:12" x14ac:dyDescent="0.2">
      <c r="A7">
        <v>2006</v>
      </c>
      <c r="B7" s="1">
        <f t="shared" ref="B7:I7" si="0">B41</f>
        <v>2042100</v>
      </c>
      <c r="C7" s="1">
        <f t="shared" si="0"/>
        <v>718100</v>
      </c>
      <c r="D7" s="1">
        <f t="shared" si="0"/>
        <v>836800</v>
      </c>
      <c r="E7" s="1">
        <f t="shared" si="0"/>
        <v>426900</v>
      </c>
      <c r="F7" s="1">
        <f t="shared" si="0"/>
        <v>203100</v>
      </c>
      <c r="G7" s="1">
        <f t="shared" si="0"/>
        <v>95300</v>
      </c>
      <c r="H7" s="1">
        <f t="shared" si="0"/>
        <v>68800</v>
      </c>
      <c r="I7" s="1">
        <f t="shared" si="0"/>
        <v>32400</v>
      </c>
      <c r="J7" s="1">
        <f>SUM(C7:E7)</f>
        <v>1981800</v>
      </c>
      <c r="K7" s="1">
        <f>SUM(G7:I7)</f>
        <v>196500</v>
      </c>
      <c r="L7" s="1">
        <f>B7+F7</f>
        <v>2245200</v>
      </c>
    </row>
    <row r="8" spans="1:12" x14ac:dyDescent="0.2">
      <c r="A8" t="s">
        <v>1344</v>
      </c>
      <c r="C8" s="14">
        <f>C7/$J7</f>
        <v>0.36234736098496317</v>
      </c>
      <c r="D8" s="14">
        <f>D7/$J7</f>
        <v>0.42224240589363204</v>
      </c>
      <c r="E8" s="14">
        <f>E7/$J7</f>
        <v>0.21541023312140478</v>
      </c>
      <c r="G8" s="14">
        <f>G7/$K7</f>
        <v>0.48498727735368957</v>
      </c>
      <c r="H8" s="14">
        <f>H7/$K7</f>
        <v>0.35012722646310435</v>
      </c>
      <c r="I8" s="14">
        <f>I7/$K7</f>
        <v>0.16488549618320611</v>
      </c>
    </row>
    <row r="11" spans="1:12" x14ac:dyDescent="0.2">
      <c r="A11" t="s">
        <v>1345</v>
      </c>
    </row>
    <row r="12" spans="1:12" x14ac:dyDescent="0.2">
      <c r="B12" t="s">
        <v>20</v>
      </c>
      <c r="F12" t="s">
        <v>21</v>
      </c>
      <c r="J12" t="s">
        <v>920</v>
      </c>
      <c r="L12" t="s">
        <v>920</v>
      </c>
    </row>
    <row r="13" spans="1:12" x14ac:dyDescent="0.2">
      <c r="A13" t="s">
        <v>1346</v>
      </c>
      <c r="B13" t="s">
        <v>1338</v>
      </c>
      <c r="C13" t="s">
        <v>1339</v>
      </c>
      <c r="D13" t="s">
        <v>1340</v>
      </c>
      <c r="E13" t="s">
        <v>1341</v>
      </c>
      <c r="F13" t="s">
        <v>1338</v>
      </c>
      <c r="G13" t="s">
        <v>1339</v>
      </c>
      <c r="H13" t="s">
        <v>1340</v>
      </c>
      <c r="I13" t="s">
        <v>1341</v>
      </c>
      <c r="J13" t="s">
        <v>1342</v>
      </c>
      <c r="K13" t="s">
        <v>1343</v>
      </c>
      <c r="L13" t="s">
        <v>919</v>
      </c>
    </row>
    <row r="14" spans="1:12" x14ac:dyDescent="0.2">
      <c r="A14">
        <v>2010</v>
      </c>
      <c r="B14" s="1">
        <f t="shared" ref="B14:I14" si="1">B83</f>
        <v>1446000</v>
      </c>
      <c r="C14" s="1">
        <f t="shared" si="1"/>
        <v>451600</v>
      </c>
      <c r="D14" s="1">
        <f t="shared" si="1"/>
        <v>561400</v>
      </c>
      <c r="E14" s="1">
        <f t="shared" si="1"/>
        <v>327200</v>
      </c>
      <c r="F14" s="1">
        <f t="shared" si="1"/>
        <v>104600</v>
      </c>
      <c r="G14" s="1">
        <f t="shared" si="1"/>
        <v>48000</v>
      </c>
      <c r="H14" s="1">
        <f t="shared" si="1"/>
        <v>26600</v>
      </c>
      <c r="I14" s="1">
        <f t="shared" si="1"/>
        <v>18700</v>
      </c>
      <c r="J14" s="1">
        <f>SUM(C14:E14)</f>
        <v>1340200</v>
      </c>
      <c r="K14" s="1">
        <f>SUM(G14:I14)</f>
        <v>93300</v>
      </c>
      <c r="L14" s="1">
        <f>B14+F14</f>
        <v>1550600</v>
      </c>
    </row>
    <row r="15" spans="1:12" x14ac:dyDescent="0.2">
      <c r="C15" s="14">
        <f>C14/$J14</f>
        <v>0.33696463214445604</v>
      </c>
      <c r="D15" s="14">
        <f>D14/$J14</f>
        <v>0.41889270258170425</v>
      </c>
      <c r="E15" s="14">
        <f>E14/$J14</f>
        <v>0.24414266527383974</v>
      </c>
      <c r="G15" s="14">
        <f>G14/$K14</f>
        <v>0.51446945337620575</v>
      </c>
      <c r="H15" s="14">
        <f>H14/$K14</f>
        <v>0.28510182207931406</v>
      </c>
      <c r="I15" s="14">
        <f>I14/$K14</f>
        <v>0.20042872454448016</v>
      </c>
    </row>
    <row r="16" spans="1:12" x14ac:dyDescent="0.2">
      <c r="A16" t="s">
        <v>1347</v>
      </c>
    </row>
    <row r="17" spans="1:12" x14ac:dyDescent="0.2">
      <c r="A17">
        <v>2006</v>
      </c>
      <c r="B17">
        <f t="shared" ref="B17:I17" si="2">(B78+B79)/2</f>
        <v>1380800</v>
      </c>
      <c r="C17">
        <f t="shared" si="2"/>
        <v>468850</v>
      </c>
      <c r="D17">
        <f t="shared" si="2"/>
        <v>540700</v>
      </c>
      <c r="E17">
        <f t="shared" si="2"/>
        <v>284750</v>
      </c>
      <c r="F17">
        <f t="shared" si="2"/>
        <v>100850</v>
      </c>
      <c r="G17">
        <f t="shared" si="2"/>
        <v>47450</v>
      </c>
      <c r="H17">
        <f t="shared" si="2"/>
        <v>29250</v>
      </c>
      <c r="I17">
        <f t="shared" si="2"/>
        <v>16700</v>
      </c>
      <c r="J17" s="1">
        <f>SUM(C17:E17)</f>
        <v>1294300</v>
      </c>
      <c r="K17" s="1">
        <f>SUM(G17:I17)</f>
        <v>93400</v>
      </c>
      <c r="L17" s="1">
        <f>B17+F17</f>
        <v>1481650</v>
      </c>
    </row>
    <row r="18" spans="1:12" x14ac:dyDescent="0.2">
      <c r="C18" s="14">
        <f>C17/$J17</f>
        <v>0.36224213860774163</v>
      </c>
      <c r="D18" s="14">
        <f>D17/$J17</f>
        <v>0.41775477091864327</v>
      </c>
      <c r="E18" s="14">
        <f>E17/$J17</f>
        <v>0.22000309047361508</v>
      </c>
      <c r="G18" s="14">
        <f>G17/$K17</f>
        <v>0.50802997858672372</v>
      </c>
      <c r="H18" s="14">
        <f>H17/$K17</f>
        <v>0.31316916488222696</v>
      </c>
      <c r="I18" s="14">
        <f>I17/$K17</f>
        <v>0.17880085653104924</v>
      </c>
    </row>
    <row r="21" spans="1:12" x14ac:dyDescent="0.2">
      <c r="A21" t="s">
        <v>1348</v>
      </c>
    </row>
    <row r="22" spans="1:12" x14ac:dyDescent="0.2">
      <c r="B22" t="s">
        <v>920</v>
      </c>
      <c r="C22" t="s">
        <v>907</v>
      </c>
      <c r="I22" t="s">
        <v>1349</v>
      </c>
      <c r="K22" t="s">
        <v>920</v>
      </c>
    </row>
    <row r="23" spans="1:12" x14ac:dyDescent="0.2">
      <c r="A23" t="s">
        <v>1350</v>
      </c>
      <c r="B23" t="s">
        <v>1351</v>
      </c>
      <c r="C23" t="s">
        <v>1159</v>
      </c>
      <c r="D23" t="s">
        <v>1352</v>
      </c>
      <c r="E23" t="s">
        <v>760</v>
      </c>
      <c r="F23" t="s">
        <v>1353</v>
      </c>
      <c r="G23" t="s">
        <v>1354</v>
      </c>
      <c r="H23" t="s">
        <v>1163</v>
      </c>
      <c r="I23" t="s">
        <v>924</v>
      </c>
      <c r="J23" t="s">
        <v>914</v>
      </c>
      <c r="K23" t="s">
        <v>919</v>
      </c>
    </row>
    <row r="24" spans="1:12" x14ac:dyDescent="0.2">
      <c r="A24">
        <v>2006</v>
      </c>
      <c r="B24" s="1">
        <f>SUM(C24:H24)</f>
        <v>765800</v>
      </c>
      <c r="C24" s="1">
        <f>E147</f>
        <v>336500</v>
      </c>
      <c r="D24" s="1">
        <f>E148</f>
        <v>295900</v>
      </c>
      <c r="E24" s="1">
        <f>E149</f>
        <v>119200</v>
      </c>
      <c r="F24" s="1">
        <f>E150</f>
        <v>8400</v>
      </c>
      <c r="G24" s="1">
        <f>E151</f>
        <v>5100</v>
      </c>
      <c r="H24" s="1">
        <f>E152</f>
        <v>700</v>
      </c>
      <c r="I24" s="1">
        <f>E138</f>
        <v>666819</v>
      </c>
      <c r="J24" s="1">
        <f>E139</f>
        <v>99000</v>
      </c>
      <c r="K24" s="1">
        <f>I24+J24</f>
        <v>765819</v>
      </c>
    </row>
    <row r="25" spans="1:12" x14ac:dyDescent="0.2">
      <c r="C25" s="14">
        <f t="shared" ref="C25:H25" si="3">C24/$B24</f>
        <v>0.43940976756333244</v>
      </c>
      <c r="D25" s="14">
        <f t="shared" si="3"/>
        <v>0.38639331418124839</v>
      </c>
      <c r="E25" s="14">
        <f t="shared" si="3"/>
        <v>0.15565421781143901</v>
      </c>
      <c r="F25" s="14">
        <f t="shared" si="3"/>
        <v>1.0968921389396709E-2</v>
      </c>
      <c r="G25" s="14">
        <f t="shared" si="3"/>
        <v>6.6597022721337166E-3</v>
      </c>
      <c r="H25" s="14">
        <f t="shared" si="3"/>
        <v>9.1407678244972577E-4</v>
      </c>
    </row>
    <row r="29" spans="1:12" x14ac:dyDescent="0.2">
      <c r="A29" t="s">
        <v>362</v>
      </c>
    </row>
    <row r="30" spans="1:12" x14ac:dyDescent="0.2">
      <c r="A30" t="s">
        <v>1355</v>
      </c>
    </row>
    <row r="31" spans="1:12" x14ac:dyDescent="0.2">
      <c r="A31" t="s">
        <v>1356</v>
      </c>
    </row>
    <row r="32" spans="1:12" x14ac:dyDescent="0.2">
      <c r="A32" t="s">
        <v>1357</v>
      </c>
    </row>
    <row r="33" spans="1:9" x14ac:dyDescent="0.2">
      <c r="A33" t="s">
        <v>1358</v>
      </c>
    </row>
    <row r="34" spans="1:9" x14ac:dyDescent="0.2">
      <c r="A34" t="s">
        <v>1359</v>
      </c>
    </row>
    <row r="35" spans="1:9" x14ac:dyDescent="0.2">
      <c r="A35" t="s">
        <v>510</v>
      </c>
    </row>
    <row r="36" spans="1:9" x14ac:dyDescent="0.2">
      <c r="A36" t="s">
        <v>1360</v>
      </c>
    </row>
    <row r="38" spans="1:9" x14ac:dyDescent="0.2">
      <c r="A38" t="s">
        <v>1361</v>
      </c>
    </row>
    <row r="39" spans="1:9" x14ac:dyDescent="0.2">
      <c r="C39" t="s">
        <v>1362</v>
      </c>
      <c r="G39" t="s">
        <v>1363</v>
      </c>
    </row>
    <row r="40" spans="1:9" x14ac:dyDescent="0.2">
      <c r="B40" t="s">
        <v>1338</v>
      </c>
      <c r="C40" t="s">
        <v>1339</v>
      </c>
      <c r="D40" t="s">
        <v>1364</v>
      </c>
      <c r="E40" t="s">
        <v>760</v>
      </c>
      <c r="F40" t="s">
        <v>1338</v>
      </c>
      <c r="G40" t="s">
        <v>1339</v>
      </c>
      <c r="H40" t="s">
        <v>1364</v>
      </c>
      <c r="I40" t="s">
        <v>760</v>
      </c>
    </row>
    <row r="41" spans="1:9" x14ac:dyDescent="0.2">
      <c r="A41" t="s">
        <v>1365</v>
      </c>
      <c r="B41" s="1">
        <v>2042100</v>
      </c>
      <c r="C41" s="1">
        <v>718100</v>
      </c>
      <c r="D41" s="1">
        <v>836800</v>
      </c>
      <c r="E41" s="1">
        <v>426900</v>
      </c>
      <c r="F41" s="1">
        <v>203100</v>
      </c>
      <c r="G41" s="1">
        <v>95300</v>
      </c>
      <c r="H41" s="1">
        <v>68800</v>
      </c>
      <c r="I41" s="1">
        <v>32400</v>
      </c>
    </row>
    <row r="42" spans="1:9" x14ac:dyDescent="0.2">
      <c r="A42" t="s">
        <v>1366</v>
      </c>
      <c r="B42" s="1">
        <v>80500</v>
      </c>
      <c r="C42" s="1">
        <v>24800</v>
      </c>
      <c r="D42" s="1">
        <v>33000</v>
      </c>
      <c r="E42" s="1">
        <v>15300</v>
      </c>
      <c r="F42" s="1">
        <v>4900</v>
      </c>
      <c r="G42" s="1">
        <v>2000</v>
      </c>
      <c r="H42" s="1">
        <v>1600</v>
      </c>
      <c r="I42" s="1">
        <v>1200</v>
      </c>
    </row>
    <row r="43" spans="1:9" x14ac:dyDescent="0.2">
      <c r="A43" t="s">
        <v>1367</v>
      </c>
      <c r="B43" s="1">
        <v>365700</v>
      </c>
      <c r="C43" s="1">
        <v>111100</v>
      </c>
      <c r="D43" s="1">
        <v>160000</v>
      </c>
      <c r="E43" s="1">
        <v>84900</v>
      </c>
      <c r="F43" s="1">
        <v>29600</v>
      </c>
      <c r="G43" s="1">
        <v>13900</v>
      </c>
      <c r="H43" s="1">
        <v>9300</v>
      </c>
      <c r="I43" s="1">
        <v>5900</v>
      </c>
    </row>
    <row r="44" spans="1:9" x14ac:dyDescent="0.2">
      <c r="A44" t="s">
        <v>1368</v>
      </c>
      <c r="B44" s="1">
        <v>359300</v>
      </c>
      <c r="C44" s="1">
        <v>103700</v>
      </c>
      <c r="D44" s="1">
        <v>156200</v>
      </c>
      <c r="E44" s="1">
        <v>90800</v>
      </c>
      <c r="F44" s="1">
        <v>30300</v>
      </c>
      <c r="G44" s="1">
        <v>13700</v>
      </c>
      <c r="H44" s="1">
        <v>10100</v>
      </c>
      <c r="I44" s="1">
        <v>5600</v>
      </c>
    </row>
    <row r="45" spans="1:9" x14ac:dyDescent="0.2">
      <c r="A45" t="s">
        <v>1369</v>
      </c>
      <c r="B45" s="1">
        <v>328300</v>
      </c>
      <c r="C45" s="1">
        <v>109600</v>
      </c>
      <c r="D45" s="1">
        <v>132400</v>
      </c>
      <c r="E45" s="1">
        <v>78000</v>
      </c>
      <c r="F45" s="1">
        <v>36000</v>
      </c>
      <c r="G45" s="1">
        <v>16800</v>
      </c>
      <c r="H45" s="1">
        <v>12100</v>
      </c>
      <c r="I45" s="1">
        <v>6000</v>
      </c>
    </row>
    <row r="46" spans="1:9" x14ac:dyDescent="0.2">
      <c r="A46" t="s">
        <v>1370</v>
      </c>
      <c r="B46" s="1">
        <v>298700</v>
      </c>
      <c r="C46" s="1">
        <v>110900</v>
      </c>
      <c r="D46" s="1">
        <v>120500</v>
      </c>
      <c r="E46" s="1">
        <v>58300</v>
      </c>
      <c r="F46" s="1">
        <v>39800</v>
      </c>
      <c r="G46" s="1">
        <v>18900</v>
      </c>
      <c r="H46" s="1">
        <v>13800</v>
      </c>
      <c r="I46" s="1">
        <v>5600</v>
      </c>
    </row>
    <row r="47" spans="1:9" x14ac:dyDescent="0.2">
      <c r="A47" t="s">
        <v>1371</v>
      </c>
      <c r="B47" s="1">
        <v>262600</v>
      </c>
      <c r="C47" s="1">
        <v>107200</v>
      </c>
      <c r="D47" s="1">
        <v>103000</v>
      </c>
      <c r="E47" s="1">
        <v>43200</v>
      </c>
      <c r="F47" s="1">
        <v>32000</v>
      </c>
      <c r="G47" s="1">
        <v>15100</v>
      </c>
      <c r="H47" s="1">
        <v>11700</v>
      </c>
      <c r="I47" s="1">
        <v>4200</v>
      </c>
    </row>
    <row r="48" spans="1:9" x14ac:dyDescent="0.2">
      <c r="A48" t="s">
        <v>1372</v>
      </c>
      <c r="B48" s="1">
        <v>257400</v>
      </c>
      <c r="C48" s="1">
        <v>105100</v>
      </c>
      <c r="D48" s="1">
        <v>101000</v>
      </c>
      <c r="E48" s="1">
        <v>41500</v>
      </c>
      <c r="F48" s="1">
        <v>24600</v>
      </c>
      <c r="G48" s="1">
        <v>11700</v>
      </c>
      <c r="H48" s="1">
        <v>8700</v>
      </c>
      <c r="I48" s="1">
        <v>3100</v>
      </c>
    </row>
    <row r="49" spans="1:9" x14ac:dyDescent="0.2">
      <c r="A49" t="s">
        <v>1373</v>
      </c>
      <c r="B49" s="1">
        <v>79000</v>
      </c>
      <c r="C49" s="1">
        <v>41800</v>
      </c>
      <c r="D49" s="1">
        <v>22200</v>
      </c>
      <c r="E49" s="1">
        <v>12200</v>
      </c>
      <c r="F49" s="1">
        <v>4700</v>
      </c>
      <c r="G49" s="1">
        <v>2800</v>
      </c>
      <c r="H49" s="1">
        <v>1000</v>
      </c>
      <c r="I49">
        <v>700</v>
      </c>
    </row>
    <row r="50" spans="1:9" x14ac:dyDescent="0.2">
      <c r="A50" t="s">
        <v>1374</v>
      </c>
    </row>
    <row r="51" spans="1:9" x14ac:dyDescent="0.2">
      <c r="A51" t="s">
        <v>1375</v>
      </c>
    </row>
    <row r="52" spans="1:9" x14ac:dyDescent="0.2">
      <c r="A52" t="s">
        <v>1376</v>
      </c>
    </row>
    <row r="53" spans="1:9" x14ac:dyDescent="0.2">
      <c r="A53" t="s">
        <v>1377</v>
      </c>
    </row>
    <row r="54" spans="1:9" x14ac:dyDescent="0.2">
      <c r="A54" t="s">
        <v>1378</v>
      </c>
    </row>
    <row r="61" spans="1:9" x14ac:dyDescent="0.2">
      <c r="A61" t="s">
        <v>362</v>
      </c>
    </row>
    <row r="62" spans="1:9" x14ac:dyDescent="0.2">
      <c r="A62" t="s">
        <v>1379</v>
      </c>
    </row>
    <row r="63" spans="1:9" x14ac:dyDescent="0.2">
      <c r="A63" t="s">
        <v>1380</v>
      </c>
    </row>
    <row r="64" spans="1:9" x14ac:dyDescent="0.2">
      <c r="A64" t="s">
        <v>365</v>
      </c>
    </row>
    <row r="65" spans="1:9" x14ac:dyDescent="0.2">
      <c r="A65" t="s">
        <v>366</v>
      </c>
    </row>
    <row r="66" spans="1:9" x14ac:dyDescent="0.2">
      <c r="A66" t="s">
        <v>367</v>
      </c>
    </row>
    <row r="67" spans="1:9" x14ac:dyDescent="0.2">
      <c r="A67" t="s">
        <v>368</v>
      </c>
    </row>
    <row r="68" spans="1:9" x14ac:dyDescent="0.2">
      <c r="A68" t="s">
        <v>1381</v>
      </c>
    </row>
    <row r="70" spans="1:9" x14ac:dyDescent="0.2">
      <c r="A70" t="s">
        <v>1380</v>
      </c>
    </row>
    <row r="71" spans="1:9" x14ac:dyDescent="0.2">
      <c r="B71" t="s">
        <v>20</v>
      </c>
      <c r="F71" t="s">
        <v>21</v>
      </c>
    </row>
    <row r="72" spans="1:9" x14ac:dyDescent="0.2">
      <c r="A72" t="s">
        <v>1017</v>
      </c>
      <c r="B72" t="s">
        <v>1338</v>
      </c>
      <c r="C72" t="s">
        <v>1339</v>
      </c>
      <c r="D72" t="s">
        <v>1340</v>
      </c>
      <c r="E72" t="s">
        <v>1341</v>
      </c>
      <c r="F72" t="s">
        <v>1338</v>
      </c>
      <c r="G72" t="s">
        <v>1339</v>
      </c>
      <c r="H72" t="s">
        <v>1340</v>
      </c>
      <c r="I72" t="s">
        <v>1341</v>
      </c>
    </row>
    <row r="73" spans="1:9" x14ac:dyDescent="0.2">
      <c r="A73">
        <v>2000</v>
      </c>
      <c r="B73" s="1">
        <v>1237500</v>
      </c>
      <c r="C73" s="1">
        <v>436500</v>
      </c>
      <c r="D73" s="1">
        <v>572900</v>
      </c>
      <c r="E73">
        <v>206900</v>
      </c>
      <c r="F73" s="1">
        <v>83700</v>
      </c>
      <c r="G73" s="1">
        <v>34500</v>
      </c>
      <c r="H73" s="1">
        <v>37400</v>
      </c>
      <c r="I73" s="1">
        <v>10000</v>
      </c>
    </row>
    <row r="74" spans="1:9" x14ac:dyDescent="0.2">
      <c r="A74">
        <v>2001</v>
      </c>
      <c r="B74" s="1">
        <v>1259500</v>
      </c>
      <c r="C74" s="1">
        <v>449200</v>
      </c>
      <c r="D74" s="1">
        <v>585800</v>
      </c>
      <c r="E74" s="1">
        <v>199700</v>
      </c>
      <c r="F74" s="1">
        <v>85000</v>
      </c>
      <c r="G74" s="1">
        <v>36200</v>
      </c>
      <c r="H74" s="1">
        <v>36400</v>
      </c>
      <c r="I74" s="1">
        <v>10200</v>
      </c>
    </row>
    <row r="75" spans="1:9" x14ac:dyDescent="0.2">
      <c r="A75">
        <v>2002</v>
      </c>
      <c r="B75" s="1">
        <v>1291300</v>
      </c>
      <c r="C75" s="1">
        <v>436800</v>
      </c>
      <c r="D75" s="1">
        <v>586700</v>
      </c>
      <c r="E75" s="1">
        <v>235000</v>
      </c>
      <c r="F75" s="1">
        <v>89000</v>
      </c>
      <c r="G75" s="1">
        <v>35400</v>
      </c>
      <c r="H75" s="1">
        <v>36000</v>
      </c>
      <c r="I75" s="1">
        <v>15000</v>
      </c>
    </row>
    <row r="76" spans="1:9" x14ac:dyDescent="0.2">
      <c r="A76">
        <v>2003</v>
      </c>
      <c r="B76" s="1">
        <v>1316500</v>
      </c>
      <c r="C76" s="1">
        <v>454300</v>
      </c>
      <c r="D76" s="1">
        <v>586300</v>
      </c>
      <c r="E76">
        <v>251900</v>
      </c>
      <c r="F76" s="1">
        <v>92800</v>
      </c>
      <c r="G76" s="1">
        <v>39100</v>
      </c>
      <c r="H76" s="1">
        <v>35000</v>
      </c>
      <c r="I76" s="1">
        <v>16200</v>
      </c>
    </row>
    <row r="77" spans="1:9" x14ac:dyDescent="0.2">
      <c r="A77">
        <v>2004</v>
      </c>
      <c r="B77" s="1">
        <v>1337700</v>
      </c>
      <c r="C77" s="1">
        <v>449300</v>
      </c>
      <c r="D77" s="1">
        <v>551300</v>
      </c>
      <c r="E77">
        <v>260600</v>
      </c>
      <c r="F77" s="1">
        <v>96100</v>
      </c>
      <c r="G77" s="1">
        <v>42500</v>
      </c>
      <c r="H77" s="1">
        <v>32100</v>
      </c>
      <c r="I77" s="1">
        <v>15000</v>
      </c>
    </row>
    <row r="78" spans="1:9" x14ac:dyDescent="0.2">
      <c r="A78">
        <v>2005</v>
      </c>
      <c r="B78" s="1">
        <v>1362500</v>
      </c>
      <c r="C78" s="1">
        <v>459700</v>
      </c>
      <c r="D78" s="1">
        <v>547200</v>
      </c>
      <c r="E78">
        <v>279000</v>
      </c>
      <c r="F78" s="1">
        <v>98600</v>
      </c>
      <c r="G78" s="1">
        <v>45800</v>
      </c>
      <c r="H78" s="1">
        <v>29900</v>
      </c>
      <c r="I78" s="1">
        <v>15900</v>
      </c>
    </row>
    <row r="79" spans="1:9" x14ac:dyDescent="0.2">
      <c r="A79">
        <v>2006</v>
      </c>
      <c r="B79" s="1">
        <v>1399100</v>
      </c>
      <c r="C79" s="1">
        <v>478000</v>
      </c>
      <c r="D79" s="1">
        <v>534200</v>
      </c>
      <c r="E79">
        <v>290500</v>
      </c>
      <c r="F79" s="1">
        <v>103100</v>
      </c>
      <c r="G79" s="1">
        <v>49100</v>
      </c>
      <c r="H79" s="1">
        <v>28600</v>
      </c>
      <c r="I79" s="1">
        <v>17500</v>
      </c>
    </row>
    <row r="80" spans="1:9" x14ac:dyDescent="0.2">
      <c r="A80">
        <v>2007</v>
      </c>
      <c r="B80" s="1">
        <v>1427300</v>
      </c>
      <c r="C80" s="1">
        <v>471400</v>
      </c>
      <c r="D80" s="1">
        <v>556900</v>
      </c>
      <c r="E80">
        <v>301200</v>
      </c>
      <c r="F80" s="1">
        <v>105500</v>
      </c>
      <c r="G80" s="1">
        <v>50500</v>
      </c>
      <c r="H80" s="1">
        <v>29300</v>
      </c>
      <c r="I80" s="1">
        <v>17600</v>
      </c>
    </row>
    <row r="81" spans="1:9" x14ac:dyDescent="0.2">
      <c r="A81">
        <v>2008</v>
      </c>
      <c r="B81" s="1">
        <v>1434800</v>
      </c>
      <c r="C81" s="1">
        <v>477500</v>
      </c>
      <c r="D81" s="1">
        <v>562800</v>
      </c>
      <c r="E81">
        <v>295800</v>
      </c>
      <c r="F81" s="1">
        <v>105300</v>
      </c>
      <c r="G81" s="1">
        <v>50700</v>
      </c>
      <c r="H81" s="1">
        <v>29100</v>
      </c>
      <c r="I81" s="1">
        <v>17300</v>
      </c>
    </row>
    <row r="82" spans="1:9" x14ac:dyDescent="0.2">
      <c r="A82">
        <v>2009</v>
      </c>
      <c r="B82" s="1">
        <v>1443500</v>
      </c>
      <c r="C82" s="1">
        <v>479000</v>
      </c>
      <c r="D82" s="1">
        <v>563500</v>
      </c>
      <c r="E82">
        <v>303500</v>
      </c>
      <c r="F82" s="1">
        <v>105200</v>
      </c>
      <c r="G82" s="1">
        <v>51200</v>
      </c>
      <c r="H82" s="1">
        <v>28200</v>
      </c>
      <c r="I82" s="1">
        <v>17500</v>
      </c>
    </row>
    <row r="83" spans="1:9" x14ac:dyDescent="0.2">
      <c r="A83" t="s">
        <v>1382</v>
      </c>
      <c r="B83" s="1">
        <v>1446000</v>
      </c>
      <c r="C83" s="1">
        <v>451600</v>
      </c>
      <c r="D83" s="1">
        <v>561400</v>
      </c>
      <c r="E83" s="1">
        <v>327200</v>
      </c>
      <c r="F83" s="1">
        <v>104600</v>
      </c>
      <c r="G83" s="1">
        <v>48000</v>
      </c>
      <c r="H83" s="1">
        <v>26600</v>
      </c>
      <c r="I83" s="1">
        <v>18700</v>
      </c>
    </row>
    <row r="84" spans="1:9" x14ac:dyDescent="0.2">
      <c r="A84" t="s">
        <v>1383</v>
      </c>
    </row>
    <row r="85" spans="1:9" x14ac:dyDescent="0.2">
      <c r="A85" t="s">
        <v>1384</v>
      </c>
    </row>
    <row r="86" spans="1:9" x14ac:dyDescent="0.2">
      <c r="A86" t="s">
        <v>1385</v>
      </c>
    </row>
    <row r="87" spans="1:9" x14ac:dyDescent="0.2">
      <c r="A87" t="s">
        <v>1386</v>
      </c>
    </row>
    <row r="88" spans="1:9" x14ac:dyDescent="0.2">
      <c r="A88" t="s">
        <v>1387</v>
      </c>
    </row>
    <row r="92" spans="1:9" x14ac:dyDescent="0.2">
      <c r="A92" t="s">
        <v>362</v>
      </c>
    </row>
    <row r="93" spans="1:9" x14ac:dyDescent="0.2">
      <c r="A93" t="s">
        <v>1388</v>
      </c>
    </row>
    <row r="94" spans="1:9" x14ac:dyDescent="0.2">
      <c r="A94" t="s">
        <v>1389</v>
      </c>
    </row>
    <row r="95" spans="1:9" x14ac:dyDescent="0.2">
      <c r="A95" t="s">
        <v>1193</v>
      </c>
    </row>
    <row r="96" spans="1:9" x14ac:dyDescent="0.2">
      <c r="A96" t="s">
        <v>366</v>
      </c>
    </row>
    <row r="97" spans="1:12" x14ac:dyDescent="0.2">
      <c r="A97" t="s">
        <v>1182</v>
      </c>
    </row>
    <row r="98" spans="1:12" x14ac:dyDescent="0.2">
      <c r="A98" t="s">
        <v>368</v>
      </c>
    </row>
    <row r="99" spans="1:12" x14ac:dyDescent="0.2">
      <c r="A99" t="s">
        <v>1183</v>
      </c>
    </row>
    <row r="100" spans="1:12" x14ac:dyDescent="0.2">
      <c r="A100" t="s">
        <v>1184</v>
      </c>
    </row>
    <row r="101" spans="1:12" x14ac:dyDescent="0.2">
      <c r="A101" t="s">
        <v>1389</v>
      </c>
    </row>
    <row r="103" spans="1:12" x14ac:dyDescent="0.2">
      <c r="D103" t="s">
        <v>20</v>
      </c>
      <c r="I103" t="s">
        <v>21</v>
      </c>
    </row>
    <row r="104" spans="1:12" x14ac:dyDescent="0.2">
      <c r="A104" t="s">
        <v>1390</v>
      </c>
      <c r="C104" t="s">
        <v>1391</v>
      </c>
      <c r="D104" t="s">
        <v>1392</v>
      </c>
      <c r="E104" t="s">
        <v>1393</v>
      </c>
      <c r="F104" t="s">
        <v>1394</v>
      </c>
      <c r="G104" t="s">
        <v>1341</v>
      </c>
      <c r="I104" t="s">
        <v>1395</v>
      </c>
      <c r="J104" t="s">
        <v>1393</v>
      </c>
      <c r="K104" t="s">
        <v>1394</v>
      </c>
      <c r="L104" t="s">
        <v>1341</v>
      </c>
    </row>
    <row r="105" spans="1:12" x14ac:dyDescent="0.2">
      <c r="B105" t="s">
        <v>1396</v>
      </c>
      <c r="C105" s="1">
        <v>1537415</v>
      </c>
      <c r="D105" s="1">
        <v>1433741</v>
      </c>
      <c r="E105" s="1">
        <v>465100</v>
      </c>
      <c r="F105" s="1">
        <v>555300</v>
      </c>
      <c r="G105" s="1">
        <v>331500</v>
      </c>
      <c r="I105" s="1">
        <v>103674</v>
      </c>
      <c r="J105" s="1">
        <v>51100</v>
      </c>
      <c r="K105" s="1">
        <v>26000</v>
      </c>
      <c r="L105" s="1">
        <v>18400</v>
      </c>
    </row>
    <row r="106" spans="1:12" x14ac:dyDescent="0.2">
      <c r="A106" t="s">
        <v>1397</v>
      </c>
      <c r="C106" s="1">
        <v>22500</v>
      </c>
      <c r="D106" s="1">
        <v>21600</v>
      </c>
      <c r="E106" s="1">
        <v>4200</v>
      </c>
      <c r="F106" s="1">
        <v>10600</v>
      </c>
      <c r="G106" s="1">
        <v>5600</v>
      </c>
      <c r="I106">
        <v>900</v>
      </c>
      <c r="J106">
        <v>300</v>
      </c>
      <c r="K106">
        <v>300</v>
      </c>
      <c r="L106">
        <v>200</v>
      </c>
    </row>
    <row r="107" spans="1:12" x14ac:dyDescent="0.2">
      <c r="A107" t="s">
        <v>1398</v>
      </c>
      <c r="C107" s="1">
        <v>190000</v>
      </c>
      <c r="D107" s="1">
        <v>178400</v>
      </c>
      <c r="E107" s="1">
        <v>45900</v>
      </c>
      <c r="F107" s="1">
        <v>76500</v>
      </c>
      <c r="G107" s="1">
        <v>45800</v>
      </c>
      <c r="I107" s="1">
        <v>11600</v>
      </c>
      <c r="J107" s="1">
        <v>5300</v>
      </c>
      <c r="K107" s="1">
        <v>3000</v>
      </c>
      <c r="L107" s="1">
        <v>2400</v>
      </c>
    </row>
    <row r="108" spans="1:12" x14ac:dyDescent="0.2">
      <c r="A108" t="s">
        <v>1399</v>
      </c>
      <c r="C108" s="1">
        <v>252100</v>
      </c>
      <c r="D108" s="1">
        <v>234100</v>
      </c>
      <c r="E108" s="1">
        <v>66800</v>
      </c>
      <c r="F108" s="1">
        <v>91900</v>
      </c>
      <c r="G108" s="1">
        <v>62400</v>
      </c>
      <c r="I108" s="1">
        <v>18000</v>
      </c>
      <c r="J108" s="1">
        <v>8800</v>
      </c>
      <c r="K108" s="1">
        <v>4300</v>
      </c>
      <c r="L108" s="1">
        <v>3600</v>
      </c>
    </row>
    <row r="109" spans="1:12" x14ac:dyDescent="0.2">
      <c r="A109" t="s">
        <v>1400</v>
      </c>
      <c r="C109" s="1">
        <v>254800</v>
      </c>
      <c r="D109" s="1">
        <v>236700</v>
      </c>
      <c r="E109" s="1">
        <v>67200</v>
      </c>
      <c r="F109" s="1">
        <v>94900</v>
      </c>
      <c r="G109" s="1">
        <v>61900</v>
      </c>
      <c r="I109" s="1">
        <v>18100</v>
      </c>
      <c r="J109" s="1">
        <v>8900</v>
      </c>
      <c r="K109" s="1">
        <v>4400</v>
      </c>
      <c r="L109" s="1">
        <v>3500</v>
      </c>
    </row>
    <row r="110" spans="1:12" x14ac:dyDescent="0.2">
      <c r="A110" t="s">
        <v>1401</v>
      </c>
      <c r="C110" s="1">
        <v>212200</v>
      </c>
      <c r="D110" s="1">
        <v>197000</v>
      </c>
      <c r="E110" s="1">
        <v>59500</v>
      </c>
      <c r="F110" s="1">
        <v>76400</v>
      </c>
      <c r="G110" s="1">
        <v>50200</v>
      </c>
      <c r="I110" s="1">
        <v>15300</v>
      </c>
      <c r="J110" s="1">
        <v>7600</v>
      </c>
      <c r="K110" s="1">
        <v>3700</v>
      </c>
      <c r="L110" s="1">
        <v>2700</v>
      </c>
    </row>
    <row r="111" spans="1:12" x14ac:dyDescent="0.2">
      <c r="A111" t="s">
        <v>1402</v>
      </c>
      <c r="C111" s="1">
        <v>193200</v>
      </c>
      <c r="D111" s="1">
        <v>178600</v>
      </c>
      <c r="E111" s="1">
        <v>62400</v>
      </c>
      <c r="F111" s="1">
        <v>67200</v>
      </c>
      <c r="G111" s="1">
        <v>38700</v>
      </c>
      <c r="I111" s="1">
        <v>14600</v>
      </c>
      <c r="J111" s="1">
        <v>7200</v>
      </c>
      <c r="K111" s="1">
        <v>3800</v>
      </c>
      <c r="L111" s="1">
        <v>2400</v>
      </c>
    </row>
    <row r="112" spans="1:12" x14ac:dyDescent="0.2">
      <c r="A112" t="s">
        <v>1403</v>
      </c>
      <c r="C112" s="1">
        <v>170200</v>
      </c>
      <c r="D112" s="1">
        <v>158100</v>
      </c>
      <c r="E112" s="1">
        <v>60000</v>
      </c>
      <c r="F112" s="1">
        <v>59000</v>
      </c>
      <c r="G112" s="1">
        <v>29500</v>
      </c>
      <c r="I112" s="1">
        <v>12200</v>
      </c>
      <c r="J112" s="1">
        <v>6200</v>
      </c>
      <c r="K112" s="1">
        <v>3300</v>
      </c>
      <c r="L112" s="1">
        <v>1700</v>
      </c>
    </row>
    <row r="113" spans="1:12" x14ac:dyDescent="0.2">
      <c r="A113" t="s">
        <v>1404</v>
      </c>
      <c r="C113" s="1">
        <v>118000</v>
      </c>
      <c r="D113" s="1">
        <v>110600</v>
      </c>
      <c r="E113" s="1">
        <v>44200</v>
      </c>
      <c r="F113" s="1">
        <v>41200</v>
      </c>
      <c r="G113" s="1">
        <v>18400</v>
      </c>
      <c r="I113" s="1">
        <v>7300</v>
      </c>
      <c r="J113" s="1">
        <v>3700</v>
      </c>
      <c r="K113" s="1">
        <v>2000</v>
      </c>
      <c r="L113" s="1">
        <v>1000</v>
      </c>
    </row>
    <row r="114" spans="1:12" x14ac:dyDescent="0.2">
      <c r="A114" t="s">
        <v>1405</v>
      </c>
      <c r="C114" s="1">
        <v>63200</v>
      </c>
      <c r="D114" s="1">
        <v>59900</v>
      </c>
      <c r="E114" s="1">
        <v>25300</v>
      </c>
      <c r="F114" s="1">
        <v>21300</v>
      </c>
      <c r="G114" s="1">
        <v>9800</v>
      </c>
      <c r="I114" s="1">
        <v>3300</v>
      </c>
      <c r="J114" s="1">
        <v>1700</v>
      </c>
      <c r="K114">
        <v>800</v>
      </c>
      <c r="L114">
        <v>500</v>
      </c>
    </row>
    <row r="115" spans="1:12" x14ac:dyDescent="0.2">
      <c r="A115" t="s">
        <v>1406</v>
      </c>
      <c r="C115" s="1">
        <v>32500</v>
      </c>
      <c r="D115" s="1">
        <v>31100</v>
      </c>
      <c r="E115" s="1">
        <v>15000</v>
      </c>
      <c r="F115" s="1">
        <v>9200</v>
      </c>
      <c r="G115" s="1">
        <v>4900</v>
      </c>
      <c r="I115" s="1">
        <v>1400</v>
      </c>
      <c r="J115">
        <v>800</v>
      </c>
      <c r="K115">
        <v>300</v>
      </c>
      <c r="L115">
        <v>200</v>
      </c>
    </row>
    <row r="116" spans="1:12" x14ac:dyDescent="0.2">
      <c r="A116" t="s">
        <v>1407</v>
      </c>
      <c r="C116" s="1">
        <v>26100</v>
      </c>
      <c r="D116" s="1">
        <v>25200</v>
      </c>
      <c r="E116" s="1">
        <v>14100</v>
      </c>
      <c r="F116" s="1">
        <v>5800</v>
      </c>
      <c r="G116" s="1">
        <v>3700</v>
      </c>
      <c r="I116">
        <v>900</v>
      </c>
      <c r="J116">
        <v>500</v>
      </c>
      <c r="K116">
        <v>200</v>
      </c>
      <c r="L116">
        <v>100</v>
      </c>
    </row>
    <row r="117" spans="1:12" x14ac:dyDescent="0.2">
      <c r="A117" t="s">
        <v>1408</v>
      </c>
    </row>
    <row r="118" spans="1:12" x14ac:dyDescent="0.2">
      <c r="A118" t="s">
        <v>1409</v>
      </c>
    </row>
    <row r="119" spans="1:12" x14ac:dyDescent="0.2">
      <c r="A119" t="s">
        <v>1410</v>
      </c>
    </row>
    <row r="120" spans="1:12" x14ac:dyDescent="0.2">
      <c r="A120" t="s">
        <v>1411</v>
      </c>
    </row>
    <row r="121" spans="1:12" x14ac:dyDescent="0.2">
      <c r="A121" t="s">
        <v>1412</v>
      </c>
    </row>
    <row r="125" spans="1:12" x14ac:dyDescent="0.2">
      <c r="A125" t="s">
        <v>362</v>
      </c>
    </row>
    <row r="126" spans="1:12" x14ac:dyDescent="0.2">
      <c r="A126" t="s">
        <v>1413</v>
      </c>
    </row>
    <row r="127" spans="1:12" x14ac:dyDescent="0.2">
      <c r="A127" t="s">
        <v>1414</v>
      </c>
    </row>
    <row r="128" spans="1:12" x14ac:dyDescent="0.2">
      <c r="A128" t="s">
        <v>1415</v>
      </c>
    </row>
    <row r="129" spans="1:12" x14ac:dyDescent="0.2">
      <c r="A129" t="s">
        <v>745</v>
      </c>
    </row>
    <row r="130" spans="1:12" x14ac:dyDescent="0.2">
      <c r="A130" t="s">
        <v>1416</v>
      </c>
    </row>
    <row r="131" spans="1:12" x14ac:dyDescent="0.2">
      <c r="A131" t="s">
        <v>747</v>
      </c>
    </row>
    <row r="132" spans="1:12" x14ac:dyDescent="0.2">
      <c r="A132" t="s">
        <v>1417</v>
      </c>
    </row>
    <row r="133" spans="1:12" x14ac:dyDescent="0.2">
      <c r="A133" t="s">
        <v>1184</v>
      </c>
    </row>
    <row r="134" spans="1:12" x14ac:dyDescent="0.2">
      <c r="A134" t="s">
        <v>1418</v>
      </c>
    </row>
    <row r="135" spans="1:12" x14ac:dyDescent="0.2">
      <c r="A135" t="s">
        <v>750</v>
      </c>
      <c r="C135">
        <v>2000</v>
      </c>
      <c r="D135">
        <v>2005</v>
      </c>
      <c r="E135">
        <v>2006</v>
      </c>
      <c r="F135">
        <v>2007</v>
      </c>
      <c r="G135">
        <v>2008</v>
      </c>
      <c r="H135">
        <v>2009</v>
      </c>
      <c r="I135">
        <v>2010</v>
      </c>
      <c r="J135" t="s">
        <v>1151</v>
      </c>
      <c r="K135" t="s">
        <v>1152</v>
      </c>
      <c r="L135" t="s">
        <v>1419</v>
      </c>
    </row>
    <row r="136" spans="1:12" x14ac:dyDescent="0.2">
      <c r="B136" t="s">
        <v>1153</v>
      </c>
      <c r="C136" s="1">
        <v>621149</v>
      </c>
      <c r="D136" s="1">
        <v>747529</v>
      </c>
      <c r="E136" s="1">
        <v>765819</v>
      </c>
      <c r="F136" s="1">
        <v>780174</v>
      </c>
      <c r="G136" s="1">
        <v>785533</v>
      </c>
      <c r="H136" s="1">
        <v>767434</v>
      </c>
      <c r="I136" s="1">
        <v>748728</v>
      </c>
      <c r="J136" s="1">
        <v>735601</v>
      </c>
      <c r="K136" s="1">
        <v>744524</v>
      </c>
      <c r="L136" s="1">
        <v>731208</v>
      </c>
    </row>
    <row r="137" spans="1:12" x14ac:dyDescent="0.2">
      <c r="A137" t="s">
        <v>753</v>
      </c>
    </row>
    <row r="138" spans="1:12" x14ac:dyDescent="0.2">
      <c r="B138" t="s">
        <v>20</v>
      </c>
      <c r="C138" s="1">
        <v>550162</v>
      </c>
      <c r="D138" s="1">
        <v>652958</v>
      </c>
      <c r="E138" s="1">
        <v>666819</v>
      </c>
      <c r="F138" s="1">
        <v>679654</v>
      </c>
      <c r="G138" s="1">
        <v>685862</v>
      </c>
      <c r="H138" s="1">
        <v>673728</v>
      </c>
      <c r="I138" s="1">
        <v>656360</v>
      </c>
      <c r="J138" s="1">
        <v>642300</v>
      </c>
      <c r="K138" s="1">
        <v>645900</v>
      </c>
      <c r="L138" s="1">
        <v>628900</v>
      </c>
    </row>
    <row r="139" spans="1:12" x14ac:dyDescent="0.2">
      <c r="B139" t="s">
        <v>21</v>
      </c>
      <c r="C139" s="1">
        <v>70987</v>
      </c>
      <c r="D139" s="1">
        <v>94571</v>
      </c>
      <c r="E139" s="1">
        <v>99000</v>
      </c>
      <c r="F139" s="1">
        <v>100520</v>
      </c>
      <c r="G139" s="1">
        <v>99670</v>
      </c>
      <c r="H139" s="1">
        <v>93706</v>
      </c>
      <c r="I139" s="1">
        <v>92368</v>
      </c>
      <c r="J139" s="1">
        <v>93300</v>
      </c>
      <c r="K139" s="1">
        <v>98600</v>
      </c>
      <c r="L139" s="1">
        <v>102400</v>
      </c>
    </row>
    <row r="140" spans="1:12" x14ac:dyDescent="0.2">
      <c r="A140" t="s">
        <v>1154</v>
      </c>
      <c r="C140" s="1">
        <v>613534</v>
      </c>
      <c r="D140" s="1">
        <v>740770</v>
      </c>
      <c r="E140" s="1">
        <v>759717</v>
      </c>
      <c r="F140" s="1">
        <v>773341</v>
      </c>
      <c r="G140" s="1">
        <v>777829</v>
      </c>
      <c r="H140" s="1">
        <v>760216</v>
      </c>
      <c r="I140" s="1">
        <v>741168</v>
      </c>
      <c r="J140" s="1">
        <v>729700</v>
      </c>
      <c r="K140" s="1">
        <v>739100</v>
      </c>
      <c r="L140" s="1">
        <v>726600</v>
      </c>
    </row>
    <row r="141" spans="1:12" x14ac:dyDescent="0.2">
      <c r="B141" t="s">
        <v>20</v>
      </c>
      <c r="C141" s="1">
        <v>543120</v>
      </c>
      <c r="D141" s="1">
        <v>646807</v>
      </c>
      <c r="E141" s="1">
        <v>661164</v>
      </c>
      <c r="F141" s="1">
        <v>673346</v>
      </c>
      <c r="G141" s="1">
        <v>678657</v>
      </c>
      <c r="H141" s="1">
        <v>667039</v>
      </c>
      <c r="I141" s="1">
        <v>649284</v>
      </c>
      <c r="J141" s="1">
        <v>636900</v>
      </c>
      <c r="K141" s="1">
        <v>640900</v>
      </c>
      <c r="L141" s="1">
        <v>624700</v>
      </c>
    </row>
    <row r="142" spans="1:12" x14ac:dyDescent="0.2">
      <c r="B142" t="s">
        <v>21</v>
      </c>
      <c r="C142" s="1">
        <v>70414</v>
      </c>
      <c r="D142" s="1">
        <v>93963</v>
      </c>
      <c r="E142" s="1">
        <v>98552</v>
      </c>
      <c r="F142" s="1">
        <v>99995</v>
      </c>
      <c r="G142" s="1">
        <v>99172</v>
      </c>
      <c r="H142" s="1">
        <v>93176</v>
      </c>
      <c r="I142" s="1">
        <v>91884</v>
      </c>
      <c r="J142" s="1">
        <v>92800</v>
      </c>
      <c r="K142" s="1">
        <v>98100</v>
      </c>
      <c r="L142" s="1">
        <v>101900</v>
      </c>
    </row>
    <row r="143" spans="1:12" x14ac:dyDescent="0.2">
      <c r="A143" t="s">
        <v>1155</v>
      </c>
      <c r="C143" s="1">
        <v>7615</v>
      </c>
      <c r="D143" s="1">
        <v>6759</v>
      </c>
      <c r="E143" s="1">
        <v>6102</v>
      </c>
      <c r="F143" s="1">
        <v>6833</v>
      </c>
      <c r="G143" s="1">
        <v>7703</v>
      </c>
      <c r="H143" s="1">
        <v>7218</v>
      </c>
      <c r="I143" s="1">
        <v>7560</v>
      </c>
      <c r="J143" s="1">
        <v>5900</v>
      </c>
      <c r="K143" s="1">
        <v>5400</v>
      </c>
      <c r="L143" s="1">
        <v>4600</v>
      </c>
    </row>
    <row r="144" spans="1:12" x14ac:dyDescent="0.2">
      <c r="B144" t="s">
        <v>1156</v>
      </c>
      <c r="C144" s="1">
        <v>6126</v>
      </c>
      <c r="D144" s="1">
        <v>5750</v>
      </c>
      <c r="E144" s="1">
        <v>4835</v>
      </c>
      <c r="F144" s="1">
        <v>5649</v>
      </c>
      <c r="G144" s="1">
        <v>6410</v>
      </c>
      <c r="H144" s="1">
        <v>5846</v>
      </c>
      <c r="I144" s="1">
        <v>5647</v>
      </c>
      <c r="J144" s="1">
        <v>4600</v>
      </c>
      <c r="K144" s="1">
        <v>4600</v>
      </c>
      <c r="L144" s="1">
        <v>3500</v>
      </c>
    </row>
    <row r="145" spans="1:12" x14ac:dyDescent="0.2">
      <c r="B145" t="s">
        <v>1157</v>
      </c>
      <c r="C145" s="1">
        <v>1489</v>
      </c>
      <c r="D145" s="1">
        <v>1009</v>
      </c>
      <c r="E145" s="1">
        <v>1268</v>
      </c>
      <c r="F145" s="1">
        <v>1184</v>
      </c>
      <c r="G145" s="1">
        <v>1294</v>
      </c>
      <c r="H145" s="1">
        <v>1373</v>
      </c>
      <c r="I145" s="1">
        <v>1912</v>
      </c>
      <c r="J145" s="1">
        <v>1400</v>
      </c>
      <c r="K145">
        <v>900</v>
      </c>
      <c r="L145" s="1">
        <v>1100</v>
      </c>
    </row>
    <row r="146" spans="1:12" x14ac:dyDescent="0.2">
      <c r="A146" t="s">
        <v>1158</v>
      </c>
    </row>
    <row r="147" spans="1:12" x14ac:dyDescent="0.2">
      <c r="B147" t="s">
        <v>1159</v>
      </c>
      <c r="C147" s="1">
        <v>260500</v>
      </c>
      <c r="D147" s="1">
        <v>331000</v>
      </c>
      <c r="E147" s="1">
        <v>336500</v>
      </c>
      <c r="F147" s="1">
        <v>338200</v>
      </c>
      <c r="G147" s="1">
        <v>333300</v>
      </c>
      <c r="H147" s="1">
        <v>326400</v>
      </c>
      <c r="I147" s="1">
        <v>331600</v>
      </c>
      <c r="J147" s="1">
        <v>329400</v>
      </c>
      <c r="K147" s="1">
        <v>341100</v>
      </c>
      <c r="L147" s="1">
        <v>344900</v>
      </c>
    </row>
    <row r="148" spans="1:12" x14ac:dyDescent="0.2">
      <c r="B148" t="s">
        <v>1352</v>
      </c>
      <c r="C148" s="1">
        <v>256300</v>
      </c>
      <c r="D148" s="1">
        <v>290500</v>
      </c>
      <c r="E148" s="1">
        <v>295900</v>
      </c>
      <c r="F148" s="1">
        <v>301700</v>
      </c>
      <c r="G148" s="1">
        <v>308000</v>
      </c>
      <c r="H148" s="1">
        <v>300500</v>
      </c>
      <c r="I148" s="1">
        <v>283200</v>
      </c>
      <c r="J148" s="1">
        <v>276400</v>
      </c>
      <c r="K148" s="1">
        <v>274600</v>
      </c>
      <c r="L148" s="1">
        <v>261500</v>
      </c>
    </row>
    <row r="149" spans="1:12" x14ac:dyDescent="0.2">
      <c r="B149" t="s">
        <v>760</v>
      </c>
      <c r="C149" s="1">
        <v>94100</v>
      </c>
      <c r="D149" s="1">
        <v>111900</v>
      </c>
      <c r="E149" s="1">
        <v>119200</v>
      </c>
      <c r="F149" s="1">
        <v>125500</v>
      </c>
      <c r="G149" s="1">
        <v>128500</v>
      </c>
      <c r="H149" s="1">
        <v>124000</v>
      </c>
      <c r="I149" s="1">
        <v>118100</v>
      </c>
      <c r="J149" s="1">
        <v>113900</v>
      </c>
      <c r="K149" s="1">
        <v>112700</v>
      </c>
      <c r="L149" s="1">
        <v>107900</v>
      </c>
    </row>
    <row r="150" spans="1:12" x14ac:dyDescent="0.2">
      <c r="B150" t="s">
        <v>1353</v>
      </c>
      <c r="C150" s="1">
        <v>5500</v>
      </c>
      <c r="D150" s="1">
        <v>7600</v>
      </c>
      <c r="E150" s="1">
        <v>8400</v>
      </c>
      <c r="F150" s="1">
        <v>8600</v>
      </c>
      <c r="G150" s="1">
        <v>9000</v>
      </c>
      <c r="H150" s="1">
        <v>9400</v>
      </c>
      <c r="I150" s="1">
        <v>9900</v>
      </c>
      <c r="J150" s="1">
        <v>9400</v>
      </c>
      <c r="K150" s="1">
        <v>9300</v>
      </c>
      <c r="L150" s="1">
        <v>10200</v>
      </c>
    </row>
    <row r="151" spans="1:12" x14ac:dyDescent="0.2">
      <c r="B151" t="s">
        <v>1354</v>
      </c>
      <c r="C151" s="1">
        <v>4700</v>
      </c>
      <c r="D151" s="1">
        <v>5400</v>
      </c>
      <c r="E151" s="1">
        <v>5100</v>
      </c>
      <c r="F151" s="1">
        <v>5300</v>
      </c>
      <c r="G151" s="1">
        <v>5500</v>
      </c>
      <c r="H151" s="1">
        <v>5400</v>
      </c>
      <c r="I151" s="1">
        <v>5100</v>
      </c>
      <c r="J151" s="1">
        <v>5300</v>
      </c>
      <c r="K151" s="1">
        <v>5400</v>
      </c>
      <c r="L151" s="1">
        <v>5100</v>
      </c>
    </row>
    <row r="152" spans="1:12" x14ac:dyDescent="0.2">
      <c r="B152" t="s">
        <v>1163</v>
      </c>
      <c r="C152" t="s">
        <v>763</v>
      </c>
      <c r="D152" s="1">
        <v>1000</v>
      </c>
      <c r="E152">
        <v>700</v>
      </c>
      <c r="F152">
        <v>800</v>
      </c>
      <c r="G152" s="1">
        <v>1300</v>
      </c>
      <c r="H152" s="1">
        <v>1800</v>
      </c>
      <c r="I152">
        <v>800</v>
      </c>
      <c r="J152" s="1">
        <v>1200</v>
      </c>
      <c r="K152" s="1">
        <v>1500</v>
      </c>
      <c r="L152" s="1">
        <v>1600</v>
      </c>
    </row>
    <row r="153" spans="1:12" x14ac:dyDescent="0.2">
      <c r="A153" t="s">
        <v>764</v>
      </c>
    </row>
    <row r="154" spans="1:12" x14ac:dyDescent="0.2">
      <c r="A154" t="s">
        <v>1164</v>
      </c>
    </row>
    <row r="155" spans="1:12" x14ac:dyDescent="0.2">
      <c r="A155" t="s">
        <v>1420</v>
      </c>
    </row>
    <row r="156" spans="1:12" x14ac:dyDescent="0.2">
      <c r="A156" t="s">
        <v>1166</v>
      </c>
    </row>
    <row r="157" spans="1:12" x14ac:dyDescent="0.2">
      <c r="A157" t="s">
        <v>1421</v>
      </c>
    </row>
    <row r="158" spans="1:12" x14ac:dyDescent="0.2">
      <c r="A158" t="s">
        <v>1168</v>
      </c>
    </row>
    <row r="159" spans="1:12" x14ac:dyDescent="0.2">
      <c r="A159" t="s">
        <v>1169</v>
      </c>
    </row>
    <row r="160" spans="1:12" x14ac:dyDescent="0.2">
      <c r="A160" t="s">
        <v>1170</v>
      </c>
    </row>
    <row r="161" spans="1:1" x14ac:dyDescent="0.2">
      <c r="A161" t="s">
        <v>1422</v>
      </c>
    </row>
    <row r="162" spans="1:1" x14ac:dyDescent="0.2">
      <c r="A162" t="s">
        <v>1423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37" workbookViewId="0">
      <selection activeCell="K1" sqref="K1:K3"/>
    </sheetView>
  </sheetViews>
  <sheetFormatPr defaultRowHeight="12.75" x14ac:dyDescent="0.2"/>
  <cols>
    <col min="1" max="1" width="7.140625" customWidth="1"/>
    <col min="2" max="3" width="10.140625" customWidth="1"/>
    <col min="4" max="4" width="9.140625" style="1"/>
    <col min="5" max="5" width="9.140625" style="3"/>
    <col min="6" max="9" width="10.140625" customWidth="1"/>
    <col min="10" max="10" width="3.28515625" customWidth="1"/>
    <col min="11" max="11" width="121" customWidth="1"/>
  </cols>
  <sheetData>
    <row r="1" spans="1:11" x14ac:dyDescent="0.2">
      <c r="A1" s="30" t="s">
        <v>868</v>
      </c>
      <c r="B1" s="30"/>
      <c r="C1" s="30"/>
      <c r="D1" s="30"/>
      <c r="K1" t="s">
        <v>1332</v>
      </c>
    </row>
    <row r="2" spans="1:11" x14ac:dyDescent="0.2">
      <c r="A2" s="30" t="s">
        <v>869</v>
      </c>
      <c r="B2" s="30"/>
      <c r="C2" s="30"/>
      <c r="D2" s="30"/>
      <c r="E2" s="30"/>
      <c r="F2" s="30"/>
      <c r="K2" t="s">
        <v>1333</v>
      </c>
    </row>
    <row r="3" spans="1:11" x14ac:dyDescent="0.2">
      <c r="K3" t="s">
        <v>1334</v>
      </c>
    </row>
    <row r="5" spans="1:11" x14ac:dyDescent="0.2">
      <c r="B5" s="28" t="s">
        <v>1109</v>
      </c>
      <c r="C5" s="28"/>
      <c r="D5" s="28"/>
      <c r="E5" s="28"/>
      <c r="F5" s="28" t="s">
        <v>1072</v>
      </c>
      <c r="G5" s="28"/>
      <c r="H5" s="28"/>
      <c r="I5" s="28"/>
    </row>
    <row r="6" spans="1:11" x14ac:dyDescent="0.2">
      <c r="A6" t="s">
        <v>35</v>
      </c>
      <c r="B6" s="1" t="s">
        <v>915</v>
      </c>
      <c r="C6" s="1" t="s">
        <v>916</v>
      </c>
      <c r="D6" s="1" t="s">
        <v>920</v>
      </c>
      <c r="E6" s="3" t="s">
        <v>38</v>
      </c>
      <c r="F6" s="1" t="s">
        <v>915</v>
      </c>
      <c r="G6" s="1" t="s">
        <v>916</v>
      </c>
      <c r="H6" s="1" t="s">
        <v>920</v>
      </c>
      <c r="I6" s="3" t="s">
        <v>38</v>
      </c>
      <c r="K6" s="1" t="s">
        <v>37</v>
      </c>
    </row>
    <row r="7" spans="1:11" x14ac:dyDescent="0.2">
      <c r="A7" t="s">
        <v>929</v>
      </c>
      <c r="B7" s="1">
        <f>'fs sources from 1925'!F100</f>
        <v>88231</v>
      </c>
      <c r="C7" s="1">
        <f>'fs sources from 1925'!I100</f>
        <v>3438</v>
      </c>
      <c r="D7" s="1">
        <f>B7+C7</f>
        <v>91669</v>
      </c>
      <c r="E7" s="3">
        <f>B7/C7</f>
        <v>25.663467132053519</v>
      </c>
      <c r="F7" s="1"/>
      <c r="G7" s="1"/>
      <c r="H7" s="1"/>
      <c r="I7" s="1"/>
      <c r="K7" t="s">
        <v>192</v>
      </c>
    </row>
    <row r="8" spans="1:11" x14ac:dyDescent="0.2">
      <c r="A8" t="s">
        <v>930</v>
      </c>
      <c r="B8" s="1">
        <f>'fs sources from 1925'!F101</f>
        <v>94287</v>
      </c>
      <c r="C8" s="1">
        <f>'fs sources from 1925'!I101</f>
        <v>3704</v>
      </c>
      <c r="D8" s="1">
        <f t="shared" ref="D8:D71" si="0">B8+C8</f>
        <v>97991</v>
      </c>
      <c r="E8" s="3">
        <f t="shared" ref="E8:E71" si="1">B8/C8</f>
        <v>25.455453563714904</v>
      </c>
      <c r="F8" s="1"/>
      <c r="G8" s="1"/>
      <c r="H8" s="1"/>
      <c r="I8" s="1"/>
      <c r="K8" t="s">
        <v>305</v>
      </c>
    </row>
    <row r="9" spans="1:11" x14ac:dyDescent="0.2">
      <c r="A9" t="s">
        <v>931</v>
      </c>
      <c r="B9" s="1">
        <f>'fs sources from 1925'!F102</f>
        <v>104983</v>
      </c>
      <c r="C9" s="1">
        <f>'fs sources from 1925'!I102</f>
        <v>4363</v>
      </c>
      <c r="D9" s="1">
        <f t="shared" si="0"/>
        <v>109346</v>
      </c>
      <c r="E9" s="3">
        <f t="shared" si="1"/>
        <v>24.062113224845291</v>
      </c>
      <c r="F9" s="1"/>
      <c r="G9" s="1"/>
      <c r="H9" s="1"/>
      <c r="I9" s="1"/>
    </row>
    <row r="10" spans="1:11" x14ac:dyDescent="0.2">
      <c r="A10" t="s">
        <v>932</v>
      </c>
      <c r="B10" s="1">
        <f>'fs sources from 1925'!F103</f>
        <v>111836</v>
      </c>
      <c r="C10" s="1">
        <f>'fs sources from 1925'!I103</f>
        <v>4554</v>
      </c>
      <c r="D10" s="1">
        <f t="shared" si="0"/>
        <v>116390</v>
      </c>
      <c r="E10" s="3">
        <f t="shared" si="1"/>
        <v>24.557751427316646</v>
      </c>
      <c r="F10" s="1"/>
      <c r="G10" s="1"/>
      <c r="H10" s="1"/>
      <c r="I10" s="1"/>
      <c r="K10" t="s">
        <v>489</v>
      </c>
    </row>
    <row r="11" spans="1:11" x14ac:dyDescent="0.2">
      <c r="A11" t="s">
        <v>933</v>
      </c>
      <c r="B11" s="1">
        <f>'fs sources from 1925'!F104</f>
        <v>115876</v>
      </c>
      <c r="C11" s="1">
        <f>'fs sources from 1925'!I104</f>
        <v>4620</v>
      </c>
      <c r="D11" s="1">
        <f t="shared" si="0"/>
        <v>120496</v>
      </c>
      <c r="E11" s="3">
        <f t="shared" si="1"/>
        <v>25.08138528138528</v>
      </c>
      <c r="F11" s="1"/>
      <c r="G11" s="1"/>
      <c r="H11" s="1"/>
      <c r="I11" s="1"/>
      <c r="K11" t="s">
        <v>490</v>
      </c>
    </row>
    <row r="12" spans="1:11" x14ac:dyDescent="0.2">
      <c r="A12" t="s">
        <v>934</v>
      </c>
      <c r="B12" s="1">
        <f>'fs sources from 1925'!F105</f>
        <v>124785</v>
      </c>
      <c r="C12" s="1">
        <f>'fs sources from 1925'!I105</f>
        <v>4668</v>
      </c>
      <c r="D12" s="1">
        <f t="shared" si="0"/>
        <v>129453</v>
      </c>
      <c r="E12" s="3">
        <f t="shared" si="1"/>
        <v>26.732005141388175</v>
      </c>
      <c r="F12" s="1"/>
      <c r="G12" s="1"/>
      <c r="H12" s="1"/>
      <c r="I12" s="1"/>
    </row>
    <row r="13" spans="1:11" x14ac:dyDescent="0.2">
      <c r="A13" t="s">
        <v>935</v>
      </c>
      <c r="B13" s="1">
        <f>'fs sources from 1925'!F106</f>
        <v>132638</v>
      </c>
      <c r="C13" s="1">
        <f>'fs sources from 1925'!I106</f>
        <v>4444</v>
      </c>
      <c r="D13" s="1">
        <f t="shared" si="0"/>
        <v>137082</v>
      </c>
      <c r="E13" s="3">
        <f t="shared" si="1"/>
        <v>29.846534653465348</v>
      </c>
      <c r="F13" s="1"/>
      <c r="G13" s="1"/>
      <c r="H13" s="1"/>
      <c r="I13" s="1"/>
      <c r="K13" t="s">
        <v>451</v>
      </c>
    </row>
    <row r="14" spans="1:11" x14ac:dyDescent="0.2">
      <c r="A14" t="s">
        <v>936</v>
      </c>
      <c r="B14" s="1">
        <f>'fs sources from 1925'!F107</f>
        <v>133573</v>
      </c>
      <c r="C14" s="1">
        <f>'fs sources from 1925'!I107</f>
        <v>4424</v>
      </c>
      <c r="D14" s="1">
        <f t="shared" si="0"/>
        <v>137997</v>
      </c>
      <c r="E14" s="3">
        <f t="shared" si="1"/>
        <v>30.192811934900543</v>
      </c>
      <c r="F14" s="1"/>
      <c r="G14" s="1"/>
      <c r="H14" s="1"/>
      <c r="I14" s="1"/>
      <c r="K14" t="s">
        <v>453</v>
      </c>
    </row>
    <row r="15" spans="1:11" x14ac:dyDescent="0.2">
      <c r="A15" t="s">
        <v>937</v>
      </c>
      <c r="B15" s="1">
        <f>'fs sources from 1925'!F108</f>
        <v>132520</v>
      </c>
      <c r="C15" s="1">
        <f>'fs sources from 1925'!I108</f>
        <v>4290</v>
      </c>
      <c r="D15" s="1">
        <f t="shared" si="0"/>
        <v>136810</v>
      </c>
      <c r="E15" s="3">
        <f t="shared" si="1"/>
        <v>30.890442890442891</v>
      </c>
      <c r="F15" s="1"/>
      <c r="G15" s="1"/>
      <c r="H15" s="1"/>
      <c r="I15" s="1"/>
      <c r="K15" t="s">
        <v>452</v>
      </c>
    </row>
    <row r="16" spans="1:11" x14ac:dyDescent="0.2">
      <c r="A16" t="s">
        <v>938</v>
      </c>
      <c r="B16" s="1">
        <f>'fs sources from 1925'!F109</f>
        <v>133769</v>
      </c>
      <c r="C16" s="1">
        <f>'fs sources from 1925'!I109</f>
        <v>4547</v>
      </c>
      <c r="D16" s="1">
        <f t="shared" si="0"/>
        <v>138316</v>
      </c>
      <c r="E16" s="3">
        <f t="shared" si="1"/>
        <v>29.419177479656916</v>
      </c>
      <c r="F16" s="1"/>
      <c r="G16" s="1"/>
      <c r="H16" s="1"/>
      <c r="I16" s="1"/>
    </row>
    <row r="17" spans="1:9" x14ac:dyDescent="0.2">
      <c r="A17" t="s">
        <v>939</v>
      </c>
      <c r="B17" s="1">
        <f>'fs sources from 1925'!F110</f>
        <v>139278</v>
      </c>
      <c r="C17" s="1">
        <f>'fs sources from 1925'!I110</f>
        <v>4902</v>
      </c>
      <c r="D17" s="1">
        <f t="shared" si="0"/>
        <v>144180</v>
      </c>
      <c r="E17" s="3">
        <f t="shared" si="1"/>
        <v>28.412484700122398</v>
      </c>
      <c r="F17" s="1"/>
      <c r="G17" s="1"/>
      <c r="H17" s="1"/>
      <c r="I17" s="1"/>
    </row>
    <row r="18" spans="1:9" x14ac:dyDescent="0.2">
      <c r="A18" t="s">
        <v>940</v>
      </c>
      <c r="B18" s="1">
        <f>'fs sources from 1925'!F111</f>
        <v>139990</v>
      </c>
      <c r="C18" s="1">
        <f>'fs sources from 1925'!I111</f>
        <v>5048</v>
      </c>
      <c r="D18" s="1">
        <f t="shared" si="0"/>
        <v>145038</v>
      </c>
      <c r="E18" s="3">
        <f t="shared" si="1"/>
        <v>27.731774960380349</v>
      </c>
      <c r="F18" s="1"/>
      <c r="G18" s="1"/>
      <c r="H18" s="1"/>
      <c r="I18" s="1"/>
    </row>
    <row r="19" spans="1:9" x14ac:dyDescent="0.2">
      <c r="A19" t="s">
        <v>941</v>
      </c>
      <c r="B19" s="1">
        <f>'fs sources from 1925'!F112</f>
        <v>147375</v>
      </c>
      <c r="C19" s="1">
        <f>'fs sources from 1925'!I112</f>
        <v>5366</v>
      </c>
      <c r="D19" s="1">
        <f t="shared" si="0"/>
        <v>152741</v>
      </c>
      <c r="E19" s="3">
        <f t="shared" si="1"/>
        <v>27.464591874767052</v>
      </c>
      <c r="F19" s="1"/>
      <c r="G19" s="1"/>
      <c r="H19" s="1"/>
      <c r="I19" s="1"/>
    </row>
    <row r="20" spans="1:9" x14ac:dyDescent="0.2">
      <c r="A20" t="s">
        <v>942</v>
      </c>
      <c r="B20" s="1">
        <f>'fs sources from 1925'!F113</f>
        <v>154826</v>
      </c>
      <c r="C20" s="1">
        <f>'fs sources from 1925'!I113</f>
        <v>5459</v>
      </c>
      <c r="D20" s="1">
        <f t="shared" si="0"/>
        <v>160285</v>
      </c>
      <c r="E20" s="3">
        <f t="shared" si="1"/>
        <v>28.361604689503572</v>
      </c>
      <c r="F20" s="1"/>
      <c r="G20" s="1"/>
      <c r="H20" s="1"/>
      <c r="I20" s="1"/>
    </row>
    <row r="21" spans="1:9" x14ac:dyDescent="0.2">
      <c r="A21" t="s">
        <v>943</v>
      </c>
      <c r="B21" s="1">
        <f>'fs sources from 1925'!F114</f>
        <v>173143</v>
      </c>
      <c r="C21" s="1">
        <f>'fs sources from 1925'!I114</f>
        <v>6675</v>
      </c>
      <c r="D21" s="1">
        <f t="shared" si="0"/>
        <v>179818</v>
      </c>
      <c r="E21" s="3">
        <f t="shared" si="1"/>
        <v>25.939026217228463</v>
      </c>
      <c r="F21" s="1"/>
      <c r="G21" s="1"/>
      <c r="H21" s="1"/>
      <c r="I21" s="1"/>
    </row>
    <row r="22" spans="1:9" x14ac:dyDescent="0.2">
      <c r="A22" t="s">
        <v>944</v>
      </c>
      <c r="B22" s="1">
        <f>'fs sources from 1925'!F115</f>
        <v>167345</v>
      </c>
      <c r="C22" s="1">
        <f>'fs sources from 1925'!I115</f>
        <v>6361</v>
      </c>
      <c r="D22" s="1">
        <f t="shared" si="0"/>
        <v>173706</v>
      </c>
      <c r="E22" s="3">
        <f t="shared" si="1"/>
        <v>26.307970444898601</v>
      </c>
      <c r="F22" s="1"/>
      <c r="G22" s="1"/>
      <c r="H22" s="1"/>
      <c r="I22" s="1"/>
    </row>
    <row r="23" spans="1:9" x14ac:dyDescent="0.2">
      <c r="A23" t="s">
        <v>945</v>
      </c>
      <c r="B23" s="1">
        <f>'fs sources from 1925'!F116</f>
        <v>159228</v>
      </c>
      <c r="C23" s="1">
        <f>'fs sources from 1925'!I116</f>
        <v>6211</v>
      </c>
      <c r="D23" s="1">
        <f t="shared" si="0"/>
        <v>165439</v>
      </c>
      <c r="E23" s="3">
        <f t="shared" si="1"/>
        <v>25.636451457092257</v>
      </c>
      <c r="F23" s="1"/>
      <c r="G23" s="1"/>
      <c r="H23" s="1"/>
      <c r="I23" s="1"/>
    </row>
    <row r="24" spans="1:9" x14ac:dyDescent="0.2">
      <c r="A24" t="s">
        <v>946</v>
      </c>
      <c r="B24" s="1">
        <f>'fs sources from 1925'!F117</f>
        <v>144167</v>
      </c>
      <c r="C24" s="1">
        <f>'fs sources from 1925'!I117</f>
        <v>6217</v>
      </c>
      <c r="D24" s="1">
        <f t="shared" si="0"/>
        <v>150384</v>
      </c>
      <c r="E24" s="3">
        <f t="shared" si="1"/>
        <v>23.189158758243526</v>
      </c>
      <c r="F24" s="1"/>
      <c r="G24" s="1"/>
      <c r="H24" s="1"/>
      <c r="I24" s="1"/>
    </row>
    <row r="25" spans="1:9" x14ac:dyDescent="0.2">
      <c r="A25" t="s">
        <v>947</v>
      </c>
      <c r="B25" s="1">
        <f>'fs sources from 1925'!F118</f>
        <v>131054</v>
      </c>
      <c r="C25" s="1">
        <f>'fs sources from 1925'!I118</f>
        <v>6166</v>
      </c>
      <c r="D25" s="1">
        <f t="shared" si="0"/>
        <v>137220</v>
      </c>
      <c r="E25" s="3">
        <f t="shared" si="1"/>
        <v>21.254297761920206</v>
      </c>
      <c r="F25" s="1"/>
      <c r="G25" s="1"/>
      <c r="H25" s="1"/>
      <c r="I25" s="1"/>
    </row>
    <row r="26" spans="1:9" x14ac:dyDescent="0.2">
      <c r="A26" t="s">
        <v>948</v>
      </c>
      <c r="B26" s="1">
        <f>'fs sources from 1925'!F119</f>
        <v>126350</v>
      </c>
      <c r="C26" s="1">
        <f>'fs sources from 1925'!I119</f>
        <v>6106</v>
      </c>
      <c r="D26" s="1">
        <f t="shared" si="0"/>
        <v>132456</v>
      </c>
      <c r="E26" s="3">
        <f t="shared" si="1"/>
        <v>20.692761218473631</v>
      </c>
      <c r="F26" s="1"/>
      <c r="G26" s="1"/>
      <c r="H26" s="1"/>
      <c r="I26" s="1"/>
    </row>
    <row r="27" spans="1:9" x14ac:dyDescent="0.2">
      <c r="A27" t="s">
        <v>949</v>
      </c>
      <c r="B27" s="1">
        <f>'fs sources from 1925'!F120</f>
        <v>127609</v>
      </c>
      <c r="C27" s="1">
        <f>'fs sources from 1925'!I120</f>
        <v>6040</v>
      </c>
      <c r="D27" s="1">
        <f t="shared" si="0"/>
        <v>133649</v>
      </c>
      <c r="E27" s="3">
        <f t="shared" si="1"/>
        <v>21.127317880794703</v>
      </c>
      <c r="F27" s="1"/>
      <c r="G27" s="1"/>
      <c r="H27" s="1"/>
      <c r="I27" s="1"/>
    </row>
    <row r="28" spans="1:9" x14ac:dyDescent="0.2">
      <c r="A28" t="s">
        <v>950</v>
      </c>
      <c r="B28" s="1">
        <f>'fs sources from 1925'!F121</f>
        <v>134075</v>
      </c>
      <c r="C28" s="1">
        <f>'fs sources from 1925'!I121</f>
        <v>6004</v>
      </c>
      <c r="D28" s="1">
        <f t="shared" si="0"/>
        <v>140079</v>
      </c>
      <c r="E28" s="3">
        <f t="shared" si="1"/>
        <v>22.330946035976016</v>
      </c>
      <c r="F28" s="1"/>
      <c r="G28" s="1"/>
      <c r="H28" s="1"/>
      <c r="I28" s="1"/>
    </row>
    <row r="29" spans="1:9" x14ac:dyDescent="0.2">
      <c r="A29" t="s">
        <v>951</v>
      </c>
      <c r="B29" s="1">
        <f>'fs sources from 1925'!F122</f>
        <v>144961</v>
      </c>
      <c r="C29" s="1">
        <f>'fs sources from 1925'!I122</f>
        <v>6343</v>
      </c>
      <c r="D29" s="1">
        <f t="shared" si="0"/>
        <v>151304</v>
      </c>
      <c r="E29" s="3">
        <f t="shared" si="1"/>
        <v>22.853696988806558</v>
      </c>
      <c r="F29" s="1"/>
      <c r="G29" s="1"/>
      <c r="H29" s="1"/>
      <c r="I29" s="1"/>
    </row>
    <row r="30" spans="1:9" x14ac:dyDescent="0.2">
      <c r="A30" t="s">
        <v>952</v>
      </c>
      <c r="B30" s="1">
        <f>'fs sources from 1925'!F123</f>
        <v>149739</v>
      </c>
      <c r="C30" s="1">
        <f>'fs sources from 1925'!I123</f>
        <v>6238</v>
      </c>
      <c r="D30" s="1">
        <f t="shared" si="0"/>
        <v>155977</v>
      </c>
      <c r="E30" s="3">
        <f t="shared" si="1"/>
        <v>24.004328310355884</v>
      </c>
      <c r="F30" s="1"/>
      <c r="G30" s="1"/>
      <c r="H30" s="1"/>
      <c r="I30" s="1"/>
    </row>
    <row r="31" spans="1:9" x14ac:dyDescent="0.2">
      <c r="A31" t="s">
        <v>953</v>
      </c>
      <c r="B31" s="1">
        <f>'fs sources from 1925'!F124</f>
        <v>157663</v>
      </c>
      <c r="C31" s="1">
        <f>'fs sources from 1925'!I124</f>
        <v>6086</v>
      </c>
      <c r="D31" s="1">
        <f t="shared" si="0"/>
        <v>163749</v>
      </c>
      <c r="E31" s="3">
        <f t="shared" si="1"/>
        <v>25.905849490634242</v>
      </c>
      <c r="F31" s="1"/>
      <c r="G31" s="1"/>
      <c r="H31" s="1"/>
      <c r="I31" s="1"/>
    </row>
    <row r="32" spans="1:9" x14ac:dyDescent="0.2">
      <c r="A32" t="s">
        <v>954</v>
      </c>
      <c r="B32" s="1">
        <f>'fs sources from 1925'!F125</f>
        <v>160309</v>
      </c>
      <c r="C32" s="1">
        <f>'fs sources from 1925'!I125</f>
        <v>5814</v>
      </c>
      <c r="D32" s="1">
        <f t="shared" si="0"/>
        <v>166123</v>
      </c>
      <c r="E32" s="3">
        <f t="shared" si="1"/>
        <v>27.572927416580669</v>
      </c>
      <c r="F32" s="1"/>
      <c r="G32" s="1"/>
      <c r="H32" s="1"/>
      <c r="I32" s="1"/>
    </row>
    <row r="33" spans="1:9" x14ac:dyDescent="0.2">
      <c r="A33" t="s">
        <v>955</v>
      </c>
      <c r="B33" s="1">
        <f>'fs sources from 1925'!F126</f>
        <v>159610</v>
      </c>
      <c r="C33" s="1">
        <f>'fs sources from 1925'!I126</f>
        <v>6070</v>
      </c>
      <c r="D33" s="1">
        <f t="shared" si="0"/>
        <v>165680</v>
      </c>
      <c r="E33" s="3">
        <f t="shared" si="1"/>
        <v>26.294892915980231</v>
      </c>
      <c r="F33" s="1"/>
      <c r="G33" s="1"/>
      <c r="H33" s="1"/>
      <c r="I33" s="1"/>
    </row>
    <row r="34" spans="1:9" x14ac:dyDescent="0.2">
      <c r="A34" t="s">
        <v>956</v>
      </c>
      <c r="B34" s="1">
        <f>'fs sources from 1925'!F127</f>
        <v>161994</v>
      </c>
      <c r="C34" s="1">
        <f>'fs sources from 1925'!I127</f>
        <v>6239</v>
      </c>
      <c r="D34" s="1">
        <f t="shared" si="0"/>
        <v>168233</v>
      </c>
      <c r="E34" s="3">
        <f t="shared" si="1"/>
        <v>25.964737938772238</v>
      </c>
      <c r="F34" s="1"/>
      <c r="G34" s="1"/>
      <c r="H34" s="1"/>
      <c r="I34" s="1"/>
    </row>
    <row r="35" spans="1:9" x14ac:dyDescent="0.2">
      <c r="A35" t="s">
        <v>957</v>
      </c>
      <c r="B35" s="1">
        <f>'fs sources from 1925'!F128</f>
        <v>166909</v>
      </c>
      <c r="C35" s="1">
        <f>'fs sources from 1925'!I128</f>
        <v>6670</v>
      </c>
      <c r="D35" s="1">
        <f t="shared" si="0"/>
        <v>173579</v>
      </c>
      <c r="E35" s="3">
        <f t="shared" si="1"/>
        <v>25.023838080959521</v>
      </c>
      <c r="F35" s="1"/>
      <c r="G35" s="1"/>
      <c r="H35" s="1"/>
      <c r="I35" s="1"/>
    </row>
    <row r="36" spans="1:9" x14ac:dyDescent="0.2">
      <c r="A36" t="s">
        <v>958</v>
      </c>
      <c r="B36" s="1">
        <f>'fs sources from 1925'!F129</f>
        <v>175907</v>
      </c>
      <c r="C36" s="1">
        <f>'fs sources from 1925'!I129</f>
        <v>6994</v>
      </c>
      <c r="D36" s="1">
        <f t="shared" si="0"/>
        <v>182901</v>
      </c>
      <c r="E36" s="3">
        <f t="shared" si="1"/>
        <v>25.151129539605375</v>
      </c>
      <c r="F36" s="1"/>
      <c r="G36" s="1"/>
      <c r="H36" s="1"/>
      <c r="I36" s="1"/>
    </row>
    <row r="37" spans="1:9" x14ac:dyDescent="0.2">
      <c r="A37" t="s">
        <v>959</v>
      </c>
      <c r="B37" s="1">
        <f>'fs sources from 1925'!F130</f>
        <v>178655</v>
      </c>
      <c r="C37" s="1">
        <f>'fs sources from 1925'!I130</f>
        <v>7125</v>
      </c>
      <c r="D37" s="1">
        <f t="shared" si="0"/>
        <v>185780</v>
      </c>
      <c r="E37" s="3">
        <f t="shared" si="1"/>
        <v>25.074385964912281</v>
      </c>
      <c r="F37" s="1"/>
      <c r="G37" s="1"/>
      <c r="H37" s="1"/>
      <c r="I37" s="1"/>
    </row>
    <row r="38" spans="1:9" x14ac:dyDescent="0.2">
      <c r="A38" t="s">
        <v>960</v>
      </c>
      <c r="B38" s="1">
        <f>'fs sources from 1925'!F131</f>
        <v>182190</v>
      </c>
      <c r="C38" s="1">
        <f>'fs sources from 1925'!I131</f>
        <v>7375</v>
      </c>
      <c r="D38" s="1">
        <f t="shared" si="0"/>
        <v>189565</v>
      </c>
      <c r="E38" s="3">
        <f t="shared" si="1"/>
        <v>24.703728813559323</v>
      </c>
      <c r="F38" s="1"/>
      <c r="G38" s="1"/>
      <c r="H38" s="1"/>
      <c r="I38" s="1"/>
    </row>
    <row r="39" spans="1:9" x14ac:dyDescent="0.2">
      <c r="A39" t="s">
        <v>961</v>
      </c>
      <c r="B39" s="1">
        <f>'fs sources from 1925'!F132</f>
        <v>188113</v>
      </c>
      <c r="C39" s="1">
        <f>'fs sources from 1925'!I132</f>
        <v>7301</v>
      </c>
      <c r="D39" s="1">
        <f t="shared" si="0"/>
        <v>195414</v>
      </c>
      <c r="E39" s="3">
        <f t="shared" si="1"/>
        <v>25.765374606218327</v>
      </c>
      <c r="F39" s="1"/>
      <c r="G39" s="1"/>
      <c r="H39" s="1"/>
      <c r="I39" s="1"/>
    </row>
    <row r="40" spans="1:9" x14ac:dyDescent="0.2">
      <c r="A40" t="s">
        <v>962</v>
      </c>
      <c r="B40" s="1">
        <f>'fs sources from 1925'!F133</f>
        <v>198208</v>
      </c>
      <c r="C40" s="1">
        <f>'fs sources from 1925'!I133</f>
        <v>7435</v>
      </c>
      <c r="D40" s="1">
        <f t="shared" si="0"/>
        <v>205643</v>
      </c>
      <c r="E40" s="3">
        <f t="shared" si="1"/>
        <v>26.658776059179555</v>
      </c>
      <c r="F40" s="1"/>
      <c r="G40" s="1"/>
      <c r="H40" s="1"/>
      <c r="I40" s="1"/>
    </row>
    <row r="41" spans="1:9" x14ac:dyDescent="0.2">
      <c r="A41" t="s">
        <v>963</v>
      </c>
      <c r="B41" s="1">
        <f>'fs sources from 1925'!F134</f>
        <v>200469</v>
      </c>
      <c r="C41" s="1">
        <f>'fs sources from 1925'!I134</f>
        <v>7636</v>
      </c>
      <c r="D41" s="1">
        <f t="shared" si="0"/>
        <v>208105</v>
      </c>
      <c r="E41" s="3">
        <f t="shared" si="1"/>
        <v>26.253143006809847</v>
      </c>
      <c r="F41" s="1"/>
      <c r="G41" s="1"/>
      <c r="H41" s="1"/>
      <c r="I41" s="1"/>
    </row>
    <row r="42" spans="1:9" x14ac:dyDescent="0.2">
      <c r="A42" t="s">
        <v>964</v>
      </c>
      <c r="B42" s="1">
        <f>'fs sources from 1925'!F135</f>
        <v>205265</v>
      </c>
      <c r="C42" s="1">
        <f>'fs sources from 1925'!I135</f>
        <v>7688</v>
      </c>
      <c r="D42" s="1">
        <f t="shared" si="0"/>
        <v>212953</v>
      </c>
      <c r="E42" s="3">
        <f t="shared" si="1"/>
        <v>26.699401664932363</v>
      </c>
      <c r="F42" s="1"/>
      <c r="G42" s="1"/>
      <c r="H42" s="1"/>
      <c r="I42" s="1"/>
    </row>
    <row r="43" spans="1:9" x14ac:dyDescent="0.2">
      <c r="A43" t="s">
        <v>965</v>
      </c>
      <c r="B43" s="1">
        <f>'fs sources from 1925'!F136</f>
        <v>212268</v>
      </c>
      <c r="C43" s="1">
        <f>'fs sources from 1925'!I136</f>
        <v>7881</v>
      </c>
      <c r="D43" s="1">
        <f t="shared" si="0"/>
        <v>220149</v>
      </c>
      <c r="E43" s="3">
        <f t="shared" si="1"/>
        <v>26.934145413018651</v>
      </c>
      <c r="F43" s="1"/>
      <c r="G43" s="1"/>
      <c r="H43" s="1"/>
      <c r="I43" s="1"/>
    </row>
    <row r="44" spans="1:9" x14ac:dyDescent="0.2">
      <c r="A44" t="s">
        <v>966</v>
      </c>
      <c r="B44" s="1">
        <f>'fs sources from 1925'!F137</f>
        <v>210823</v>
      </c>
      <c r="C44" s="1">
        <f>'fs sources from 1925'!I137</f>
        <v>8007</v>
      </c>
      <c r="D44" s="1">
        <f t="shared" si="0"/>
        <v>218830</v>
      </c>
      <c r="E44" s="3">
        <f t="shared" si="1"/>
        <v>26.32983639315599</v>
      </c>
      <c r="F44" s="1"/>
      <c r="G44" s="1"/>
      <c r="H44" s="1"/>
      <c r="I44" s="1"/>
    </row>
    <row r="45" spans="1:9" x14ac:dyDescent="0.2">
      <c r="A45" t="s">
        <v>967</v>
      </c>
      <c r="B45" s="1">
        <f>'fs sources from 1925'!F138</f>
        <v>209538</v>
      </c>
      <c r="C45" s="1">
        <f>'fs sources from 1925'!I138</f>
        <v>7745</v>
      </c>
      <c r="D45" s="1">
        <f t="shared" si="0"/>
        <v>217283</v>
      </c>
      <c r="E45" s="3">
        <f t="shared" si="1"/>
        <v>27.054615881213685</v>
      </c>
      <c r="F45" s="1"/>
      <c r="G45" s="1"/>
      <c r="H45" s="1"/>
      <c r="I45" s="1"/>
    </row>
    <row r="46" spans="1:9" x14ac:dyDescent="0.2">
      <c r="A46" t="s">
        <v>968</v>
      </c>
      <c r="B46" s="1">
        <f>'fs sources from 1925'!F139</f>
        <v>206632</v>
      </c>
      <c r="C46" s="1">
        <f>'fs sources from 1925'!I139</f>
        <v>7704</v>
      </c>
      <c r="D46" s="1">
        <f t="shared" si="0"/>
        <v>214336</v>
      </c>
      <c r="E46" s="3">
        <f t="shared" si="1"/>
        <v>26.821391484942886</v>
      </c>
      <c r="F46" s="1"/>
      <c r="G46" s="1"/>
      <c r="H46" s="1"/>
      <c r="I46" s="1"/>
    </row>
    <row r="47" spans="1:9" x14ac:dyDescent="0.2">
      <c r="A47" t="s">
        <v>969</v>
      </c>
      <c r="B47" s="1">
        <f>'fs sources from 1925'!F140</f>
        <v>203327</v>
      </c>
      <c r="C47" s="1">
        <f>'fs sources from 1925'!I140</f>
        <v>7568</v>
      </c>
      <c r="D47" s="1">
        <f t="shared" si="0"/>
        <v>210895</v>
      </c>
      <c r="E47" s="3">
        <f t="shared" si="1"/>
        <v>26.866675475687103</v>
      </c>
      <c r="F47" s="1"/>
      <c r="G47" s="1"/>
      <c r="H47" s="1"/>
      <c r="I47" s="1"/>
    </row>
    <row r="48" spans="1:9" x14ac:dyDescent="0.2">
      <c r="A48" t="s">
        <v>970</v>
      </c>
      <c r="B48" s="1">
        <f>'fs sources from 1925'!F141</f>
        <v>192703</v>
      </c>
      <c r="C48" s="1">
        <f>'fs sources from 1925'!I141</f>
        <v>6951</v>
      </c>
      <c r="D48" s="1">
        <f t="shared" si="0"/>
        <v>199654</v>
      </c>
      <c r="E48" s="3">
        <f t="shared" si="1"/>
        <v>27.72306143001007</v>
      </c>
      <c r="F48" s="1"/>
      <c r="G48" s="1"/>
      <c r="H48" s="1"/>
      <c r="I48" s="1"/>
    </row>
    <row r="49" spans="1:9" x14ac:dyDescent="0.2">
      <c r="A49" t="s">
        <v>971</v>
      </c>
      <c r="B49" s="1">
        <f>'fs sources from 1925'!F142</f>
        <v>188661</v>
      </c>
      <c r="C49" s="1">
        <f>'fs sources from 1925'!I142</f>
        <v>6235</v>
      </c>
      <c r="D49" s="1">
        <f t="shared" si="0"/>
        <v>194896</v>
      </c>
      <c r="E49" s="3">
        <f t="shared" si="1"/>
        <v>30.258380112269446</v>
      </c>
      <c r="F49" s="1"/>
      <c r="G49" s="1"/>
      <c r="H49" s="1"/>
      <c r="I49" s="1"/>
    </row>
    <row r="50" spans="1:9" x14ac:dyDescent="0.2">
      <c r="A50" t="s">
        <v>972</v>
      </c>
      <c r="B50" s="1">
        <f>'fs sources from 1925'!F143</f>
        <v>182102</v>
      </c>
      <c r="C50" s="1">
        <f>'fs sources from 1925'!I143</f>
        <v>5812</v>
      </c>
      <c r="D50" s="1">
        <f t="shared" si="0"/>
        <v>187914</v>
      </c>
      <c r="E50" s="3">
        <f t="shared" si="1"/>
        <v>31.332071576049554</v>
      </c>
      <c r="F50" s="1"/>
      <c r="G50" s="1"/>
      <c r="H50" s="1"/>
      <c r="I50" s="1"/>
    </row>
    <row r="51" spans="1:9" x14ac:dyDescent="0.2">
      <c r="A51" t="s">
        <v>973</v>
      </c>
      <c r="B51" s="1">
        <f>'fs sources from 1925'!F144</f>
        <v>189413</v>
      </c>
      <c r="C51" s="1">
        <f>'fs sources from 1925'!I144</f>
        <v>6594</v>
      </c>
      <c r="D51" s="1">
        <f t="shared" si="0"/>
        <v>196007</v>
      </c>
      <c r="E51" s="3">
        <f t="shared" si="1"/>
        <v>28.725053078556265</v>
      </c>
      <c r="F51" s="1"/>
      <c r="G51" s="1"/>
      <c r="H51" s="1"/>
      <c r="I51" s="1"/>
    </row>
    <row r="52" spans="1:9" x14ac:dyDescent="0.2">
      <c r="A52" t="s">
        <v>974</v>
      </c>
      <c r="B52" s="1">
        <f>'fs sources from 1925'!F145</f>
        <v>190794</v>
      </c>
      <c r="C52" s="1">
        <f>'fs sources from 1925'!I145</f>
        <v>5635</v>
      </c>
      <c r="D52" s="1">
        <f t="shared" si="0"/>
        <v>196429</v>
      </c>
      <c r="E52" s="3">
        <f t="shared" si="1"/>
        <v>33.858740017746229</v>
      </c>
      <c r="F52" s="1"/>
      <c r="G52" s="1"/>
      <c r="H52" s="1"/>
      <c r="I52" s="1"/>
    </row>
    <row r="53" spans="1:9" x14ac:dyDescent="0.2">
      <c r="A53" t="s">
        <v>975</v>
      </c>
      <c r="B53" s="1">
        <f>'fs sources from 1925'!F146</f>
        <v>191732</v>
      </c>
      <c r="C53" s="1">
        <f>'fs sources from 1925'!I146</f>
        <v>6329</v>
      </c>
      <c r="D53" s="1">
        <f t="shared" si="0"/>
        <v>198061</v>
      </c>
      <c r="E53" s="3">
        <f t="shared" si="1"/>
        <v>30.294201295623321</v>
      </c>
      <c r="F53" s="1"/>
      <c r="G53" s="1"/>
      <c r="H53" s="1"/>
      <c r="I53" s="1"/>
    </row>
    <row r="54" spans="1:9" x14ac:dyDescent="0.2">
      <c r="A54" t="s">
        <v>976</v>
      </c>
      <c r="B54" s="1">
        <f>'fs sources from 1925'!F147</f>
        <v>189823</v>
      </c>
      <c r="C54" s="1">
        <f>'fs sources from 1925'!I147</f>
        <v>6269</v>
      </c>
      <c r="D54" s="1">
        <f t="shared" si="0"/>
        <v>196092</v>
      </c>
      <c r="E54" s="3">
        <f t="shared" si="1"/>
        <v>30.279629925027916</v>
      </c>
      <c r="F54" s="1"/>
      <c r="G54" s="1"/>
      <c r="H54" s="1"/>
      <c r="I54" s="1"/>
    </row>
    <row r="55" spans="1:9" x14ac:dyDescent="0.2">
      <c r="A55" t="s">
        <v>977</v>
      </c>
      <c r="B55" s="1">
        <f>'fs sources from 1925'!F148</f>
        <v>197523</v>
      </c>
      <c r="C55" s="1">
        <f>'fs sources from 1925'!I148</f>
        <v>6004</v>
      </c>
      <c r="D55" s="1">
        <f t="shared" si="0"/>
        <v>203527</v>
      </c>
      <c r="E55" s="3">
        <f t="shared" si="1"/>
        <v>32.898567621585613</v>
      </c>
      <c r="F55" s="1"/>
      <c r="G55" s="1"/>
      <c r="H55" s="1"/>
      <c r="I55" s="1"/>
    </row>
    <row r="56" spans="1:9" x14ac:dyDescent="0.2">
      <c r="A56" t="s">
        <v>978</v>
      </c>
      <c r="B56" s="1">
        <f>'fs sources from 1925'!F149</f>
        <v>211077</v>
      </c>
      <c r="C56" s="1">
        <f>'fs sources from 1925'!I149</f>
        <v>7389</v>
      </c>
      <c r="D56" s="1">
        <f t="shared" si="0"/>
        <v>218466</v>
      </c>
      <c r="E56" s="3">
        <f t="shared" si="1"/>
        <v>28.566382460414129</v>
      </c>
      <c r="F56" s="1">
        <f>B56+'fs sources from 1925'!B6</f>
        <v>221826</v>
      </c>
      <c r="G56" s="1">
        <f>C56+'fs sources from 1925'!C6</f>
        <v>8156</v>
      </c>
      <c r="H56" s="1">
        <f>F56+G56</f>
        <v>229982</v>
      </c>
      <c r="I56" s="3">
        <f>F56/G56</f>
        <v>27.197891123099559</v>
      </c>
    </row>
    <row r="57" spans="1:9" x14ac:dyDescent="0.2">
      <c r="A57" t="s">
        <v>979</v>
      </c>
      <c r="B57" s="1">
        <f>'fs sources from 1925'!F150</f>
        <v>231918</v>
      </c>
      <c r="C57" s="1">
        <f>'fs sources from 1925'!I150</f>
        <v>8675</v>
      </c>
      <c r="D57" s="1">
        <f t="shared" si="0"/>
        <v>240593</v>
      </c>
      <c r="E57" s="3">
        <f t="shared" si="1"/>
        <v>26.734063400576368</v>
      </c>
      <c r="F57" s="1">
        <f>B57+'fs sources from 1925'!B7</f>
        <v>242167</v>
      </c>
      <c r="G57" s="1">
        <f>C57+'fs sources from 1925'!C7</f>
        <v>9492</v>
      </c>
      <c r="H57" s="1">
        <f t="shared" ref="H57:H92" si="2">F57+G57</f>
        <v>251659</v>
      </c>
      <c r="I57" s="3">
        <f t="shared" ref="I57:I92" si="3">F57/G57</f>
        <v>25.512747576906868</v>
      </c>
    </row>
    <row r="58" spans="1:9" x14ac:dyDescent="0.2">
      <c r="A58" t="s">
        <v>980</v>
      </c>
      <c r="B58" s="1">
        <f>'fs sources from 1925'!F151</f>
        <v>252794</v>
      </c>
      <c r="C58" s="1">
        <f>'fs sources from 1925'!I151</f>
        <v>10039</v>
      </c>
      <c r="D58" s="1">
        <f t="shared" si="0"/>
        <v>262833</v>
      </c>
      <c r="E58" s="3">
        <f t="shared" si="1"/>
        <v>25.181193345950792</v>
      </c>
      <c r="F58" s="1">
        <f>B58+'fs sources from 1925'!B8</f>
        <v>266830</v>
      </c>
      <c r="G58" s="1">
        <f>C58+'fs sources from 1925'!C8</f>
        <v>11170</v>
      </c>
      <c r="H58" s="1">
        <f t="shared" si="2"/>
        <v>278000</v>
      </c>
      <c r="I58" s="3">
        <f t="shared" si="3"/>
        <v>23.888093106535361</v>
      </c>
    </row>
    <row r="59" spans="1:9" x14ac:dyDescent="0.2">
      <c r="A59" t="s">
        <v>981</v>
      </c>
      <c r="B59" s="1">
        <f>'fs sources from 1925'!F152</f>
        <v>267097</v>
      </c>
      <c r="C59" s="1">
        <f>'fs sources from 1925'!I152</f>
        <v>11044</v>
      </c>
      <c r="D59" s="1">
        <f t="shared" si="0"/>
        <v>278141</v>
      </c>
      <c r="E59" s="3">
        <f t="shared" si="1"/>
        <v>24.184806229626947</v>
      </c>
      <c r="F59" s="1">
        <f>B59+'fs sources from 1925'!B9</f>
        <v>279626</v>
      </c>
      <c r="G59" s="1">
        <f>C59+'fs sources from 1925'!C9</f>
        <v>12041</v>
      </c>
      <c r="H59" s="1">
        <f t="shared" si="2"/>
        <v>291667</v>
      </c>
      <c r="I59" s="3">
        <f t="shared" si="3"/>
        <v>23.222822024748776</v>
      </c>
    </row>
    <row r="60" spans="1:9" x14ac:dyDescent="0.2">
      <c r="A60" t="s">
        <v>982</v>
      </c>
      <c r="B60" s="1">
        <f>'fs sources from 1925'!F155</f>
        <v>282813</v>
      </c>
      <c r="C60" s="1">
        <f>'fs sources from 1925'!I155</f>
        <v>11583</v>
      </c>
      <c r="D60" s="1">
        <f t="shared" si="0"/>
        <v>294396</v>
      </c>
      <c r="E60" s="3">
        <f t="shared" si="1"/>
        <v>24.416213416213417</v>
      </c>
      <c r="F60" s="1">
        <f>B60+'fs sources from 1925'!B11</f>
        <v>294530</v>
      </c>
      <c r="G60" s="1">
        <f>C60+'fs sources from 1925'!C11</f>
        <v>12746</v>
      </c>
      <c r="H60" s="1">
        <f t="shared" si="2"/>
        <v>307276</v>
      </c>
      <c r="I60" s="3">
        <f t="shared" si="3"/>
        <v>23.107641613055076</v>
      </c>
    </row>
    <row r="61" spans="1:9" x14ac:dyDescent="0.2">
      <c r="A61" t="s">
        <v>983</v>
      </c>
      <c r="B61" s="1">
        <f>'fs sources from 1925'!F156</f>
        <v>289465</v>
      </c>
      <c r="C61" s="1">
        <f>'fs sources from 1925'!I156</f>
        <v>12005</v>
      </c>
      <c r="D61" s="1">
        <f t="shared" si="0"/>
        <v>301470</v>
      </c>
      <c r="E61" s="3">
        <f t="shared" si="1"/>
        <v>24.11203665139525</v>
      </c>
      <c r="F61" s="1">
        <f>B61+'fs sources from 1925'!B12</f>
        <v>301462</v>
      </c>
      <c r="G61" s="1">
        <f>C61+'fs sources from 1925'!C12</f>
        <v>12995</v>
      </c>
      <c r="H61" s="1">
        <f t="shared" si="2"/>
        <v>314457</v>
      </c>
      <c r="I61" s="3">
        <f t="shared" si="3"/>
        <v>23.198307041169681</v>
      </c>
    </row>
    <row r="62" spans="1:9" x14ac:dyDescent="0.2">
      <c r="A62" t="s">
        <v>984</v>
      </c>
      <c r="B62" s="1">
        <f>'fs sources from 1925'!F157</f>
        <v>303643</v>
      </c>
      <c r="C62" s="1">
        <f>'fs sources from 1925'!I157</f>
        <v>12331</v>
      </c>
      <c r="D62" s="1">
        <f t="shared" si="0"/>
        <v>315974</v>
      </c>
      <c r="E62" s="3">
        <f t="shared" si="1"/>
        <v>24.624361365663773</v>
      </c>
      <c r="F62" s="1">
        <f>B62+'fs sources from 1925'!B13</f>
        <v>316401</v>
      </c>
      <c r="G62" s="1">
        <f>C62+'fs sources from 1925'!C13</f>
        <v>13420</v>
      </c>
      <c r="H62" s="1">
        <f t="shared" si="2"/>
        <v>329821</v>
      </c>
      <c r="I62" s="3">
        <f t="shared" si="3"/>
        <v>23.57682563338301</v>
      </c>
    </row>
    <row r="63" spans="1:9" x14ac:dyDescent="0.2">
      <c r="A63" t="s">
        <v>985</v>
      </c>
      <c r="B63" s="1">
        <f>'fs sources from 1925'!F158</f>
        <v>339375</v>
      </c>
      <c r="C63" s="1">
        <f>'fs sources from 1925'!I158</f>
        <v>14298</v>
      </c>
      <c r="D63" s="1">
        <f t="shared" si="0"/>
        <v>353673</v>
      </c>
      <c r="E63" s="3">
        <f t="shared" si="1"/>
        <v>23.735837180025179</v>
      </c>
      <c r="F63" s="1">
        <f>B63+'fs sources from 1925'!B14</f>
        <v>354393</v>
      </c>
      <c r="G63" s="1">
        <f>C63+'fs sources from 1925'!C14</f>
        <v>15537</v>
      </c>
      <c r="H63" s="1">
        <f t="shared" si="2"/>
        <v>369930</v>
      </c>
      <c r="I63" s="3">
        <f t="shared" si="3"/>
        <v>22.80961575593744</v>
      </c>
    </row>
    <row r="64" spans="1:9" x14ac:dyDescent="0.2">
      <c r="A64" t="s">
        <v>986</v>
      </c>
      <c r="B64" s="1">
        <f>'fs sources from 1925'!F159</f>
        <v>379075</v>
      </c>
      <c r="C64" s="1">
        <f>'fs sources from 1925'!I159</f>
        <v>16441</v>
      </c>
      <c r="D64" s="1">
        <f t="shared" si="0"/>
        <v>395516</v>
      </c>
      <c r="E64" s="3">
        <f t="shared" si="1"/>
        <v>23.056687549419134</v>
      </c>
      <c r="F64" s="1">
        <f>B64+'fs sources from 1925'!B15</f>
        <v>396021</v>
      </c>
      <c r="G64" s="1">
        <f>C64+'fs sources from 1925'!C15</f>
        <v>17785</v>
      </c>
      <c r="H64" s="1">
        <f t="shared" si="2"/>
        <v>413806</v>
      </c>
      <c r="I64" s="3">
        <f t="shared" si="3"/>
        <v>22.267135226314309</v>
      </c>
    </row>
    <row r="65" spans="1:9" x14ac:dyDescent="0.2">
      <c r="A65" t="s">
        <v>987</v>
      </c>
      <c r="B65" s="1">
        <f>'fs sources from 1925'!F160</f>
        <v>401870</v>
      </c>
      <c r="C65" s="1">
        <f>'fs sources from 1925'!I160</f>
        <v>17476</v>
      </c>
      <c r="D65" s="1">
        <f t="shared" si="0"/>
        <v>419346</v>
      </c>
      <c r="E65" s="3">
        <f t="shared" si="1"/>
        <v>22.995536736095215</v>
      </c>
      <c r="F65" s="1">
        <f>B65+'fs sources from 1925'!B16</f>
        <v>417835</v>
      </c>
      <c r="G65" s="1">
        <f>C65+'fs sources from 1925'!C16</f>
        <v>19020</v>
      </c>
      <c r="H65" s="1">
        <f t="shared" si="2"/>
        <v>436855</v>
      </c>
      <c r="I65" s="3">
        <f t="shared" si="3"/>
        <v>21.968191377497373</v>
      </c>
    </row>
    <row r="66" spans="1:9" x14ac:dyDescent="0.2">
      <c r="A66" t="s">
        <v>988</v>
      </c>
      <c r="B66" s="1">
        <f>'fs sources from 1925'!F161</f>
        <v>424193</v>
      </c>
      <c r="C66" s="1">
        <f>'fs sources from 1925'!I161</f>
        <v>19205</v>
      </c>
      <c r="D66" s="1">
        <f t="shared" si="0"/>
        <v>443398</v>
      </c>
      <c r="E66" s="3">
        <f t="shared" si="1"/>
        <v>22.087633428794586</v>
      </c>
      <c r="F66" s="1">
        <f>B66+'fs sources from 1925'!B17</f>
        <v>441197</v>
      </c>
      <c r="G66" s="1">
        <f>C66+'fs sources from 1925'!C17</f>
        <v>20660</v>
      </c>
      <c r="H66" s="1">
        <f t="shared" si="2"/>
        <v>461857</v>
      </c>
      <c r="I66" s="3">
        <f t="shared" si="3"/>
        <v>21.355130687318489</v>
      </c>
    </row>
    <row r="67" spans="1:9" x14ac:dyDescent="0.2">
      <c r="A67" t="s">
        <v>989</v>
      </c>
      <c r="B67" s="1">
        <f>'fs sources from 1925'!F162</f>
        <v>459223</v>
      </c>
      <c r="C67" s="1">
        <f>'fs sources from 1925'!I162</f>
        <v>21345</v>
      </c>
      <c r="D67" s="1">
        <f t="shared" si="0"/>
        <v>480568</v>
      </c>
      <c r="E67" s="3">
        <f t="shared" si="1"/>
        <v>21.514312485359568</v>
      </c>
      <c r="F67" s="1">
        <f>B67+'fs sources from 1925'!B18</f>
        <v>479523</v>
      </c>
      <c r="G67" s="1">
        <f>C67+'fs sources from 1925'!C18</f>
        <v>23030</v>
      </c>
      <c r="H67" s="1">
        <f t="shared" si="2"/>
        <v>502553</v>
      </c>
      <c r="I67" s="3">
        <f t="shared" si="3"/>
        <v>20.8216673903604</v>
      </c>
    </row>
    <row r="68" spans="1:9" x14ac:dyDescent="0.2">
      <c r="A68" t="s">
        <v>990</v>
      </c>
      <c r="B68" s="1">
        <f>'fs sources from 1925'!F163</f>
        <v>497540</v>
      </c>
      <c r="C68" s="1">
        <f>'fs sources from 1925'!I163</f>
        <v>24544</v>
      </c>
      <c r="D68" s="1">
        <f t="shared" si="0"/>
        <v>522084</v>
      </c>
      <c r="E68" s="3">
        <f t="shared" si="1"/>
        <v>20.271349413298566</v>
      </c>
      <c r="F68" s="1">
        <v>518478</v>
      </c>
      <c r="G68" s="1">
        <v>26655</v>
      </c>
      <c r="H68" s="1">
        <f t="shared" si="2"/>
        <v>545133</v>
      </c>
      <c r="I68" s="3">
        <f t="shared" si="3"/>
        <v>19.451435002813732</v>
      </c>
    </row>
    <row r="69" spans="1:9" x14ac:dyDescent="0.2">
      <c r="A69" t="s">
        <v>991</v>
      </c>
      <c r="B69" s="1">
        <f>'fs sources from 1925'!F164</f>
        <v>533990</v>
      </c>
      <c r="C69" s="1">
        <f>'fs sources from 1925'!I164</f>
        <v>26822</v>
      </c>
      <c r="D69" s="1">
        <f t="shared" si="0"/>
        <v>560812</v>
      </c>
      <c r="E69" s="3">
        <f t="shared" si="1"/>
        <v>19.908657072552383</v>
      </c>
      <c r="F69" s="1">
        <v>555371</v>
      </c>
      <c r="G69" s="1">
        <v>29064</v>
      </c>
      <c r="H69" s="1">
        <f t="shared" si="2"/>
        <v>584435</v>
      </c>
      <c r="I69" s="3">
        <f t="shared" si="3"/>
        <v>19.108553537021745</v>
      </c>
    </row>
    <row r="70" spans="1:9" x14ac:dyDescent="0.2">
      <c r="A70" t="s">
        <v>992</v>
      </c>
      <c r="B70" s="1">
        <f>'fs sources from 1925'!F165</f>
        <v>573587</v>
      </c>
      <c r="C70" s="1">
        <f>'fs sources from 1925'!I165</f>
        <v>30145</v>
      </c>
      <c r="D70" s="1">
        <f t="shared" si="0"/>
        <v>603732</v>
      </c>
      <c r="E70" s="3">
        <f t="shared" si="1"/>
        <v>19.027599933654006</v>
      </c>
      <c r="F70" s="1">
        <v>594996</v>
      </c>
      <c r="G70" s="1">
        <v>32592</v>
      </c>
      <c r="H70" s="1">
        <f t="shared" si="2"/>
        <v>627588</v>
      </c>
      <c r="I70" s="3">
        <f t="shared" si="3"/>
        <v>18.255891016200295</v>
      </c>
    </row>
    <row r="71" spans="1:9" x14ac:dyDescent="0.2">
      <c r="A71" t="s">
        <v>993</v>
      </c>
      <c r="B71" s="1">
        <f>'fs sources from 1925'!F166</f>
        <v>643643</v>
      </c>
      <c r="C71" s="1">
        <f>'fs sources from 1925'!I166</f>
        <v>37264</v>
      </c>
      <c r="D71" s="1">
        <f t="shared" si="0"/>
        <v>680907</v>
      </c>
      <c r="E71" s="3">
        <f t="shared" si="1"/>
        <v>17.272515027908973</v>
      </c>
      <c r="F71" s="1">
        <v>671911</v>
      </c>
      <c r="G71" s="1">
        <v>40646</v>
      </c>
      <c r="H71" s="1">
        <f t="shared" si="2"/>
        <v>712557</v>
      </c>
      <c r="I71" s="3">
        <f t="shared" si="3"/>
        <v>16.530802538995228</v>
      </c>
    </row>
    <row r="72" spans="1:9" x14ac:dyDescent="0.2">
      <c r="A72" t="s">
        <v>994</v>
      </c>
      <c r="B72" s="1">
        <f>'fs sources from 1925'!F167</f>
        <v>699416</v>
      </c>
      <c r="C72" s="1">
        <f>'fs sources from 1925'!I167</f>
        <v>40564</v>
      </c>
      <c r="D72" s="1">
        <f t="shared" ref="D72:D82" si="4">B72+C72</f>
        <v>739980</v>
      </c>
      <c r="E72" s="3">
        <f t="shared" ref="E72:E82" si="5">B72/C72</f>
        <v>17.242283798441967</v>
      </c>
      <c r="F72" s="1">
        <v>729840</v>
      </c>
      <c r="G72" s="1">
        <v>44065</v>
      </c>
      <c r="H72" s="1">
        <f t="shared" si="2"/>
        <v>773905</v>
      </c>
      <c r="I72" s="3">
        <f t="shared" si="3"/>
        <v>16.562804947237037</v>
      </c>
    </row>
    <row r="73" spans="1:9" x14ac:dyDescent="0.2">
      <c r="A73" t="s">
        <v>995</v>
      </c>
      <c r="B73" s="1">
        <f>'fs sources from 1925'!F168</f>
        <v>745808</v>
      </c>
      <c r="C73" s="1">
        <f>'fs sources from 1925'!I168</f>
        <v>43802</v>
      </c>
      <c r="D73" s="1">
        <f t="shared" si="4"/>
        <v>789610</v>
      </c>
      <c r="E73" s="3">
        <f t="shared" si="5"/>
        <v>17.026802429112827</v>
      </c>
      <c r="F73" s="1">
        <v>776550</v>
      </c>
      <c r="G73" s="1">
        <v>47583</v>
      </c>
      <c r="H73" s="1">
        <f t="shared" si="2"/>
        <v>824133</v>
      </c>
      <c r="I73" s="3">
        <f t="shared" si="3"/>
        <v>16.319904167454762</v>
      </c>
    </row>
    <row r="74" spans="1:9" x14ac:dyDescent="0.2">
      <c r="A74" t="s">
        <v>996</v>
      </c>
      <c r="B74" s="1">
        <f>'fs sources from 1925'!F169</f>
        <v>799776</v>
      </c>
      <c r="C74" s="1">
        <f>'fs sources from 1925'!I169</f>
        <v>46501</v>
      </c>
      <c r="D74" s="1">
        <f t="shared" si="4"/>
        <v>846277</v>
      </c>
      <c r="E74" s="3">
        <f t="shared" si="5"/>
        <v>17.199113997548441</v>
      </c>
      <c r="F74" s="1">
        <v>833163</v>
      </c>
      <c r="G74" s="1">
        <v>50493</v>
      </c>
      <c r="H74" s="1">
        <f t="shared" si="2"/>
        <v>883656</v>
      </c>
      <c r="I74" s="3">
        <f t="shared" si="3"/>
        <v>16.500564434674114</v>
      </c>
    </row>
    <row r="75" spans="1:9" x14ac:dyDescent="0.2">
      <c r="A75" t="s">
        <v>997</v>
      </c>
      <c r="B75" s="1">
        <f>'fs sources from 1925'!F170</f>
        <v>878037</v>
      </c>
      <c r="C75" s="1">
        <f>'fs sources from 1925'!I170</f>
        <v>54037</v>
      </c>
      <c r="D75" s="1">
        <f t="shared" si="4"/>
        <v>932074</v>
      </c>
      <c r="E75" s="3">
        <f t="shared" si="5"/>
        <v>16.248810999870461</v>
      </c>
      <c r="F75" s="1">
        <v>912194</v>
      </c>
      <c r="G75" s="1">
        <v>58250</v>
      </c>
      <c r="H75" s="1">
        <f t="shared" si="2"/>
        <v>970444</v>
      </c>
      <c r="I75" s="3">
        <f t="shared" si="3"/>
        <v>15.659982832618025</v>
      </c>
    </row>
    <row r="76" spans="1:9" x14ac:dyDescent="0.2">
      <c r="A76" t="s">
        <v>998</v>
      </c>
      <c r="B76" s="1">
        <f>'fs sources from 1925'!F171</f>
        <v>956566</v>
      </c>
      <c r="C76" s="1">
        <f>'fs sources from 1925'!I171</f>
        <v>60125</v>
      </c>
      <c r="D76" s="1">
        <f t="shared" si="4"/>
        <v>1016691</v>
      </c>
      <c r="E76" s="3">
        <f t="shared" si="5"/>
        <v>15.909621621621621</v>
      </c>
      <c r="F76" s="1">
        <v>990733</v>
      </c>
      <c r="G76" s="1">
        <v>64340</v>
      </c>
      <c r="H76" s="1">
        <f t="shared" si="2"/>
        <v>1055073</v>
      </c>
      <c r="I76" s="3">
        <f t="shared" si="3"/>
        <v>15.398399129623874</v>
      </c>
    </row>
    <row r="77" spans="1:9" x14ac:dyDescent="0.2">
      <c r="A77" t="s">
        <v>999</v>
      </c>
      <c r="B77" s="1">
        <f>'fs sources from 1925'!F172</f>
        <v>1021059</v>
      </c>
      <c r="C77" s="1">
        <f>'fs sources from 1925'!I172</f>
        <v>63963</v>
      </c>
      <c r="D77" s="1">
        <f t="shared" si="4"/>
        <v>1085022</v>
      </c>
      <c r="E77" s="3">
        <f t="shared" si="5"/>
        <v>15.963275643731532</v>
      </c>
      <c r="F77" s="1">
        <v>1057406</v>
      </c>
      <c r="G77" s="1">
        <v>68468</v>
      </c>
      <c r="H77" s="1">
        <f t="shared" si="2"/>
        <v>1125874</v>
      </c>
      <c r="I77" s="3">
        <f t="shared" si="3"/>
        <v>15.443798562832272</v>
      </c>
    </row>
    <row r="78" spans="1:9" x14ac:dyDescent="0.2">
      <c r="A78" t="s">
        <v>1000</v>
      </c>
      <c r="B78" s="1">
        <f>'fs sources from 1925'!F173</f>
        <v>1068123</v>
      </c>
      <c r="C78" s="1">
        <f>'fs sources from 1925'!I173</f>
        <v>69599</v>
      </c>
      <c r="D78" s="1">
        <f t="shared" si="4"/>
        <v>1137722</v>
      </c>
      <c r="E78" s="3">
        <f t="shared" si="5"/>
        <v>15.346815327806434</v>
      </c>
      <c r="F78" s="1">
        <v>1108398</v>
      </c>
      <c r="G78" s="1">
        <v>74970</v>
      </c>
      <c r="H78" s="1">
        <f t="shared" si="2"/>
        <v>1183368</v>
      </c>
      <c r="I78" s="3">
        <f t="shared" si="3"/>
        <v>14.784553821528611</v>
      </c>
    </row>
    <row r="79" spans="1:9" x14ac:dyDescent="0.2">
      <c r="A79" t="s">
        <v>1001</v>
      </c>
      <c r="B79" s="1">
        <f>'fs sources from 1925'!F174</f>
        <v>1120787</v>
      </c>
      <c r="C79" s="1">
        <f>'fs sources from 1925'!I174</f>
        <v>73794</v>
      </c>
      <c r="D79" s="1">
        <f t="shared" si="4"/>
        <v>1194581</v>
      </c>
      <c r="E79" s="3">
        <f t="shared" si="5"/>
        <v>15.188050519012386</v>
      </c>
      <c r="F79" s="1">
        <v>1162885</v>
      </c>
      <c r="G79" s="1">
        <v>79268</v>
      </c>
      <c r="H79" s="1">
        <f t="shared" si="2"/>
        <v>1242153</v>
      </c>
      <c r="I79" s="3">
        <f t="shared" si="3"/>
        <v>14.670295705707222</v>
      </c>
    </row>
    <row r="80" spans="1:9" x14ac:dyDescent="0.2">
      <c r="A80" t="s">
        <v>1002</v>
      </c>
      <c r="B80" s="1">
        <f>'fs sources from 1925'!F175</f>
        <v>1167802</v>
      </c>
      <c r="C80" s="1">
        <f>'fs sources from 1925'!I175</f>
        <v>77600</v>
      </c>
      <c r="D80" s="1">
        <f t="shared" si="4"/>
        <v>1245402</v>
      </c>
      <c r="E80" s="3">
        <f t="shared" si="5"/>
        <v>15.048994845360825</v>
      </c>
      <c r="F80" s="1">
        <v>1216219</v>
      </c>
      <c r="G80" s="1">
        <v>84354</v>
      </c>
      <c r="H80" s="1">
        <f t="shared" si="2"/>
        <v>1300573</v>
      </c>
      <c r="I80" s="3">
        <f t="shared" si="3"/>
        <v>14.418035896341609</v>
      </c>
    </row>
    <row r="81" spans="1:9" x14ac:dyDescent="0.2">
      <c r="A81" t="s">
        <v>1003</v>
      </c>
      <c r="B81" s="1">
        <f>'fs sources from 1925'!F176</f>
        <v>1221611</v>
      </c>
      <c r="C81" s="1">
        <f>'fs sources from 1925'!I176</f>
        <v>82463</v>
      </c>
      <c r="D81" s="1">
        <f t="shared" si="4"/>
        <v>1304074</v>
      </c>
      <c r="E81" s="3">
        <f t="shared" si="5"/>
        <v>14.814049937547749</v>
      </c>
      <c r="F81" s="1">
        <v>1273171</v>
      </c>
      <c r="G81" s="1">
        <v>90530</v>
      </c>
      <c r="H81" s="1">
        <f t="shared" si="2"/>
        <v>1363701</v>
      </c>
      <c r="I81" s="3">
        <f t="shared" si="3"/>
        <v>14.063525903015575</v>
      </c>
    </row>
    <row r="82" spans="1:9" x14ac:dyDescent="0.2">
      <c r="A82" t="s">
        <v>1004</v>
      </c>
      <c r="B82" s="1">
        <f>'fs sources from 1925'!I518</f>
        <v>1249130</v>
      </c>
      <c r="C82" s="1">
        <f>'fs sources from 1925'!K518</f>
        <v>85044</v>
      </c>
      <c r="D82" s="1">
        <f t="shared" si="4"/>
        <v>1334174</v>
      </c>
      <c r="E82" s="3">
        <f t="shared" si="5"/>
        <v>14.688043836131884</v>
      </c>
      <c r="F82" s="1">
        <f>'fs sources from 1925'!I32</f>
        <v>1303421</v>
      </c>
      <c r="G82" s="1">
        <f>'fs sources from 1925'!K32</f>
        <v>93504</v>
      </c>
      <c r="H82" s="1">
        <f t="shared" si="2"/>
        <v>1396925</v>
      </c>
      <c r="I82" s="3">
        <f t="shared" si="3"/>
        <v>13.939735198494182</v>
      </c>
    </row>
    <row r="83" spans="1:9" x14ac:dyDescent="0.2">
      <c r="A83" t="s">
        <v>1005</v>
      </c>
      <c r="B83" s="1">
        <f>'fs sources from 1925'!I519</f>
        <v>1260033</v>
      </c>
      <c r="C83" s="1">
        <f>'fs sources from 1925'!K519</f>
        <v>85184</v>
      </c>
      <c r="D83" s="1">
        <f t="shared" ref="D83:D93" si="6">B83+C83</f>
        <v>1345217</v>
      </c>
      <c r="E83" s="3">
        <f t="shared" ref="E83:E93" si="7">B83/C83</f>
        <v>14.791897539444028</v>
      </c>
      <c r="F83" s="1">
        <f>'fs sources from 1925'!I33</f>
        <v>1311053</v>
      </c>
      <c r="G83" s="1">
        <f>'fs sources from 1925'!K33</f>
        <v>92979</v>
      </c>
      <c r="H83" s="1">
        <f t="shared" si="2"/>
        <v>1404032</v>
      </c>
      <c r="I83" s="3">
        <f t="shared" si="3"/>
        <v>14.100528076232267</v>
      </c>
    </row>
    <row r="84" spans="1:9" x14ac:dyDescent="0.2">
      <c r="A84" t="s">
        <v>1006</v>
      </c>
      <c r="B84" s="1">
        <f>'fs sources from 1925'!I520</f>
        <v>1291450</v>
      </c>
      <c r="C84" s="1">
        <f>'fs sources from 1925'!K520</f>
        <v>89066</v>
      </c>
      <c r="D84" s="1">
        <f t="shared" si="6"/>
        <v>1380516</v>
      </c>
      <c r="E84" s="3">
        <f t="shared" si="7"/>
        <v>14.499921406597355</v>
      </c>
      <c r="F84" s="1">
        <f>'fs sources from 1925'!I34</f>
        <v>1342513</v>
      </c>
      <c r="G84" s="1">
        <f>'fs sources from 1925'!K34</f>
        <v>97631</v>
      </c>
      <c r="H84" s="1">
        <f t="shared" si="2"/>
        <v>1440144</v>
      </c>
      <c r="I84" s="3">
        <f t="shared" si="3"/>
        <v>13.750888549743422</v>
      </c>
    </row>
    <row r="85" spans="1:9" x14ac:dyDescent="0.2">
      <c r="A85" t="s">
        <v>1007</v>
      </c>
      <c r="B85" s="1">
        <f>'fs sources from 1925'!I521</f>
        <v>1315790</v>
      </c>
      <c r="C85" s="1">
        <f>'fs sources from 1925'!K521</f>
        <v>92571</v>
      </c>
      <c r="D85" s="1">
        <f t="shared" si="6"/>
        <v>1408361</v>
      </c>
      <c r="E85" s="3">
        <f t="shared" si="7"/>
        <v>14.213846669043221</v>
      </c>
      <c r="F85" s="1">
        <f>'fs sources from 1925'!I35</f>
        <v>1367755</v>
      </c>
      <c r="G85" s="1">
        <f>'fs sources from 1925'!K35</f>
        <v>100846</v>
      </c>
      <c r="H85" s="1">
        <f t="shared" si="2"/>
        <v>1468601</v>
      </c>
      <c r="I85" s="3">
        <f t="shared" si="3"/>
        <v>13.562808638914781</v>
      </c>
    </row>
    <row r="86" spans="1:9" x14ac:dyDescent="0.2">
      <c r="A86" t="s">
        <v>382</v>
      </c>
      <c r="B86" s="1">
        <f>'fs sources from 1925'!I522</f>
        <v>1337730</v>
      </c>
      <c r="C86" s="1">
        <f>'fs sources from 1925'!K522</f>
        <v>95998</v>
      </c>
      <c r="D86" s="1">
        <f t="shared" si="6"/>
        <v>1433728</v>
      </c>
      <c r="E86" s="3">
        <f t="shared" si="7"/>
        <v>13.934977812037751</v>
      </c>
      <c r="F86" s="1">
        <f>'fs sources from 1925'!I36</f>
        <v>1392278</v>
      </c>
      <c r="G86" s="1">
        <f>'fs sources from 1925'!K36</f>
        <v>104822</v>
      </c>
      <c r="H86" s="1">
        <f t="shared" si="2"/>
        <v>1497100</v>
      </c>
      <c r="I86" s="3">
        <f t="shared" si="3"/>
        <v>13.282307149262559</v>
      </c>
    </row>
    <row r="87" spans="1:9" x14ac:dyDescent="0.2">
      <c r="A87" t="s">
        <v>383</v>
      </c>
      <c r="B87" s="1">
        <f>'fs sources from 1925'!I523</f>
        <v>1364178</v>
      </c>
      <c r="C87" s="1">
        <f>'fs sources from 1925'!K523</f>
        <v>98688</v>
      </c>
      <c r="D87" s="1">
        <f t="shared" si="6"/>
        <v>1462866</v>
      </c>
      <c r="E87" s="3">
        <f t="shared" si="7"/>
        <v>13.82313959143969</v>
      </c>
      <c r="F87" s="1">
        <f>'fs sources from 1925'!I37</f>
        <v>1418392</v>
      </c>
      <c r="G87" s="1">
        <f>'fs sources from 1925'!K37</f>
        <v>107518</v>
      </c>
      <c r="H87" s="1">
        <f t="shared" si="2"/>
        <v>1525910</v>
      </c>
      <c r="I87" s="3">
        <f t="shared" si="3"/>
        <v>13.192135270373333</v>
      </c>
    </row>
    <row r="88" spans="1:9" x14ac:dyDescent="0.2">
      <c r="A88" t="s">
        <v>384</v>
      </c>
      <c r="B88" s="1">
        <f>'fs sources from 1925'!I524</f>
        <v>1401261</v>
      </c>
      <c r="C88" s="1">
        <f>'fs sources from 1925'!K524</f>
        <v>103337</v>
      </c>
      <c r="D88" s="1">
        <f t="shared" si="6"/>
        <v>1504598</v>
      </c>
      <c r="E88" s="3">
        <f t="shared" si="7"/>
        <v>13.560109157416996</v>
      </c>
      <c r="F88" s="1">
        <f>'fs sources from 1925'!I38</f>
        <v>1456366</v>
      </c>
      <c r="G88" s="1">
        <f>'fs sources from 1925'!K38</f>
        <v>112308</v>
      </c>
      <c r="H88" s="1">
        <f t="shared" si="2"/>
        <v>1568674</v>
      </c>
      <c r="I88" s="3">
        <f t="shared" si="3"/>
        <v>12.967606938063183</v>
      </c>
    </row>
    <row r="89" spans="1:9" x14ac:dyDescent="0.2">
      <c r="A89" t="s">
        <v>385</v>
      </c>
      <c r="B89" s="1">
        <f>'fs sources from 1925'!I525</f>
        <v>1427088</v>
      </c>
      <c r="C89" s="1">
        <f>'fs sources from 1925'!K525</f>
        <v>105763</v>
      </c>
      <c r="D89" s="1">
        <f t="shared" si="6"/>
        <v>1532851</v>
      </c>
      <c r="E89" s="3">
        <f t="shared" si="7"/>
        <v>13.493263239507201</v>
      </c>
      <c r="F89" s="1">
        <f>'fs sources from 1925'!I39</f>
        <v>1482524</v>
      </c>
      <c r="G89" s="1">
        <f>'fs sources from 1925'!K39</f>
        <v>114311</v>
      </c>
      <c r="H89" s="1">
        <f t="shared" si="2"/>
        <v>1596835</v>
      </c>
      <c r="I89" s="3">
        <f t="shared" si="3"/>
        <v>12.969215561057116</v>
      </c>
    </row>
    <row r="90" spans="1:9" x14ac:dyDescent="0.2">
      <c r="A90" t="s">
        <v>386</v>
      </c>
      <c r="B90" s="1">
        <f>'fs sources from 1925'!I526</f>
        <v>1441384</v>
      </c>
      <c r="C90" s="1">
        <f>'fs sources from 1925'!K526</f>
        <v>106358</v>
      </c>
      <c r="D90" s="1">
        <f t="shared" si="6"/>
        <v>1547742</v>
      </c>
      <c r="E90" s="3">
        <f t="shared" si="7"/>
        <v>13.552191654600501</v>
      </c>
      <c r="F90" s="1">
        <f>'fs sources from 1925'!I40</f>
        <v>1493670</v>
      </c>
      <c r="G90" s="1">
        <f>'fs sources from 1925'!K40</f>
        <v>114612</v>
      </c>
      <c r="H90" s="1">
        <f t="shared" si="2"/>
        <v>1608282</v>
      </c>
      <c r="I90" s="3">
        <f t="shared" si="3"/>
        <v>13.032404983771332</v>
      </c>
    </row>
    <row r="91" spans="1:9" x14ac:dyDescent="0.2">
      <c r="A91" t="s">
        <v>387</v>
      </c>
      <c r="B91" s="1">
        <f>'fs sources from 1925'!I527</f>
        <v>1448239</v>
      </c>
      <c r="C91" s="1">
        <f>'fs sources from 1925'!K527</f>
        <v>105335</v>
      </c>
      <c r="D91" s="1">
        <f t="shared" si="6"/>
        <v>1553574</v>
      </c>
      <c r="E91" s="3">
        <f t="shared" si="7"/>
        <v>13.748886884701191</v>
      </c>
      <c r="F91" s="1">
        <f>'fs sources from 1925'!I41</f>
        <v>1502002</v>
      </c>
      <c r="G91" s="1">
        <f>'fs sources from 1925'!K41</f>
        <v>113485</v>
      </c>
      <c r="H91" s="1">
        <f t="shared" si="2"/>
        <v>1615487</v>
      </c>
      <c r="I91" s="3">
        <f t="shared" si="3"/>
        <v>13.235246948935982</v>
      </c>
    </row>
    <row r="92" spans="1:9" x14ac:dyDescent="0.2">
      <c r="A92" t="s">
        <v>388</v>
      </c>
      <c r="B92" s="1">
        <f>'fs sources from 1925'!I528</f>
        <v>1447766</v>
      </c>
      <c r="C92" s="1">
        <f>'fs sources from 1925'!K528</f>
        <v>104903</v>
      </c>
      <c r="D92" s="1">
        <f t="shared" si="6"/>
        <v>1552669</v>
      </c>
      <c r="E92" s="3">
        <f t="shared" si="7"/>
        <v>13.800997111617399</v>
      </c>
      <c r="F92" s="1">
        <f>'fs sources from 1925'!I42</f>
        <v>1500936</v>
      </c>
      <c r="G92" s="1">
        <f>'fs sources from 1925'!K42</f>
        <v>112867</v>
      </c>
      <c r="H92" s="1">
        <f t="shared" si="2"/>
        <v>1613803</v>
      </c>
      <c r="I92" s="3">
        <f t="shared" si="3"/>
        <v>13.298271416800304</v>
      </c>
    </row>
    <row r="93" spans="1:9" x14ac:dyDescent="0.2">
      <c r="A93" t="s">
        <v>1177</v>
      </c>
      <c r="B93" s="1">
        <f>'fs sources from 1925'!I529</f>
        <v>1433741</v>
      </c>
      <c r="C93" s="1">
        <f>'fs sources from 1925'!K529</f>
        <v>103674</v>
      </c>
      <c r="D93" s="1">
        <f t="shared" si="6"/>
        <v>1537415</v>
      </c>
      <c r="E93" s="3">
        <f t="shared" si="7"/>
        <v>13.829320755444952</v>
      </c>
      <c r="F93" s="1">
        <f>'fs sources from 1925'!I43</f>
        <v>1487393</v>
      </c>
      <c r="G93" s="1">
        <f>'fs sources from 1925'!K43</f>
        <v>111387</v>
      </c>
      <c r="H93" s="1">
        <f>F93+G93</f>
        <v>1598780</v>
      </c>
      <c r="I93" s="3">
        <f>F93/G93</f>
        <v>13.353380556079255</v>
      </c>
    </row>
    <row r="94" spans="1:9" x14ac:dyDescent="0.2">
      <c r="A94" t="s">
        <v>1178</v>
      </c>
      <c r="B94" s="1"/>
      <c r="C94" s="1"/>
      <c r="F94" s="1"/>
      <c r="G94" s="1"/>
      <c r="H94" s="1"/>
      <c r="I94" s="3"/>
    </row>
    <row r="95" spans="1:9" x14ac:dyDescent="0.2">
      <c r="B95" s="1"/>
      <c r="C95" s="1"/>
      <c r="F95" s="1"/>
      <c r="G95" s="1"/>
      <c r="H95" s="1"/>
      <c r="I95" s="3"/>
    </row>
    <row r="99" spans="1:2" x14ac:dyDescent="0.2">
      <c r="A99" t="s">
        <v>876</v>
      </c>
    </row>
    <row r="100" spans="1:2" x14ac:dyDescent="0.2">
      <c r="A100" s="3">
        <f>MEDIAN(E56:E92)</f>
        <v>17.026802429112827</v>
      </c>
      <c r="B100" t="s">
        <v>1109</v>
      </c>
    </row>
    <row r="101" spans="1:2" x14ac:dyDescent="0.2">
      <c r="A101" s="3">
        <f>MEDIAN(I56:I92)</f>
        <v>16.319904167454762</v>
      </c>
      <c r="B101" t="s">
        <v>1072</v>
      </c>
    </row>
  </sheetData>
  <mergeCells count="4">
    <mergeCell ref="F5:I5"/>
    <mergeCell ref="B5:E5"/>
    <mergeCell ref="A1:D1"/>
    <mergeCell ref="A2:F2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I4" sqref="I4"/>
    </sheetView>
  </sheetViews>
  <sheetFormatPr defaultRowHeight="12.75" x14ac:dyDescent="0.2"/>
  <cols>
    <col min="5" max="5" width="9.5703125" bestFit="1" customWidth="1"/>
    <col min="6" max="6" width="11.5703125" customWidth="1"/>
    <col min="7" max="7" width="12.85546875" customWidth="1"/>
    <col min="8" max="8" width="2.7109375" customWidth="1"/>
    <col min="9" max="9" width="88.5703125" customWidth="1"/>
  </cols>
  <sheetData>
    <row r="1" spans="1:9" x14ac:dyDescent="0.2">
      <c r="A1" s="30" t="s">
        <v>857</v>
      </c>
      <c r="B1" s="30"/>
      <c r="C1" s="30"/>
      <c r="D1" s="30"/>
      <c r="E1" s="30"/>
      <c r="I1" t="s">
        <v>1332</v>
      </c>
    </row>
    <row r="2" spans="1:9" x14ac:dyDescent="0.2">
      <c r="I2" t="s">
        <v>1333</v>
      </c>
    </row>
    <row r="3" spans="1:9" x14ac:dyDescent="0.2">
      <c r="B3" t="s">
        <v>1200</v>
      </c>
      <c r="G3" s="3" t="s">
        <v>1198</v>
      </c>
      <c r="I3" t="s">
        <v>1334</v>
      </c>
    </row>
    <row r="4" spans="1:9" x14ac:dyDescent="0.2">
      <c r="B4" t="s">
        <v>1199</v>
      </c>
      <c r="F4" s="18" t="s">
        <v>1176</v>
      </c>
      <c r="G4" s="18" t="s">
        <v>1176</v>
      </c>
    </row>
    <row r="5" spans="1:9" ht="25.5" x14ac:dyDescent="0.2">
      <c r="A5" t="s">
        <v>35</v>
      </c>
      <c r="B5" s="25" t="s">
        <v>915</v>
      </c>
      <c r="C5" s="25" t="s">
        <v>916</v>
      </c>
      <c r="D5" s="25" t="s">
        <v>920</v>
      </c>
      <c r="E5" s="26" t="s">
        <v>38</v>
      </c>
      <c r="F5" s="26" t="s">
        <v>1174</v>
      </c>
      <c r="G5" s="26" t="s">
        <v>1174</v>
      </c>
      <c r="I5" s="1" t="s">
        <v>46</v>
      </c>
    </row>
    <row r="6" spans="1:9" x14ac:dyDescent="0.2">
      <c r="A6">
        <v>1983</v>
      </c>
      <c r="B6" s="1">
        <f>'jail sources from 1980'!E106</f>
        <v>206163</v>
      </c>
      <c r="C6" s="1">
        <f>'jail sources from 1980'!F106</f>
        <v>15652</v>
      </c>
      <c r="D6" s="1">
        <f>B6+C6</f>
        <v>221815</v>
      </c>
      <c r="E6" s="3">
        <f>B6/C6</f>
        <v>13.17167135190391</v>
      </c>
      <c r="F6" s="1">
        <f>'jail sources from 1980'!C106</f>
        <v>223551</v>
      </c>
      <c r="G6" s="1"/>
    </row>
    <row r="7" spans="1:9" x14ac:dyDescent="0.2">
      <c r="A7">
        <v>1984</v>
      </c>
      <c r="B7" s="1">
        <f>'jail sources from 1980'!E107</f>
        <v>216275</v>
      </c>
      <c r="C7" s="1">
        <f>'jail sources from 1980'!F107</f>
        <v>16743</v>
      </c>
      <c r="D7" s="1">
        <f t="shared" ref="D7:D35" si="0">B7+C7</f>
        <v>233018</v>
      </c>
      <c r="E7" s="3">
        <f t="shared" ref="E7:E35" si="1">B7/C7</f>
        <v>12.917338589261183</v>
      </c>
      <c r="F7" s="1">
        <f>'jail sources from 1980'!C107</f>
        <v>234500</v>
      </c>
      <c r="G7" s="1"/>
      <c r="I7" t="s">
        <v>1175</v>
      </c>
    </row>
    <row r="8" spans="1:9" x14ac:dyDescent="0.2">
      <c r="A8">
        <v>1985</v>
      </c>
      <c r="B8" s="1">
        <f>'jail sources from 1980'!E108</f>
        <v>235909</v>
      </c>
      <c r="C8" s="1">
        <f>'jail sources from 1980'!F108</f>
        <v>19077</v>
      </c>
      <c r="D8" s="1">
        <f t="shared" si="0"/>
        <v>254986</v>
      </c>
      <c r="E8" s="3">
        <f t="shared" si="1"/>
        <v>12.366147717146301</v>
      </c>
      <c r="F8" s="1">
        <f>'jail sources from 1980'!C108</f>
        <v>256615</v>
      </c>
      <c r="G8" s="1"/>
    </row>
    <row r="9" spans="1:9" x14ac:dyDescent="0.2">
      <c r="A9">
        <v>1986</v>
      </c>
      <c r="B9" s="1">
        <f>'jail sources from 1980'!E109</f>
        <v>251235</v>
      </c>
      <c r="C9" s="1">
        <f>'jail sources from 1980'!F109</f>
        <v>21501</v>
      </c>
      <c r="D9" s="1">
        <f t="shared" si="0"/>
        <v>272736</v>
      </c>
      <c r="E9" s="3">
        <f t="shared" si="1"/>
        <v>11.684805357890331</v>
      </c>
      <c r="F9" s="1">
        <f>'jail sources from 1980'!C109</f>
        <v>274444</v>
      </c>
      <c r="G9" s="1"/>
    </row>
    <row r="10" spans="1:9" x14ac:dyDescent="0.2">
      <c r="A10">
        <v>1987</v>
      </c>
      <c r="B10" s="1">
        <f>'jail sources from 1980'!E110</f>
        <v>270172</v>
      </c>
      <c r="C10" s="1">
        <f>'jail sources from 1980'!F110</f>
        <v>23920</v>
      </c>
      <c r="D10" s="1">
        <f t="shared" si="0"/>
        <v>294092</v>
      </c>
      <c r="E10" s="3">
        <f t="shared" si="1"/>
        <v>11.294816053511706</v>
      </c>
      <c r="F10" s="1">
        <f>'jail sources from 1980'!C110</f>
        <v>295873</v>
      </c>
      <c r="G10" s="1"/>
      <c r="I10" t="s">
        <v>389</v>
      </c>
    </row>
    <row r="11" spans="1:9" x14ac:dyDescent="0.2">
      <c r="A11">
        <v>1988</v>
      </c>
      <c r="B11" s="1">
        <f>'jail sources from 1980'!E111</f>
        <v>311594</v>
      </c>
      <c r="C11" s="1">
        <f>'jail sources from 1980'!F111</f>
        <v>30299</v>
      </c>
      <c r="D11" s="1">
        <f t="shared" si="0"/>
        <v>341893</v>
      </c>
      <c r="E11" s="3">
        <f t="shared" si="1"/>
        <v>10.283969767979141</v>
      </c>
      <c r="F11" s="1">
        <f>'jail sources from 1980'!C111</f>
        <v>343569</v>
      </c>
      <c r="G11" s="1"/>
      <c r="I11" t="s">
        <v>583</v>
      </c>
    </row>
    <row r="12" spans="1:9" x14ac:dyDescent="0.2">
      <c r="A12">
        <v>1989</v>
      </c>
      <c r="B12" s="1">
        <f>'jail sources from 1980'!E112</f>
        <v>356050</v>
      </c>
      <c r="C12" s="1">
        <f>'jail sources from 1980'!F112</f>
        <v>37253</v>
      </c>
      <c r="D12" s="1">
        <f t="shared" si="0"/>
        <v>393303</v>
      </c>
      <c r="E12" s="3">
        <f t="shared" si="1"/>
        <v>9.5576195205755248</v>
      </c>
      <c r="F12" s="1">
        <f>'jail sources from 1980'!C112</f>
        <v>395553</v>
      </c>
      <c r="G12" s="1"/>
      <c r="I12" s="17" t="s">
        <v>582</v>
      </c>
    </row>
    <row r="13" spans="1:9" x14ac:dyDescent="0.2">
      <c r="A13">
        <v>1990</v>
      </c>
      <c r="B13" s="1">
        <f>'jail sources from 1980'!E113</f>
        <v>365821</v>
      </c>
      <c r="C13" s="1">
        <f>'jail sources from 1980'!F113</f>
        <v>37198</v>
      </c>
      <c r="D13" s="1">
        <f t="shared" si="0"/>
        <v>403019</v>
      </c>
      <c r="E13" s="3">
        <f t="shared" si="1"/>
        <v>9.8344265820743058</v>
      </c>
      <c r="F13" s="1">
        <f>'jail sources from 1980'!C113</f>
        <v>405320</v>
      </c>
      <c r="G13" s="1"/>
    </row>
    <row r="14" spans="1:9" x14ac:dyDescent="0.2">
      <c r="A14">
        <v>1991</v>
      </c>
      <c r="B14" s="1">
        <f>'jail sources from 1980'!E114</f>
        <v>384628</v>
      </c>
      <c r="C14" s="1">
        <f>'jail sources from 1980'!F114</f>
        <v>39501</v>
      </c>
      <c r="D14" s="1">
        <f t="shared" si="0"/>
        <v>424129</v>
      </c>
      <c r="E14" s="3">
        <f t="shared" si="1"/>
        <v>9.737171210855422</v>
      </c>
      <c r="F14" s="1">
        <f>'jail sources from 1980'!C114</f>
        <v>426479</v>
      </c>
      <c r="G14" s="1"/>
      <c r="I14" t="s">
        <v>858</v>
      </c>
    </row>
    <row r="15" spans="1:9" x14ac:dyDescent="0.2">
      <c r="A15">
        <v>1992</v>
      </c>
      <c r="B15" s="1">
        <f>'jail sources from 1980'!E115</f>
        <v>401106</v>
      </c>
      <c r="C15" s="1">
        <f>'jail sources from 1980'!F115</f>
        <v>40674</v>
      </c>
      <c r="D15" s="1">
        <f t="shared" si="0"/>
        <v>441780</v>
      </c>
      <c r="E15" s="3">
        <f t="shared" si="1"/>
        <v>9.8614839946894826</v>
      </c>
      <c r="F15" s="1">
        <f>'jail sources from 1980'!C115</f>
        <v>444584</v>
      </c>
      <c r="G15" s="1"/>
    </row>
    <row r="16" spans="1:9" x14ac:dyDescent="0.2">
      <c r="A16">
        <v>1993</v>
      </c>
      <c r="B16" s="1">
        <f>'jail sources from 1980'!E116</f>
        <v>411500</v>
      </c>
      <c r="C16" s="1">
        <f>'jail sources from 1980'!F116</f>
        <v>44100</v>
      </c>
      <c r="D16" s="1">
        <f t="shared" si="0"/>
        <v>455600</v>
      </c>
      <c r="E16" s="3">
        <f t="shared" si="1"/>
        <v>9.3310657596371875</v>
      </c>
      <c r="F16" s="1">
        <f>'jail sources from 1980'!C116</f>
        <v>459804</v>
      </c>
      <c r="G16" s="1"/>
      <c r="I16" t="s">
        <v>1173</v>
      </c>
    </row>
    <row r="17" spans="1:7" x14ac:dyDescent="0.2">
      <c r="A17">
        <v>1994</v>
      </c>
      <c r="B17" s="1">
        <f>'jail sources from 1980'!E117</f>
        <v>431300</v>
      </c>
      <c r="C17" s="1">
        <f>'jail sources from 1980'!F117</f>
        <v>48500</v>
      </c>
      <c r="D17" s="1">
        <f t="shared" si="0"/>
        <v>479800</v>
      </c>
      <c r="E17" s="3">
        <f t="shared" si="1"/>
        <v>8.8927835051546396</v>
      </c>
      <c r="F17" s="1">
        <f>'jail sources from 1980'!C117</f>
        <v>486474</v>
      </c>
      <c r="G17" s="1"/>
    </row>
    <row r="18" spans="1:7" x14ac:dyDescent="0.2">
      <c r="A18">
        <v>1995</v>
      </c>
      <c r="B18" s="1">
        <f>'jail sources from 1980'!E118</f>
        <v>448000</v>
      </c>
      <c r="C18" s="1">
        <f>'jail sources from 1980'!F118</f>
        <v>51300</v>
      </c>
      <c r="D18" s="1">
        <f t="shared" si="0"/>
        <v>499300</v>
      </c>
      <c r="E18" s="3">
        <f t="shared" si="1"/>
        <v>8.7329434697855746</v>
      </c>
      <c r="F18" s="1">
        <f>'jail sources from 1980'!C118</f>
        <v>507044</v>
      </c>
      <c r="G18" s="1"/>
    </row>
    <row r="19" spans="1:7" x14ac:dyDescent="0.2">
      <c r="A19">
        <v>1996</v>
      </c>
      <c r="B19" s="1">
        <f>'jail sources from 1980'!E119</f>
        <v>454700</v>
      </c>
      <c r="C19" s="1">
        <f>'jail sources from 1980'!F119</f>
        <v>55700</v>
      </c>
      <c r="D19" s="1">
        <f t="shared" si="0"/>
        <v>510400</v>
      </c>
      <c r="E19" s="3">
        <f t="shared" si="1"/>
        <v>8.1633752244165176</v>
      </c>
      <c r="F19" s="1">
        <f>'jail sources from 1980'!C119</f>
        <v>518492</v>
      </c>
      <c r="G19" s="1"/>
    </row>
    <row r="20" spans="1:7" x14ac:dyDescent="0.2">
      <c r="A20">
        <v>1997</v>
      </c>
      <c r="B20" s="1">
        <f>'jail sources from 1980'!E120</f>
        <v>498678</v>
      </c>
      <c r="C20" s="1">
        <f>'jail sources from 1980'!F120</f>
        <v>59296</v>
      </c>
      <c r="D20" s="1">
        <f t="shared" si="0"/>
        <v>557974</v>
      </c>
      <c r="E20" s="3">
        <f t="shared" si="1"/>
        <v>8.4099770642201843</v>
      </c>
      <c r="F20" s="1">
        <f>'jail sources from 1980'!C120</f>
        <v>567079</v>
      </c>
      <c r="G20" s="1"/>
    </row>
    <row r="21" spans="1:7" x14ac:dyDescent="0.2">
      <c r="A21">
        <v>1998</v>
      </c>
      <c r="B21" s="1">
        <f>'jail sources from 1980'!E121</f>
        <v>520581</v>
      </c>
      <c r="C21" s="1">
        <f>'jail sources from 1980'!F121</f>
        <v>63791</v>
      </c>
      <c r="D21" s="1">
        <f t="shared" si="0"/>
        <v>584372</v>
      </c>
      <c r="E21" s="3">
        <f t="shared" si="1"/>
        <v>8.1607280023827808</v>
      </c>
      <c r="F21" s="1">
        <f>'jail sources from 1980'!C121</f>
        <v>592462</v>
      </c>
      <c r="G21" s="1"/>
    </row>
    <row r="22" spans="1:7" x14ac:dyDescent="0.2">
      <c r="A22">
        <v>1999</v>
      </c>
      <c r="B22" s="1">
        <f>'jail sources from 1980'!E122</f>
        <v>528998</v>
      </c>
      <c r="C22" s="1">
        <f>'jail sources from 1980'!F122</f>
        <v>67487</v>
      </c>
      <c r="D22" s="1">
        <f t="shared" si="0"/>
        <v>596485</v>
      </c>
      <c r="E22" s="3">
        <f t="shared" si="1"/>
        <v>7.8385170477277102</v>
      </c>
      <c r="F22" s="1">
        <f>'jail sources from 1980'!C122</f>
        <v>605943</v>
      </c>
      <c r="G22" s="1"/>
    </row>
    <row r="23" spans="1:7" x14ac:dyDescent="0.2">
      <c r="A23">
        <v>2000</v>
      </c>
      <c r="B23" s="1">
        <f>'jail sources from 1980'!E123</f>
        <v>543120</v>
      </c>
      <c r="C23" s="1">
        <f>'jail sources from 1980'!F123</f>
        <v>70414</v>
      </c>
      <c r="D23" s="1">
        <f t="shared" si="0"/>
        <v>613534</v>
      </c>
      <c r="E23" s="3">
        <f t="shared" si="1"/>
        <v>7.7132388445479592</v>
      </c>
      <c r="F23" s="1">
        <f>'jail sources from 1980'!C123</f>
        <v>621149</v>
      </c>
      <c r="G23" s="1">
        <v>618319</v>
      </c>
    </row>
    <row r="24" spans="1:7" x14ac:dyDescent="0.2">
      <c r="A24">
        <v>2001</v>
      </c>
      <c r="B24" s="1">
        <f>'jail sources from 1980'!E124</f>
        <v>551007</v>
      </c>
      <c r="C24" s="1">
        <f>'jail sources from 1980'!F124</f>
        <v>72621</v>
      </c>
      <c r="D24" s="1">
        <f t="shared" si="0"/>
        <v>623628</v>
      </c>
      <c r="E24" s="3">
        <f t="shared" si="1"/>
        <v>7.5874333870368078</v>
      </c>
      <c r="F24" s="1">
        <f>'jail sources from 1980'!C124</f>
        <v>631240</v>
      </c>
      <c r="G24" s="1"/>
    </row>
    <row r="25" spans="1:7" x14ac:dyDescent="0.2">
      <c r="A25">
        <v>2002</v>
      </c>
      <c r="B25" s="1">
        <f>'jail sources from 1980'!E125</f>
        <v>581411</v>
      </c>
      <c r="C25" s="1">
        <f>'jail sources from 1980'!F125</f>
        <v>76817</v>
      </c>
      <c r="D25" s="1">
        <f t="shared" si="0"/>
        <v>658228</v>
      </c>
      <c r="E25" s="3">
        <f t="shared" si="1"/>
        <v>7.56878034810003</v>
      </c>
      <c r="F25" s="1">
        <f>'jail sources from 1980'!C125</f>
        <v>665475</v>
      </c>
      <c r="G25" s="1"/>
    </row>
    <row r="26" spans="1:7" x14ac:dyDescent="0.2">
      <c r="A26">
        <v>2003</v>
      </c>
      <c r="B26" s="1">
        <f>'jail sources from 1980'!E126</f>
        <v>602781</v>
      </c>
      <c r="C26" s="1">
        <f>'jail sources from 1980'!F126</f>
        <v>81650</v>
      </c>
      <c r="D26" s="1">
        <f t="shared" si="0"/>
        <v>684431</v>
      </c>
      <c r="E26" s="3">
        <f t="shared" si="1"/>
        <v>7.3824984690753217</v>
      </c>
      <c r="F26" s="1">
        <f>'jail sources from 1980'!C126</f>
        <v>691301</v>
      </c>
      <c r="G26" s="1"/>
    </row>
    <row r="27" spans="1:7" x14ac:dyDescent="0.2">
      <c r="A27">
        <v>2004</v>
      </c>
      <c r="B27" s="1">
        <f>'jail sources from 1980'!E127</f>
        <v>619908</v>
      </c>
      <c r="C27" s="1">
        <f>'jail sources from 1980'!F127</f>
        <v>86999</v>
      </c>
      <c r="D27" s="1">
        <f t="shared" si="0"/>
        <v>706907</v>
      </c>
      <c r="E27" s="3">
        <f t="shared" si="1"/>
        <v>7.1254612121978411</v>
      </c>
      <c r="F27" s="1">
        <f>'jail sources from 1980'!C127</f>
        <v>713990</v>
      </c>
      <c r="G27" s="1"/>
    </row>
    <row r="28" spans="1:7" x14ac:dyDescent="0.2">
      <c r="A28">
        <v>2005</v>
      </c>
      <c r="B28" s="1">
        <f>'jail sources from 1980'!E128</f>
        <v>646807</v>
      </c>
      <c r="C28" s="1">
        <f>'jail sources from 1980'!F128</f>
        <v>93963</v>
      </c>
      <c r="D28" s="1">
        <f t="shared" si="0"/>
        <v>740770</v>
      </c>
      <c r="E28" s="3">
        <f t="shared" si="1"/>
        <v>6.8836350478379789</v>
      </c>
      <c r="F28" s="1">
        <f>'jail sources from 1980'!C128</f>
        <v>747529</v>
      </c>
      <c r="G28" s="1">
        <v>733442</v>
      </c>
    </row>
    <row r="29" spans="1:7" x14ac:dyDescent="0.2">
      <c r="A29">
        <v>2006</v>
      </c>
      <c r="B29" s="1">
        <f>'jail sources from 1980'!E129</f>
        <v>661164</v>
      </c>
      <c r="C29" s="1">
        <f>'jail sources from 1980'!F129</f>
        <v>98552</v>
      </c>
      <c r="D29" s="1">
        <f t="shared" si="0"/>
        <v>759716</v>
      </c>
      <c r="E29" s="3">
        <f t="shared" si="1"/>
        <v>6.7087831804529587</v>
      </c>
      <c r="F29" s="1">
        <f>'jail sources from 1980'!C129</f>
        <v>765819</v>
      </c>
      <c r="G29" s="1">
        <v>755896</v>
      </c>
    </row>
    <row r="30" spans="1:7" x14ac:dyDescent="0.2">
      <c r="A30">
        <v>2007</v>
      </c>
      <c r="B30" s="1">
        <f>'jail sources from 1980'!E130</f>
        <v>673346</v>
      </c>
      <c r="C30" s="1">
        <f>'jail sources from 1980'!F130</f>
        <v>99995</v>
      </c>
      <c r="D30" s="1">
        <f t="shared" si="0"/>
        <v>773341</v>
      </c>
      <c r="E30" s="3">
        <f t="shared" si="1"/>
        <v>6.7337966898344916</v>
      </c>
      <c r="F30" s="1">
        <f>'jail sources from 1980'!C130</f>
        <v>780174</v>
      </c>
      <c r="G30" s="1">
        <v>773138</v>
      </c>
    </row>
    <row r="31" spans="1:7" x14ac:dyDescent="0.2">
      <c r="A31">
        <v>2008</v>
      </c>
      <c r="B31" s="1">
        <f>'jail sources from 1980'!E131</f>
        <v>678660</v>
      </c>
      <c r="C31" s="1">
        <f>'jail sources from 1980'!F131</f>
        <v>99172</v>
      </c>
      <c r="D31" s="1">
        <f t="shared" si="0"/>
        <v>777832</v>
      </c>
      <c r="E31" s="3">
        <f t="shared" si="1"/>
        <v>6.8432622111079739</v>
      </c>
      <c r="F31" s="1">
        <f>'jail sources from 1980'!C131</f>
        <v>785556</v>
      </c>
      <c r="G31" s="1">
        <v>776573</v>
      </c>
    </row>
    <row r="32" spans="1:7" x14ac:dyDescent="0.2">
      <c r="A32">
        <v>2009</v>
      </c>
      <c r="B32" s="1">
        <f>'jail sources from 1980'!E132</f>
        <v>667039</v>
      </c>
      <c r="C32" s="1">
        <f>'jail sources from 1980'!F132</f>
        <v>93176</v>
      </c>
      <c r="D32" s="1">
        <f t="shared" si="0"/>
        <v>760215</v>
      </c>
      <c r="E32" s="3">
        <f t="shared" si="1"/>
        <v>7.1589143126985491</v>
      </c>
      <c r="F32" s="1">
        <f>'jail sources from 1980'!C132</f>
        <v>767434</v>
      </c>
      <c r="G32" s="1">
        <v>768135</v>
      </c>
    </row>
    <row r="33" spans="1:7" x14ac:dyDescent="0.2">
      <c r="A33">
        <v>2010</v>
      </c>
      <c r="B33" s="1">
        <f>'jail sources from 1980'!E133</f>
        <v>649284</v>
      </c>
      <c r="C33" s="1">
        <f>'jail sources from 1980'!F133</f>
        <v>91884</v>
      </c>
      <c r="D33" s="1">
        <f t="shared" si="0"/>
        <v>741168</v>
      </c>
      <c r="E33" s="3">
        <f t="shared" si="1"/>
        <v>7.0663445213530105</v>
      </c>
      <c r="F33" s="1">
        <f>'jail sources from 1980'!C133</f>
        <v>748728</v>
      </c>
      <c r="G33" s="1">
        <v>748553</v>
      </c>
    </row>
    <row r="34" spans="1:7" x14ac:dyDescent="0.2">
      <c r="A34">
        <v>2011</v>
      </c>
      <c r="B34" s="1">
        <f>'jail sources from 1980'!J335</f>
        <v>642300</v>
      </c>
      <c r="C34" s="1">
        <f>'jail sources from 1980'!J336</f>
        <v>93300</v>
      </c>
      <c r="D34" s="1">
        <f t="shared" si="0"/>
        <v>735600</v>
      </c>
      <c r="E34" s="3">
        <f t="shared" si="1"/>
        <v>6.884244372990354</v>
      </c>
      <c r="F34" s="1">
        <f>'jail sources from 1980'!J333</f>
        <v>735601</v>
      </c>
      <c r="G34" s="1">
        <v>735565</v>
      </c>
    </row>
    <row r="35" spans="1:7" x14ac:dyDescent="0.2">
      <c r="A35">
        <v>2012</v>
      </c>
      <c r="B35" s="1">
        <f>'jail sources from 1980'!K335</f>
        <v>645900</v>
      </c>
      <c r="C35" s="1">
        <f>'jail sources from 1980'!K336</f>
        <v>98600</v>
      </c>
      <c r="D35" s="1">
        <f t="shared" si="0"/>
        <v>744500</v>
      </c>
      <c r="E35" s="3">
        <f t="shared" si="1"/>
        <v>6.5507099391480734</v>
      </c>
      <c r="F35" s="1">
        <f>'jail sources from 1980'!K333</f>
        <v>744524</v>
      </c>
      <c r="G35" s="1">
        <v>735983</v>
      </c>
    </row>
  </sheetData>
  <mergeCells count="1">
    <mergeCell ref="A1:E1"/>
  </mergeCells>
  <phoneticPr fontId="3" type="noConversion"/>
  <hyperlinks>
    <hyperlink ref="I1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sqref="A1:E1"/>
    </sheetView>
  </sheetViews>
  <sheetFormatPr defaultRowHeight="12.75" x14ac:dyDescent="0.2"/>
  <cols>
    <col min="2" max="3" width="11.7109375" customWidth="1"/>
    <col min="4" max="4" width="9.5703125" bestFit="1" customWidth="1"/>
    <col min="6" max="6" width="3.28515625" customWidth="1"/>
    <col min="7" max="7" width="78.85546875" customWidth="1"/>
  </cols>
  <sheetData>
    <row r="1" spans="1:7" x14ac:dyDescent="0.2">
      <c r="A1" s="30" t="s">
        <v>874</v>
      </c>
      <c r="B1" s="30"/>
      <c r="C1" s="30"/>
      <c r="D1" s="30"/>
      <c r="E1" s="30"/>
      <c r="G1" t="s">
        <v>1332</v>
      </c>
    </row>
    <row r="2" spans="1:7" x14ac:dyDescent="0.2">
      <c r="A2" s="30" t="s">
        <v>869</v>
      </c>
      <c r="B2" s="30"/>
      <c r="C2" s="30"/>
      <c r="D2" s="30"/>
      <c r="E2" s="30"/>
      <c r="G2" t="s">
        <v>1333</v>
      </c>
    </row>
    <row r="3" spans="1:7" x14ac:dyDescent="0.2">
      <c r="G3" t="s">
        <v>1334</v>
      </c>
    </row>
    <row r="4" spans="1:7" x14ac:dyDescent="0.2">
      <c r="C4" t="s">
        <v>515</v>
      </c>
    </row>
    <row r="5" spans="1:7" x14ac:dyDescent="0.2">
      <c r="B5" t="s">
        <v>1072</v>
      </c>
      <c r="C5" t="s">
        <v>516</v>
      </c>
      <c r="D5" t="s">
        <v>514</v>
      </c>
      <c r="E5" t="s">
        <v>38</v>
      </c>
    </row>
    <row r="6" spans="1:7" x14ac:dyDescent="0.2">
      <c r="A6">
        <v>1974</v>
      </c>
      <c r="B6" s="1">
        <f>'fed-state from 1925'!H56</f>
        <v>229982</v>
      </c>
      <c r="C6" s="1">
        <f>'fed-state from 1925'!H56-'fed-state from 1925'!D56</f>
        <v>11516</v>
      </c>
      <c r="D6" s="13">
        <f>C6/B6</f>
        <v>5.0073484011792228E-2</v>
      </c>
      <c r="E6" s="3">
        <f>('fed-state from 1925'!F56-'fed-state from 1925'!B56)/('fed-state from 1925'!G56-'fed-state from 1925'!C56)</f>
        <v>14.014341590612776</v>
      </c>
      <c r="G6" t="s">
        <v>192</v>
      </c>
    </row>
    <row r="7" spans="1:7" x14ac:dyDescent="0.2">
      <c r="A7">
        <v>1975</v>
      </c>
      <c r="B7" s="1">
        <f>'fed-state from 1925'!H57</f>
        <v>251659</v>
      </c>
      <c r="C7" s="1">
        <f>'fed-state from 1925'!H57-'fed-state from 1925'!D57</f>
        <v>11066</v>
      </c>
      <c r="D7" s="13">
        <f t="shared" ref="D7:D42" si="0">C7/B7</f>
        <v>4.3972200477630445E-2</v>
      </c>
      <c r="E7" s="3">
        <f>('fed-state from 1925'!F57-'fed-state from 1925'!B57)/('fed-state from 1925'!G57-'fed-state from 1925'!C57)</f>
        <v>12.544675642594859</v>
      </c>
      <c r="G7" t="s">
        <v>513</v>
      </c>
    </row>
    <row r="8" spans="1:7" x14ac:dyDescent="0.2">
      <c r="A8">
        <v>1976</v>
      </c>
      <c r="B8" s="1">
        <f>'fed-state from 1925'!H58</f>
        <v>278000</v>
      </c>
      <c r="C8" s="1">
        <f>'fed-state from 1925'!H58-'fed-state from 1925'!D58</f>
        <v>15167</v>
      </c>
      <c r="D8" s="13">
        <f t="shared" si="0"/>
        <v>5.455755395683453E-2</v>
      </c>
      <c r="E8" s="3">
        <f>('fed-state from 1925'!F58-'fed-state from 1925'!B58)/('fed-state from 1925'!G58-'fed-state from 1925'!C58)</f>
        <v>12.410256410256411</v>
      </c>
      <c r="G8" t="s">
        <v>453</v>
      </c>
    </row>
    <row r="9" spans="1:7" x14ac:dyDescent="0.2">
      <c r="A9">
        <v>1977</v>
      </c>
      <c r="B9" s="1">
        <f>'fed-state from 1925'!H59</f>
        <v>291667</v>
      </c>
      <c r="C9" s="1">
        <f>'fed-state from 1925'!H59-'fed-state from 1925'!D59</f>
        <v>13526</v>
      </c>
      <c r="D9" s="13">
        <f t="shared" si="0"/>
        <v>4.6374804143080976E-2</v>
      </c>
      <c r="E9" s="3">
        <f>('fed-state from 1925'!F59-'fed-state from 1925'!B59)/('fed-state from 1925'!G59-'fed-state from 1925'!C59)</f>
        <v>12.566700100300903</v>
      </c>
      <c r="G9" t="s">
        <v>452</v>
      </c>
    </row>
    <row r="10" spans="1:7" x14ac:dyDescent="0.2">
      <c r="A10">
        <v>1978</v>
      </c>
      <c r="B10" s="1">
        <f>'fed-state from 1925'!H60</f>
        <v>307276</v>
      </c>
      <c r="C10" s="1">
        <f>'fed-state from 1925'!H60-'fed-state from 1925'!D60</f>
        <v>12880</v>
      </c>
      <c r="D10" s="13">
        <f t="shared" si="0"/>
        <v>4.1916713313112641E-2</v>
      </c>
      <c r="E10" s="3">
        <f>('fed-state from 1925'!F60-'fed-state from 1925'!B60)/('fed-state from 1925'!G60-'fed-state from 1925'!C60)</f>
        <v>10.074806534823733</v>
      </c>
    </row>
    <row r="11" spans="1:7" x14ac:dyDescent="0.2">
      <c r="A11">
        <v>1979</v>
      </c>
      <c r="B11" s="1">
        <f>'fed-state from 1925'!H61</f>
        <v>314457</v>
      </c>
      <c r="C11" s="1">
        <f>'fed-state from 1925'!H61-'fed-state from 1925'!D61</f>
        <v>12987</v>
      </c>
      <c r="D11" s="13">
        <f t="shared" si="0"/>
        <v>4.1299764355698869E-2</v>
      </c>
      <c r="E11" s="3">
        <f>('fed-state from 1925'!F61-'fed-state from 1925'!B61)/('fed-state from 1925'!G61-'fed-state from 1925'!C61)</f>
        <v>12.118181818181819</v>
      </c>
      <c r="G11" t="s">
        <v>875</v>
      </c>
    </row>
    <row r="12" spans="1:7" x14ac:dyDescent="0.2">
      <c r="A12">
        <v>1980</v>
      </c>
      <c r="B12" s="1">
        <f>'fed-state from 1925'!H62</f>
        <v>329821</v>
      </c>
      <c r="C12" s="1">
        <f>'fed-state from 1925'!H62-'fed-state from 1925'!D62</f>
        <v>13847</v>
      </c>
      <c r="D12" s="13">
        <f t="shared" si="0"/>
        <v>4.1983378863080276E-2</v>
      </c>
      <c r="E12" s="3">
        <f>('fed-state from 1925'!F62-'fed-state from 1925'!B62)/('fed-state from 1925'!G62-'fed-state from 1925'!C62)</f>
        <v>11.715335169880625</v>
      </c>
    </row>
    <row r="13" spans="1:7" x14ac:dyDescent="0.2">
      <c r="A13">
        <v>1981</v>
      </c>
      <c r="B13" s="1">
        <f>'fed-state from 1925'!H63</f>
        <v>369930</v>
      </c>
      <c r="C13" s="1">
        <f>'fed-state from 1925'!H63-'fed-state from 1925'!D63</f>
        <v>16257</v>
      </c>
      <c r="D13" s="13">
        <f t="shared" si="0"/>
        <v>4.3946151974697915E-2</v>
      </c>
      <c r="E13" s="3">
        <f>('fed-state from 1925'!F63-'fed-state from 1925'!B63)/('fed-state from 1925'!G63-'fed-state from 1925'!C63)</f>
        <v>12.121065375302663</v>
      </c>
    </row>
    <row r="14" spans="1:7" x14ac:dyDescent="0.2">
      <c r="A14">
        <v>1982</v>
      </c>
      <c r="B14" s="1">
        <f>'fed-state from 1925'!H64</f>
        <v>413806</v>
      </c>
      <c r="C14" s="1">
        <f>'fed-state from 1925'!H64-'fed-state from 1925'!D64</f>
        <v>18290</v>
      </c>
      <c r="D14" s="13">
        <f t="shared" si="0"/>
        <v>4.4199455783628078E-2</v>
      </c>
      <c r="E14" s="3">
        <f>('fed-state from 1925'!F64-'fed-state from 1925'!B64)/('fed-state from 1925'!G64-'fed-state from 1925'!C64)</f>
        <v>12.608630952380953</v>
      </c>
    </row>
    <row r="15" spans="1:7" x14ac:dyDescent="0.2">
      <c r="A15">
        <v>1983</v>
      </c>
      <c r="B15" s="1">
        <f>'fed-state from 1925'!H65</f>
        <v>436855</v>
      </c>
      <c r="C15" s="1">
        <f>'fed-state from 1925'!H65-'fed-state from 1925'!D65</f>
        <v>17509</v>
      </c>
      <c r="D15" s="13">
        <f t="shared" si="0"/>
        <v>4.0079660299183938E-2</v>
      </c>
      <c r="E15" s="3">
        <f>('fed-state from 1925'!F65-'fed-state from 1925'!B65)/('fed-state from 1925'!G65-'fed-state from 1925'!C65)</f>
        <v>10.340025906735752</v>
      </c>
    </row>
    <row r="16" spans="1:7" x14ac:dyDescent="0.2">
      <c r="A16">
        <v>1984</v>
      </c>
      <c r="B16" s="1">
        <f>'fed-state from 1925'!H66</f>
        <v>461857</v>
      </c>
      <c r="C16" s="1">
        <f>'fed-state from 1925'!H66-'fed-state from 1925'!D66</f>
        <v>18459</v>
      </c>
      <c r="D16" s="13">
        <f t="shared" si="0"/>
        <v>3.996691616669229E-2</v>
      </c>
      <c r="E16" s="3">
        <f>('fed-state from 1925'!F66-'fed-state from 1925'!B66)/('fed-state from 1925'!G66-'fed-state from 1925'!C66)</f>
        <v>11.686597938144329</v>
      </c>
    </row>
    <row r="17" spans="1:5" x14ac:dyDescent="0.2">
      <c r="A17">
        <v>1985</v>
      </c>
      <c r="B17" s="1">
        <f>'fed-state from 1925'!H67</f>
        <v>502553</v>
      </c>
      <c r="C17" s="1">
        <f>'fed-state from 1925'!H67-'fed-state from 1925'!D67</f>
        <v>21985</v>
      </c>
      <c r="D17" s="13">
        <f t="shared" si="0"/>
        <v>4.3746629708707338E-2</v>
      </c>
      <c r="E17" s="3">
        <f>('fed-state from 1925'!F67-'fed-state from 1925'!B67)/('fed-state from 1925'!G67-'fed-state from 1925'!C67)</f>
        <v>12.047477744807122</v>
      </c>
    </row>
    <row r="18" spans="1:5" x14ac:dyDescent="0.2">
      <c r="A18">
        <v>1986</v>
      </c>
      <c r="B18" s="1">
        <f>'fed-state from 1925'!H68</f>
        <v>545133</v>
      </c>
      <c r="C18" s="1">
        <f>'fed-state from 1925'!H68-'fed-state from 1925'!D68</f>
        <v>23049</v>
      </c>
      <c r="D18" s="13">
        <f t="shared" si="0"/>
        <v>4.2281424899978534E-2</v>
      </c>
      <c r="E18" s="3">
        <f>('fed-state from 1925'!F68-'fed-state from 1925'!B68)/('fed-state from 1925'!G68-'fed-state from 1925'!C68)</f>
        <v>9.9185220274751309</v>
      </c>
    </row>
    <row r="19" spans="1:5" x14ac:dyDescent="0.2">
      <c r="A19">
        <v>1987</v>
      </c>
      <c r="B19" s="1">
        <f>'fed-state from 1925'!H69</f>
        <v>584435</v>
      </c>
      <c r="C19" s="1">
        <f>'fed-state from 1925'!H69-'fed-state from 1925'!D69</f>
        <v>23623</v>
      </c>
      <c r="D19" s="13">
        <f t="shared" si="0"/>
        <v>4.0420234927750737E-2</v>
      </c>
      <c r="E19" s="3">
        <f>('fed-state from 1925'!F69-'fed-state from 1925'!B69)/('fed-state from 1925'!G69-'fed-state from 1925'!C69)</f>
        <v>9.5365744870651206</v>
      </c>
    </row>
    <row r="20" spans="1:5" x14ac:dyDescent="0.2">
      <c r="A20">
        <v>1988</v>
      </c>
      <c r="B20" s="1">
        <f>'fed-state from 1925'!H70</f>
        <v>627588</v>
      </c>
      <c r="C20" s="1">
        <f>'fed-state from 1925'!H70-'fed-state from 1925'!D70</f>
        <v>23856</v>
      </c>
      <c r="D20" s="13">
        <f t="shared" si="0"/>
        <v>3.8012199086024587E-2</v>
      </c>
      <c r="E20" s="3">
        <f>('fed-state from 1925'!F70-'fed-state from 1925'!B70)/('fed-state from 1925'!G70-'fed-state from 1925'!C70)</f>
        <v>8.7490805067429509</v>
      </c>
    </row>
    <row r="21" spans="1:5" x14ac:dyDescent="0.2">
      <c r="A21">
        <v>1989</v>
      </c>
      <c r="B21" s="1">
        <f>'fed-state from 1925'!H71</f>
        <v>712557</v>
      </c>
      <c r="C21" s="1">
        <f>'fed-state from 1925'!H71-'fed-state from 1925'!D71</f>
        <v>31650</v>
      </c>
      <c r="D21" s="13">
        <f t="shared" si="0"/>
        <v>4.4417499231640414E-2</v>
      </c>
      <c r="E21" s="3">
        <f>('fed-state from 1925'!F71-'fed-state from 1925'!B71)/('fed-state from 1925'!G71-'fed-state from 1925'!C71)</f>
        <v>8.3583678296865767</v>
      </c>
    </row>
    <row r="22" spans="1:5" x14ac:dyDescent="0.2">
      <c r="A22">
        <v>1990</v>
      </c>
      <c r="B22" s="1">
        <f>'fed-state from 1925'!H72</f>
        <v>773905</v>
      </c>
      <c r="C22" s="1">
        <f>'fed-state from 1925'!H72-'fed-state from 1925'!D72</f>
        <v>33925</v>
      </c>
      <c r="D22" s="13">
        <f t="shared" si="0"/>
        <v>4.3836129757528382E-2</v>
      </c>
      <c r="E22" s="3">
        <f>('fed-state from 1925'!F72-'fed-state from 1925'!B72)/('fed-state from 1925'!G72-'fed-state from 1925'!C72)</f>
        <v>8.6900885461296777</v>
      </c>
    </row>
    <row r="23" spans="1:5" x14ac:dyDescent="0.2">
      <c r="A23">
        <v>1991</v>
      </c>
      <c r="B23" s="1">
        <f>'fed-state from 1925'!H73</f>
        <v>824133</v>
      </c>
      <c r="C23" s="1">
        <f>'fed-state from 1925'!H73-'fed-state from 1925'!D73</f>
        <v>34523</v>
      </c>
      <c r="D23" s="13">
        <f t="shared" si="0"/>
        <v>4.1890083275393654E-2</v>
      </c>
      <c r="E23" s="3">
        <f>('fed-state from 1925'!F73-'fed-state from 1925'!B73)/('fed-state from 1925'!G73-'fed-state from 1925'!C73)</f>
        <v>8.1306532663316577</v>
      </c>
    </row>
    <row r="24" spans="1:5" x14ac:dyDescent="0.2">
      <c r="A24">
        <v>1992</v>
      </c>
      <c r="B24" s="1">
        <f>'fed-state from 1925'!H74</f>
        <v>883656</v>
      </c>
      <c r="C24" s="1">
        <f>'fed-state from 1925'!H74-'fed-state from 1925'!D74</f>
        <v>37379</v>
      </c>
      <c r="D24" s="13">
        <f t="shared" si="0"/>
        <v>4.2300397439727674E-2</v>
      </c>
      <c r="E24" s="3">
        <f>('fed-state from 1925'!F74-'fed-state from 1925'!B74)/('fed-state from 1925'!G74-'fed-state from 1925'!C74)</f>
        <v>8.3634769539078153</v>
      </c>
    </row>
    <row r="25" spans="1:5" x14ac:dyDescent="0.2">
      <c r="A25">
        <v>1993</v>
      </c>
      <c r="B25" s="1">
        <f>'fed-state from 1925'!H75</f>
        <v>970444</v>
      </c>
      <c r="C25" s="1">
        <f>'fed-state from 1925'!H75-'fed-state from 1925'!D75</f>
        <v>38370</v>
      </c>
      <c r="D25" s="13">
        <f t="shared" si="0"/>
        <v>3.9538602948753353E-2</v>
      </c>
      <c r="E25" s="3">
        <f>('fed-state from 1925'!F75-'fed-state from 1925'!B75)/('fed-state from 1925'!G75-'fed-state from 1925'!C75)</f>
        <v>8.1075243294564441</v>
      </c>
    </row>
    <row r="26" spans="1:5" x14ac:dyDescent="0.2">
      <c r="A26">
        <v>1994</v>
      </c>
      <c r="B26" s="1">
        <f>'fed-state from 1925'!H76</f>
        <v>1055073</v>
      </c>
      <c r="C26" s="1">
        <f>'fed-state from 1925'!H76-'fed-state from 1925'!D76</f>
        <v>38382</v>
      </c>
      <c r="D26" s="13">
        <f t="shared" si="0"/>
        <v>3.637852546695821E-2</v>
      </c>
      <c r="E26" s="3">
        <f>('fed-state from 1925'!F76-'fed-state from 1925'!B76)/('fed-state from 1925'!G76-'fed-state from 1925'!C76)</f>
        <v>8.1060498220640564</v>
      </c>
    </row>
    <row r="27" spans="1:5" x14ac:dyDescent="0.2">
      <c r="A27">
        <v>1995</v>
      </c>
      <c r="B27" s="1">
        <f>'fed-state from 1925'!H77</f>
        <v>1125874</v>
      </c>
      <c r="C27" s="1">
        <f>'fed-state from 1925'!H77-'fed-state from 1925'!D77</f>
        <v>40852</v>
      </c>
      <c r="D27" s="13">
        <f t="shared" si="0"/>
        <v>3.6284699708848414E-2</v>
      </c>
      <c r="E27" s="3">
        <f>('fed-state from 1925'!F77-'fed-state from 1925'!B77)/('fed-state from 1925'!G77-'fed-state from 1925'!C77)</f>
        <v>8.0681465038845719</v>
      </c>
    </row>
    <row r="28" spans="1:5" x14ac:dyDescent="0.2">
      <c r="A28">
        <v>1996</v>
      </c>
      <c r="B28" s="1">
        <f>'fed-state from 1925'!H78</f>
        <v>1183368</v>
      </c>
      <c r="C28" s="1">
        <f>'fed-state from 1925'!H78-'fed-state from 1925'!D78</f>
        <v>45646</v>
      </c>
      <c r="D28" s="13">
        <f t="shared" si="0"/>
        <v>3.8572954482460231E-2</v>
      </c>
      <c r="E28" s="3">
        <f>('fed-state from 1925'!F78-'fed-state from 1925'!B78)/('fed-state from 1925'!G78-'fed-state from 1925'!C78)</f>
        <v>7.4986036119903181</v>
      </c>
    </row>
    <row r="29" spans="1:5" x14ac:dyDescent="0.2">
      <c r="A29">
        <v>1997</v>
      </c>
      <c r="B29" s="1">
        <f>'fed-state from 1925'!H79</f>
        <v>1242153</v>
      </c>
      <c r="C29" s="1">
        <f>'fed-state from 1925'!H79-'fed-state from 1925'!D79</f>
        <v>47572</v>
      </c>
      <c r="D29" s="13">
        <f t="shared" si="0"/>
        <v>3.8298019648143181E-2</v>
      </c>
      <c r="E29" s="3">
        <f>('fed-state from 1925'!F79-'fed-state from 1925'!B79)/('fed-state from 1925'!G79-'fed-state from 1925'!C79)</f>
        <v>7.6905370843989767</v>
      </c>
    </row>
    <row r="30" spans="1:5" x14ac:dyDescent="0.2">
      <c r="A30">
        <v>1998</v>
      </c>
      <c r="B30" s="1">
        <f>'fed-state from 1925'!H80</f>
        <v>1300573</v>
      </c>
      <c r="C30" s="1">
        <f>'fed-state from 1925'!H80-'fed-state from 1925'!D80</f>
        <v>55171</v>
      </c>
      <c r="D30" s="13">
        <f t="shared" si="0"/>
        <v>4.2420533103485925E-2</v>
      </c>
      <c r="E30" s="3">
        <f>('fed-state from 1925'!F80-'fed-state from 1925'!B80)/('fed-state from 1925'!G80-'fed-state from 1925'!C80)</f>
        <v>7.1686408054486233</v>
      </c>
    </row>
    <row r="31" spans="1:5" x14ac:dyDescent="0.2">
      <c r="A31">
        <v>1999</v>
      </c>
      <c r="B31" s="1">
        <f>'fed-state from 1925'!H81</f>
        <v>1363701</v>
      </c>
      <c r="C31" s="1">
        <f>'fed-state from 1925'!H81-'fed-state from 1925'!D81</f>
        <v>59627</v>
      </c>
      <c r="D31" s="13">
        <f t="shared" si="0"/>
        <v>4.3724394130384883E-2</v>
      </c>
      <c r="E31" s="3">
        <f>('fed-state from 1925'!F81-'fed-state from 1925'!B81)/('fed-state from 1925'!G81-'fed-state from 1925'!C81)</f>
        <v>6.3914714268005453</v>
      </c>
    </row>
    <row r="32" spans="1:5" x14ac:dyDescent="0.2">
      <c r="A32">
        <v>2000</v>
      </c>
      <c r="B32" s="1">
        <f>'fed-state from 1925'!H82</f>
        <v>1396925</v>
      </c>
      <c r="C32" s="1">
        <f>'fed-state from 1925'!H82-'fed-state from 1925'!D82</f>
        <v>62751</v>
      </c>
      <c r="D32" s="13">
        <f t="shared" si="0"/>
        <v>4.4920808203733197E-2</v>
      </c>
      <c r="E32" s="3">
        <f>('fed-state from 1925'!F82-'fed-state from 1925'!B82)/('fed-state from 1925'!G82-'fed-state from 1925'!C82)</f>
        <v>6.4173758865248223</v>
      </c>
    </row>
    <row r="33" spans="1:5" x14ac:dyDescent="0.2">
      <c r="A33">
        <v>2001</v>
      </c>
      <c r="B33" s="1">
        <f>'fed-state from 1925'!H83</f>
        <v>1404032</v>
      </c>
      <c r="C33" s="1">
        <f>'fed-state from 1925'!H83-'fed-state from 1925'!D83</f>
        <v>58815</v>
      </c>
      <c r="D33" s="13">
        <f t="shared" si="0"/>
        <v>4.1890070881575349E-2</v>
      </c>
      <c r="E33" s="3">
        <f>('fed-state from 1925'!F83-'fed-state from 1925'!B83)/('fed-state from 1925'!G83-'fed-state from 1925'!C83)</f>
        <v>6.5452212957023734</v>
      </c>
    </row>
    <row r="34" spans="1:5" x14ac:dyDescent="0.2">
      <c r="A34">
        <v>2002</v>
      </c>
      <c r="B34" s="1">
        <f>'fed-state from 1925'!H84</f>
        <v>1440144</v>
      </c>
      <c r="C34" s="1">
        <f>'fed-state from 1925'!H84-'fed-state from 1925'!D84</f>
        <v>59628</v>
      </c>
      <c r="D34" s="13">
        <f t="shared" si="0"/>
        <v>4.1404192914041932E-2</v>
      </c>
      <c r="E34" s="3">
        <f>('fed-state from 1925'!F84-'fed-state from 1925'!B84)/('fed-state from 1925'!G84-'fed-state from 1925'!C84)</f>
        <v>5.9618213660245187</v>
      </c>
    </row>
    <row r="35" spans="1:5" x14ac:dyDescent="0.2">
      <c r="A35">
        <v>2003</v>
      </c>
      <c r="B35" s="1">
        <f>'fed-state from 1925'!H85</f>
        <v>1468601</v>
      </c>
      <c r="C35" s="1">
        <f>'fed-state from 1925'!H85-'fed-state from 1925'!D85</f>
        <v>60240</v>
      </c>
      <c r="D35" s="13">
        <f t="shared" si="0"/>
        <v>4.1018629294137757E-2</v>
      </c>
      <c r="E35" s="3">
        <f>('fed-state from 1925'!F85-'fed-state from 1925'!B85)/('fed-state from 1925'!G85-'fed-state from 1925'!C85)</f>
        <v>6.2797583081571</v>
      </c>
    </row>
    <row r="36" spans="1:5" x14ac:dyDescent="0.2">
      <c r="A36">
        <v>2004</v>
      </c>
      <c r="B36" s="1">
        <f>'fed-state from 1925'!H86</f>
        <v>1497100</v>
      </c>
      <c r="C36" s="1">
        <f>'fed-state from 1925'!H86-'fed-state from 1925'!D86</f>
        <v>63372</v>
      </c>
      <c r="D36" s="13">
        <f t="shared" si="0"/>
        <v>4.2329837686193306E-2</v>
      </c>
      <c r="E36" s="3">
        <f>('fed-state from 1925'!F86-'fed-state from 1925'!B86)/('fed-state from 1925'!G86-'fed-state from 1925'!C86)</f>
        <v>6.1817769718948323</v>
      </c>
    </row>
    <row r="37" spans="1:5" x14ac:dyDescent="0.2">
      <c r="A37">
        <v>2005</v>
      </c>
      <c r="B37" s="1">
        <f>'fed-state from 1925'!H87</f>
        <v>1525910</v>
      </c>
      <c r="C37" s="1">
        <f>'fed-state from 1925'!H87-'fed-state from 1925'!D87</f>
        <v>63044</v>
      </c>
      <c r="D37" s="13">
        <f t="shared" si="0"/>
        <v>4.1315673925723009E-2</v>
      </c>
      <c r="E37" s="3">
        <f>('fed-state from 1925'!F87-'fed-state from 1925'!B87)/('fed-state from 1925'!G87-'fed-state from 1925'!C87)</f>
        <v>6.1397508493771236</v>
      </c>
    </row>
    <row r="38" spans="1:5" x14ac:dyDescent="0.2">
      <c r="A38">
        <v>2006</v>
      </c>
      <c r="B38" s="1">
        <f>'fed-state from 1925'!H88</f>
        <v>1568674</v>
      </c>
      <c r="C38" s="1">
        <f>'fed-state from 1925'!H88-'fed-state from 1925'!D88</f>
        <v>64076</v>
      </c>
      <c r="D38" s="13">
        <f t="shared" si="0"/>
        <v>4.0847237858216555E-2</v>
      </c>
      <c r="E38" s="3">
        <f>('fed-state from 1925'!F88-'fed-state from 1925'!B88)/('fed-state from 1925'!G88-'fed-state from 1925'!C88)</f>
        <v>6.1425705049604282</v>
      </c>
    </row>
    <row r="39" spans="1:5" x14ac:dyDescent="0.2">
      <c r="A39">
        <v>2007</v>
      </c>
      <c r="B39" s="1">
        <f>'fed-state from 1925'!H89</f>
        <v>1596835</v>
      </c>
      <c r="C39" s="1">
        <f>'fed-state from 1925'!H89-'fed-state from 1925'!D89</f>
        <v>63984</v>
      </c>
      <c r="D39" s="13">
        <f t="shared" si="0"/>
        <v>4.006926200891138E-2</v>
      </c>
      <c r="E39" s="3">
        <f>('fed-state from 1925'!F89-'fed-state from 1925'!B89)/('fed-state from 1925'!G89-'fed-state from 1925'!C89)</f>
        <v>6.4852597098736551</v>
      </c>
    </row>
    <row r="40" spans="1:5" x14ac:dyDescent="0.2">
      <c r="A40">
        <v>2008</v>
      </c>
      <c r="B40" s="1">
        <f>'fed-state from 1925'!H90</f>
        <v>1608282</v>
      </c>
      <c r="C40" s="1">
        <f>'fed-state from 1925'!H90-'fed-state from 1925'!D90</f>
        <v>60540</v>
      </c>
      <c r="D40" s="13">
        <f t="shared" si="0"/>
        <v>3.7642652221438776E-2</v>
      </c>
      <c r="E40" s="3">
        <f>('fed-state from 1925'!F90-'fed-state from 1925'!B90)/('fed-state from 1925'!G90-'fed-state from 1925'!C90)</f>
        <v>6.3346256360552458</v>
      </c>
    </row>
    <row r="41" spans="1:5" x14ac:dyDescent="0.2">
      <c r="A41">
        <v>2009</v>
      </c>
      <c r="B41" s="1">
        <f>'fed-state from 1925'!H91</f>
        <v>1615487</v>
      </c>
      <c r="C41" s="1">
        <f>'fed-state from 1925'!H91-'fed-state from 1925'!D91</f>
        <v>61913</v>
      </c>
      <c r="D41" s="13">
        <f t="shared" si="0"/>
        <v>3.8324666184252801E-2</v>
      </c>
      <c r="E41" s="3">
        <f>('fed-state from 1925'!F91-'fed-state from 1925'!B91)/('fed-state from 1925'!G91-'fed-state from 1925'!C91)</f>
        <v>6.596687116564417</v>
      </c>
    </row>
    <row r="42" spans="1:5" x14ac:dyDescent="0.2">
      <c r="A42">
        <v>2010</v>
      </c>
      <c r="B42" s="1">
        <f>'fed-state from 1925'!H92</f>
        <v>1613803</v>
      </c>
      <c r="C42" s="1">
        <f>'fed-state from 1925'!H92-'fed-state from 1925'!D92</f>
        <v>61134</v>
      </c>
      <c r="D42" s="13">
        <f t="shared" si="0"/>
        <v>3.7881947176947865E-2</v>
      </c>
      <c r="E42" s="3">
        <f>('fed-state from 1925'!F92-'fed-state from 1925'!B92)/('fed-state from 1925'!G92-'fed-state from 1925'!C92)</f>
        <v>6.6762933199397292</v>
      </c>
    </row>
    <row r="44" spans="1:5" x14ac:dyDescent="0.2">
      <c r="C44" t="s">
        <v>70</v>
      </c>
      <c r="D44" s="5">
        <f>MEDIAN(D6:D42)</f>
        <v>4.1890070881575349E-2</v>
      </c>
    </row>
    <row r="45" spans="1:5" x14ac:dyDescent="0.2">
      <c r="C45" t="s">
        <v>170</v>
      </c>
      <c r="D45" s="5">
        <f>MIN(D6:D42)</f>
        <v>3.6284699708848414E-2</v>
      </c>
    </row>
    <row r="46" spans="1:5" x14ac:dyDescent="0.2">
      <c r="C46" t="s">
        <v>171</v>
      </c>
      <c r="D46" s="5">
        <f>MAX(D6:D42)</f>
        <v>5.455755395683453E-2</v>
      </c>
    </row>
    <row r="49" spans="1:7" x14ac:dyDescent="0.2">
      <c r="A49" t="s">
        <v>870</v>
      </c>
    </row>
    <row r="51" spans="1:7" x14ac:dyDescent="0.2">
      <c r="B51" t="s">
        <v>920</v>
      </c>
      <c r="C51" t="s">
        <v>1115</v>
      </c>
      <c r="D51" t="s">
        <v>343</v>
      </c>
    </row>
    <row r="52" spans="1:7" x14ac:dyDescent="0.2">
      <c r="A52">
        <f>'fs sources from 1925'!A458</f>
        <v>1970</v>
      </c>
      <c r="B52" s="1">
        <f>'fs sources from 1925'!C458</f>
        <v>21266</v>
      </c>
      <c r="C52" s="1">
        <f>'fs sources from 1925'!C458-'fs sources from 1925'!D458</f>
        <v>580</v>
      </c>
      <c r="D52" s="13">
        <f>C52/B52</f>
        <v>2.7273582243957491E-2</v>
      </c>
      <c r="G52" t="s">
        <v>389</v>
      </c>
    </row>
    <row r="53" spans="1:7" x14ac:dyDescent="0.2">
      <c r="A53">
        <f>'fs sources from 1925'!A459</f>
        <v>1971</v>
      </c>
      <c r="B53" s="1">
        <f>'fs sources from 1925'!C459</f>
        <v>20891</v>
      </c>
      <c r="C53" s="1">
        <f>'fs sources from 1925'!C459-'fs sources from 1925'!D459</f>
        <v>362</v>
      </c>
      <c r="D53" s="13">
        <f t="shared" ref="D53:D86" si="1">C53/B53</f>
        <v>1.7328035996362071E-2</v>
      </c>
      <c r="G53" t="s">
        <v>843</v>
      </c>
    </row>
    <row r="54" spans="1:7" x14ac:dyDescent="0.2">
      <c r="A54">
        <f>'fs sources from 1925'!A460</f>
        <v>1972</v>
      </c>
      <c r="B54" s="1">
        <f>'fs sources from 1925'!C460</f>
        <v>22090</v>
      </c>
      <c r="C54" s="1">
        <f>'fs sources from 1925'!C460-'fs sources from 1925'!D460</f>
        <v>1361</v>
      </c>
      <c r="D54" s="13">
        <f t="shared" si="1"/>
        <v>6.1611588954277957E-2</v>
      </c>
    </row>
    <row r="55" spans="1:7" x14ac:dyDescent="0.2">
      <c r="A55">
        <f>'fs sources from 1925'!A461</f>
        <v>1973</v>
      </c>
      <c r="B55" s="1">
        <f>'fs sources from 1925'!C461</f>
        <v>23336</v>
      </c>
      <c r="C55" s="1">
        <f>'fs sources from 1925'!C461-'fs sources from 1925'!D461</f>
        <v>1298</v>
      </c>
      <c r="D55" s="13">
        <f t="shared" si="1"/>
        <v>5.5622214604045254E-2</v>
      </c>
      <c r="G55" t="s">
        <v>871</v>
      </c>
    </row>
    <row r="56" spans="1:7" x14ac:dyDescent="0.2">
      <c r="A56">
        <f>'fs sources from 1925'!A462</f>
        <v>1974</v>
      </c>
      <c r="B56" s="1">
        <f>'fs sources from 1925'!C462</f>
        <v>23690</v>
      </c>
      <c r="C56" s="1">
        <f>'fs sources from 1925'!C462-'fs sources from 1925'!D462</f>
        <v>1921</v>
      </c>
      <c r="D56" s="13">
        <f t="shared" si="1"/>
        <v>8.1089067116926969E-2</v>
      </c>
    </row>
    <row r="57" spans="1:7" x14ac:dyDescent="0.2">
      <c r="A57">
        <f>'fs sources from 1925'!A463</f>
        <v>1975</v>
      </c>
      <c r="B57" s="1">
        <f>'fs sources from 1925'!C463</f>
        <v>23566</v>
      </c>
      <c r="C57" s="1">
        <f>'fs sources from 1925'!C463-'fs sources from 1925'!D463</f>
        <v>2874</v>
      </c>
      <c r="D57" s="13">
        <f t="shared" si="1"/>
        <v>0.12195535941610795</v>
      </c>
    </row>
    <row r="58" spans="1:7" x14ac:dyDescent="0.2">
      <c r="A58">
        <f>'fs sources from 1925'!A464</f>
        <v>1976</v>
      </c>
      <c r="B58" s="1">
        <f>'fs sources from 1925'!C464</f>
        <v>27033</v>
      </c>
      <c r="C58" s="1">
        <f>'fs sources from 1925'!C464-'fs sources from 1925'!D464</f>
        <v>2898</v>
      </c>
      <c r="D58" s="13">
        <f t="shared" si="1"/>
        <v>0.10720230828986795</v>
      </c>
    </row>
    <row r="59" spans="1:7" x14ac:dyDescent="0.2">
      <c r="A59">
        <f>'fs sources from 1925'!A465</f>
        <v>1977</v>
      </c>
      <c r="B59" s="1">
        <f>'fs sources from 1925'!C465</f>
        <v>29877</v>
      </c>
      <c r="C59" s="1">
        <f>'fs sources from 1925'!C465-'fs sources from 1925'!D465</f>
        <v>4204</v>
      </c>
      <c r="D59" s="13">
        <f t="shared" si="1"/>
        <v>0.14071024533922416</v>
      </c>
    </row>
    <row r="60" spans="1:7" x14ac:dyDescent="0.2">
      <c r="A60">
        <f>'fs sources from 1925'!A466</f>
        <v>1978</v>
      </c>
      <c r="B60" s="1">
        <f>'fs sources from 1925'!C466</f>
        <v>27674</v>
      </c>
      <c r="C60" s="1">
        <f>'fs sources from 1925'!C466-'fs sources from 1925'!D466</f>
        <v>4173</v>
      </c>
      <c r="D60" s="13">
        <f t="shared" si="1"/>
        <v>0.15079135650791356</v>
      </c>
    </row>
    <row r="61" spans="1:7" x14ac:dyDescent="0.2">
      <c r="A61">
        <f>'fs sources from 1925'!A467</f>
        <v>1979</v>
      </c>
      <c r="B61" s="1">
        <f>'fs sources from 1925'!C467</f>
        <v>24810</v>
      </c>
      <c r="C61" s="1">
        <f>'fs sources from 1925'!C467-'fs sources from 1925'!D467</f>
        <v>3271</v>
      </c>
      <c r="D61" s="13">
        <f t="shared" si="1"/>
        <v>0.13184199919387343</v>
      </c>
    </row>
    <row r="62" spans="1:7" x14ac:dyDescent="0.2">
      <c r="A62">
        <f>'fs sources from 1925'!A468</f>
        <v>1980</v>
      </c>
      <c r="B62" s="1">
        <f>'fs sources from 1925'!C468</f>
        <v>24252</v>
      </c>
      <c r="C62" s="1">
        <f>'fs sources from 1925'!C468-'fs sources from 1925'!D468</f>
        <v>5229</v>
      </c>
      <c r="D62" s="13">
        <f t="shared" si="1"/>
        <v>0.21561108362196932</v>
      </c>
    </row>
    <row r="63" spans="1:7" x14ac:dyDescent="0.2">
      <c r="A63">
        <f>'fs sources from 1925'!A469</f>
        <v>1981</v>
      </c>
      <c r="B63" s="1">
        <f>'fs sources from 1925'!C469</f>
        <v>26195</v>
      </c>
      <c r="C63" s="1">
        <f>'fs sources from 1925'!C469-'fs sources from 1925'!D469</f>
        <v>6430</v>
      </c>
      <c r="D63" s="13">
        <f t="shared" si="1"/>
        <v>0.24546669211681618</v>
      </c>
    </row>
    <row r="64" spans="1:7" x14ac:dyDescent="0.2">
      <c r="A64">
        <f>'fs sources from 1925'!A470</f>
        <v>1982</v>
      </c>
      <c r="B64" s="1">
        <f>'fs sources from 1925'!C470</f>
        <v>28133</v>
      </c>
      <c r="C64" s="1">
        <f>'fs sources from 1925'!C470-'fs sources from 1925'!D470</f>
        <v>7195</v>
      </c>
      <c r="D64" s="13">
        <f t="shared" si="1"/>
        <v>0.25574947570468842</v>
      </c>
    </row>
    <row r="65" spans="1:4" x14ac:dyDescent="0.2">
      <c r="A65">
        <f>'fs sources from 1925'!A471</f>
        <v>1983</v>
      </c>
      <c r="B65" s="1">
        <f>'fs sources from 1925'!C471</f>
        <v>30214</v>
      </c>
      <c r="C65" s="1">
        <f>'fs sources from 1925'!C471-'fs sources from 1925'!D471</f>
        <v>4187</v>
      </c>
      <c r="D65" s="13">
        <f t="shared" si="1"/>
        <v>0.1385781425829086</v>
      </c>
    </row>
    <row r="66" spans="1:4" x14ac:dyDescent="0.2">
      <c r="A66">
        <f>'fs sources from 1925'!A472</f>
        <v>1984</v>
      </c>
      <c r="B66" s="1">
        <f>'fs sources from 1925'!C472</f>
        <v>32317</v>
      </c>
      <c r="C66" s="1">
        <f>'fs sources from 1925'!C472-'fs sources from 1925'!D472</f>
        <v>4695</v>
      </c>
      <c r="D66" s="13">
        <f t="shared" si="1"/>
        <v>0.14527957421790388</v>
      </c>
    </row>
    <row r="67" spans="1:4" x14ac:dyDescent="0.2">
      <c r="A67">
        <f>'fs sources from 1925'!A473</f>
        <v>1985</v>
      </c>
      <c r="B67" s="1">
        <f>'fs sources from 1925'!C473</f>
        <v>36042</v>
      </c>
      <c r="C67" s="1">
        <f>'fs sources from 1925'!C473-'fs sources from 1925'!D473</f>
        <v>8419</v>
      </c>
      <c r="D67" s="13">
        <f t="shared" si="1"/>
        <v>0.2335885910881749</v>
      </c>
    </row>
    <row r="68" spans="1:4" x14ac:dyDescent="0.2">
      <c r="A68">
        <f>'fs sources from 1925'!A474</f>
        <v>1986</v>
      </c>
      <c r="B68" s="1">
        <f>'fs sources from 1925'!C474</f>
        <v>37542</v>
      </c>
      <c r="C68" s="1">
        <f>'fs sources from 1925'!C474-'fs sources from 1925'!D474</f>
        <v>7438</v>
      </c>
      <c r="D68" s="13">
        <f t="shared" si="1"/>
        <v>0.19812476692770764</v>
      </c>
    </row>
    <row r="69" spans="1:4" x14ac:dyDescent="0.2">
      <c r="A69">
        <f>'fs sources from 1925'!A475</f>
        <v>1987</v>
      </c>
      <c r="B69" s="1">
        <f>'fs sources from 1925'!C475</f>
        <v>41609</v>
      </c>
      <c r="C69" s="1">
        <f>'fs sources from 1925'!C475-'fs sources from 1925'!D475</f>
        <v>8363</v>
      </c>
      <c r="D69" s="13">
        <f t="shared" si="1"/>
        <v>0.20099017039582784</v>
      </c>
    </row>
    <row r="70" spans="1:4" x14ac:dyDescent="0.2">
      <c r="A70">
        <f>'fs sources from 1925'!A476</f>
        <v>1988</v>
      </c>
      <c r="B70" s="1">
        <f>'fs sources from 1925'!C476</f>
        <v>41342</v>
      </c>
      <c r="C70" s="1">
        <f>'fs sources from 1925'!C476-'fs sources from 1925'!D476</f>
        <v>7584</v>
      </c>
      <c r="D70" s="13">
        <f t="shared" si="1"/>
        <v>0.18344540660829181</v>
      </c>
    </row>
    <row r="71" spans="1:4" x14ac:dyDescent="0.2">
      <c r="A71">
        <f>'fs sources from 1925'!A477</f>
        <v>1989</v>
      </c>
      <c r="B71" s="1">
        <f>'fs sources from 1925'!C477</f>
        <v>47568</v>
      </c>
      <c r="C71" s="1">
        <f>'fs sources from 1925'!C477-'fs sources from 1925'!D477</f>
        <v>9810</v>
      </c>
      <c r="D71" s="13">
        <f t="shared" si="1"/>
        <v>0.20623107971745711</v>
      </c>
    </row>
    <row r="72" spans="1:4" x14ac:dyDescent="0.2">
      <c r="A72">
        <f>'fs sources from 1925'!A478</f>
        <v>1990</v>
      </c>
      <c r="B72" s="1">
        <f>'fs sources from 1925'!C478</f>
        <v>54613</v>
      </c>
      <c r="C72" s="1">
        <f>'fs sources from 1925'!C478-'fs sources from 1925'!D478</f>
        <v>8038</v>
      </c>
      <c r="D72" s="13">
        <f t="shared" si="1"/>
        <v>0.1471810741032355</v>
      </c>
    </row>
    <row r="73" spans="1:4" x14ac:dyDescent="0.2">
      <c r="A73">
        <f>'fs sources from 1925'!A479</f>
        <v>1991</v>
      </c>
      <c r="B73" s="1">
        <f>'fs sources from 1925'!C479</f>
        <v>61026</v>
      </c>
      <c r="C73" s="1">
        <f>'fs sources from 1925'!C479-'fs sources from 1925'!D479</f>
        <v>8850</v>
      </c>
      <c r="D73" s="13">
        <f t="shared" si="1"/>
        <v>0.14502015534362403</v>
      </c>
    </row>
    <row r="74" spans="1:4" x14ac:dyDescent="0.2">
      <c r="A74">
        <f>'fs sources from 1925'!A480</f>
        <v>1992</v>
      </c>
      <c r="B74" s="1">
        <f>'fs sources from 1925'!C480</f>
        <v>67768</v>
      </c>
      <c r="C74" s="1">
        <f>'fs sources from 1925'!C480-'fs sources from 1925'!D480</f>
        <v>8252</v>
      </c>
      <c r="D74" s="13">
        <f t="shared" si="1"/>
        <v>0.1217683862590013</v>
      </c>
    </row>
    <row r="75" spans="1:4" x14ac:dyDescent="0.2">
      <c r="A75">
        <f>'fs sources from 1925'!A481</f>
        <v>1993</v>
      </c>
      <c r="B75" s="1">
        <f>'fs sources from 1925'!C481</f>
        <v>76531</v>
      </c>
      <c r="C75" s="1">
        <f>'fs sources from 1925'!C481-'fs sources from 1925'!D481</f>
        <v>8348</v>
      </c>
      <c r="D75" s="13">
        <f t="shared" si="1"/>
        <v>0.10907998066143132</v>
      </c>
    </row>
    <row r="76" spans="1:4" x14ac:dyDescent="0.2">
      <c r="A76">
        <f>'fs sources from 1925'!A482</f>
        <v>1994</v>
      </c>
      <c r="B76" s="1">
        <f>'fs sources from 1925'!C482</f>
        <v>82269</v>
      </c>
      <c r="C76" s="1">
        <f>'fs sources from 1925'!C482-'fs sources from 1925'!D482</f>
        <v>8311</v>
      </c>
      <c r="D76" s="13">
        <f t="shared" si="1"/>
        <v>0.1010222562569133</v>
      </c>
    </row>
    <row r="77" spans="1:4" x14ac:dyDescent="0.2">
      <c r="A77">
        <f>'fs sources from 1925'!A483</f>
        <v>1995</v>
      </c>
      <c r="B77" s="1">
        <f>'fs sources from 1925'!C483</f>
        <v>85865</v>
      </c>
      <c r="C77" s="1">
        <f>'fs sources from 1925'!C483-'fs sources from 1925'!D483</f>
        <v>8918</v>
      </c>
      <c r="D77" s="13">
        <f t="shared" si="1"/>
        <v>0.10386071158213475</v>
      </c>
    </row>
    <row r="78" spans="1:4" x14ac:dyDescent="0.2">
      <c r="A78">
        <f>'fs sources from 1925'!A484</f>
        <v>1996</v>
      </c>
      <c r="B78" s="1">
        <f>'fs sources from 1925'!C484</f>
        <v>89672</v>
      </c>
      <c r="C78" s="1">
        <f>'fs sources from 1925'!C484-'fs sources from 1925'!D484</f>
        <v>8800</v>
      </c>
      <c r="D78" s="13">
        <f t="shared" si="1"/>
        <v>9.8135426889106966E-2</v>
      </c>
    </row>
    <row r="79" spans="1:4" x14ac:dyDescent="0.2">
      <c r="A79">
        <f>'fs sources from 1925'!A485</f>
        <v>1997</v>
      </c>
      <c r="B79" s="1">
        <f>'fs sources from 1925'!C485</f>
        <v>95513</v>
      </c>
      <c r="C79" s="1">
        <f>'fs sources from 1925'!C485-'fs sources from 1925'!D485</f>
        <v>8219</v>
      </c>
      <c r="D79" s="13">
        <f t="shared" si="1"/>
        <v>8.6051113460994838E-2</v>
      </c>
    </row>
    <row r="80" spans="1:4" x14ac:dyDescent="0.2">
      <c r="A80">
        <f>'fs sources from 1925'!A486</f>
        <v>1998</v>
      </c>
      <c r="B80" s="1">
        <f>'fs sources from 1925'!C486</f>
        <v>104507</v>
      </c>
      <c r="C80" s="1">
        <f>'fs sources from 1925'!C486-'fs sources from 1925'!D486</f>
        <v>9184</v>
      </c>
      <c r="D80" s="13">
        <f t="shared" si="1"/>
        <v>8.7879280813725397E-2</v>
      </c>
    </row>
    <row r="81" spans="1:7" x14ac:dyDescent="0.2">
      <c r="A81">
        <f>'fs sources from 1925'!A487</f>
        <v>1999</v>
      </c>
      <c r="B81" s="1">
        <f>'fs sources from 1925'!C487</f>
        <v>115024</v>
      </c>
      <c r="C81" s="1">
        <f>'fs sources from 1925'!C487-'fs sources from 1925'!D487</f>
        <v>10524</v>
      </c>
      <c r="D81" s="13">
        <f t="shared" si="1"/>
        <v>9.1493949088885793E-2</v>
      </c>
    </row>
    <row r="82" spans="1:7" x14ac:dyDescent="0.2">
      <c r="A82">
        <f>'fs sources from 1925'!A488</f>
        <v>2000</v>
      </c>
      <c r="B82" s="1">
        <f>'fs sources from 1925'!C488</f>
        <v>123141</v>
      </c>
      <c r="C82" s="1">
        <f>'fs sources from 1925'!C488-'fs sources from 1925'!D488</f>
        <v>10812</v>
      </c>
      <c r="D82" s="13">
        <f t="shared" si="1"/>
        <v>8.7801788194021485E-2</v>
      </c>
    </row>
    <row r="83" spans="1:7" x14ac:dyDescent="0.2">
      <c r="A83">
        <f>'fs sources from 1925'!A489</f>
        <v>2001</v>
      </c>
      <c r="B83" s="1">
        <f>'fs sources from 1925'!C489</f>
        <v>131419</v>
      </c>
      <c r="C83" s="1">
        <f>'fs sources from 1925'!C489-'fs sources from 1925'!D489</f>
        <v>10590</v>
      </c>
      <c r="D83" s="13">
        <f t="shared" si="1"/>
        <v>8.0581955425014645E-2</v>
      </c>
    </row>
    <row r="84" spans="1:7" x14ac:dyDescent="0.2">
      <c r="A84">
        <f>'fs sources from 1925'!A490</f>
        <v>2002</v>
      </c>
      <c r="B84" s="1">
        <f>'fs sources from 1925'!C490</f>
        <v>139183</v>
      </c>
      <c r="C84" s="1">
        <f>'fs sources from 1925'!C490-'fs sources from 1925'!D490</f>
        <v>11093</v>
      </c>
      <c r="D84" s="13">
        <f t="shared" si="1"/>
        <v>7.9700825531853745E-2</v>
      </c>
    </row>
    <row r="85" spans="1:7" x14ac:dyDescent="0.2">
      <c r="A85">
        <f>'fs sources from 1925'!A491</f>
        <v>2003</v>
      </c>
      <c r="B85" s="1">
        <f>'fs sources from 1925'!C491</f>
        <v>148731</v>
      </c>
      <c r="C85" s="1">
        <f>'fs sources from 1925'!C491-'fs sources from 1925'!D491</f>
        <v>11195</v>
      </c>
      <c r="D85" s="13">
        <f t="shared" si="1"/>
        <v>7.527011853614915E-2</v>
      </c>
    </row>
    <row r="86" spans="1:7" x14ac:dyDescent="0.2">
      <c r="A86">
        <f>'fs sources from 1925'!A492</f>
        <v>2004</v>
      </c>
      <c r="B86" s="1">
        <f>'fs sources from 1925'!C492</f>
        <v>154706</v>
      </c>
      <c r="C86" s="1">
        <f>'fs sources from 1925'!C492-'fs sources from 1925'!D492</f>
        <v>10842</v>
      </c>
      <c r="D86" s="13">
        <f t="shared" si="1"/>
        <v>7.0081315527516716E-2</v>
      </c>
    </row>
    <row r="87" spans="1:7" x14ac:dyDescent="0.2">
      <c r="B87" s="1"/>
      <c r="C87" s="1"/>
      <c r="D87" s="13"/>
    </row>
    <row r="88" spans="1:7" x14ac:dyDescent="0.2">
      <c r="B88" s="1"/>
      <c r="C88" s="1" t="s">
        <v>70</v>
      </c>
      <c r="D88" s="13">
        <f>MEDIAN(D52:D86)</f>
        <v>0.10907998066143132</v>
      </c>
    </row>
    <row r="89" spans="1:7" x14ac:dyDescent="0.2">
      <c r="B89" s="1"/>
      <c r="C89" t="s">
        <v>170</v>
      </c>
      <c r="D89" s="13">
        <f>MIN(D52:D86)</f>
        <v>1.7328035996362071E-2</v>
      </c>
    </row>
    <row r="90" spans="1:7" x14ac:dyDescent="0.2">
      <c r="C90" t="s">
        <v>171</v>
      </c>
      <c r="D90" s="5">
        <f>MAX(D52:D86)</f>
        <v>0.25574947570468842</v>
      </c>
    </row>
    <row r="92" spans="1:7" x14ac:dyDescent="0.2">
      <c r="A92" t="s">
        <v>872</v>
      </c>
    </row>
    <row r="93" spans="1:7" x14ac:dyDescent="0.2">
      <c r="B93" t="s">
        <v>920</v>
      </c>
      <c r="C93" t="s">
        <v>1115</v>
      </c>
      <c r="D93" t="s">
        <v>343</v>
      </c>
    </row>
    <row r="94" spans="1:7" x14ac:dyDescent="0.2">
      <c r="A94">
        <v>1974</v>
      </c>
      <c r="B94" s="1">
        <f>'fs sources from 1925'!J408+'fs sources from 1925'!M408</f>
        <v>207360</v>
      </c>
      <c r="C94" s="1">
        <f>'fs sources from 1925'!M408</f>
        <v>11516</v>
      </c>
      <c r="D94" s="13">
        <f>C94/B94</f>
        <v>5.5536265432098768E-2</v>
      </c>
      <c r="G94" t="s">
        <v>569</v>
      </c>
    </row>
    <row r="95" spans="1:7" x14ac:dyDescent="0.2">
      <c r="A95">
        <v>1975</v>
      </c>
      <c r="B95" s="1">
        <f>'fs sources from 1925'!J409+'fs sources from 1925'!M409</f>
        <v>229685</v>
      </c>
      <c r="C95" s="1">
        <f>'fs sources from 1925'!M409</f>
        <v>11066</v>
      </c>
      <c r="D95" s="13">
        <f>C95/B95</f>
        <v>4.817902779894203E-2</v>
      </c>
    </row>
    <row r="96" spans="1:7" x14ac:dyDescent="0.2">
      <c r="A96">
        <v>1976</v>
      </c>
      <c r="B96" s="1">
        <f>'fs sources from 1925'!J410+'fs sources from 1925'!M410</f>
        <v>249408</v>
      </c>
      <c r="C96" s="1">
        <f>'fs sources from 1925'!M410</f>
        <v>12916</v>
      </c>
      <c r="D96" s="13">
        <f>C96/B96</f>
        <v>5.1786630741596097E-2</v>
      </c>
    </row>
    <row r="97" spans="1:7" x14ac:dyDescent="0.2">
      <c r="A97">
        <v>1977</v>
      </c>
      <c r="B97" s="1">
        <f>'fs sources from 1925'!D417+'fs sources from 1925'!E417</f>
        <v>258643</v>
      </c>
      <c r="C97" s="1">
        <f>'fs sources from 1925'!E417</f>
        <v>11136</v>
      </c>
      <c r="D97" s="13">
        <f>C97/B97</f>
        <v>4.3055485746762913E-2</v>
      </c>
    </row>
    <row r="98" spans="1:7" x14ac:dyDescent="0.2">
      <c r="A98">
        <v>1978</v>
      </c>
      <c r="B98" s="1">
        <f>'fs sources from 1925'!D418+'fs sources from 1925'!E418</f>
        <v>268944</v>
      </c>
      <c r="C98" s="1">
        <f>'fs sources from 1925'!E418</f>
        <v>9666</v>
      </c>
      <c r="D98" s="13">
        <f t="shared" ref="D98:D104" si="2">C98/B98</f>
        <v>3.5940567553096554E-2</v>
      </c>
    </row>
    <row r="99" spans="1:7" x14ac:dyDescent="0.2">
      <c r="A99">
        <v>1979</v>
      </c>
      <c r="B99" s="1">
        <f>'fs sources from 1925'!D419+'fs sources from 1925'!E419</f>
        <v>281233</v>
      </c>
      <c r="C99" s="1">
        <f>'fs sources from 1925'!E419</f>
        <v>9938</v>
      </c>
      <c r="D99" s="13">
        <f t="shared" si="2"/>
        <v>3.5337247051377328E-2</v>
      </c>
    </row>
    <row r="100" spans="1:7" x14ac:dyDescent="0.2">
      <c r="A100">
        <v>1980</v>
      </c>
      <c r="B100" s="1">
        <f>'fs sources from 1925'!D420+'fs sources from 1925'!E420</f>
        <v>294715</v>
      </c>
      <c r="C100" s="1">
        <f>'fs sources from 1925'!E420</f>
        <v>10525</v>
      </c>
      <c r="D100" s="13">
        <f t="shared" si="2"/>
        <v>3.5712467977537618E-2</v>
      </c>
    </row>
    <row r="101" spans="1:7" x14ac:dyDescent="0.2">
      <c r="A101">
        <v>1981</v>
      </c>
      <c r="B101" s="1"/>
      <c r="C101" s="1"/>
      <c r="D101" s="13"/>
    </row>
    <row r="102" spans="1:7" x14ac:dyDescent="0.2">
      <c r="A102">
        <v>1982</v>
      </c>
      <c r="B102" s="1">
        <f>'fs sources from 1925'!D422+'fs sources from 1925'!E422</f>
        <v>375603</v>
      </c>
      <c r="C102" s="1">
        <f>'fs sources from 1925'!E422</f>
        <v>11890</v>
      </c>
      <c r="D102" s="13">
        <f t="shared" si="2"/>
        <v>3.1655764197836549E-2</v>
      </c>
    </row>
    <row r="103" spans="1:7" x14ac:dyDescent="0.2">
      <c r="A103">
        <v>1983</v>
      </c>
      <c r="B103" s="1">
        <f>'fs sources from 1925'!D423+'fs sources from 1925'!E423</f>
        <v>395710</v>
      </c>
      <c r="C103" s="1">
        <f>'fs sources from 1925'!E423</f>
        <v>13306</v>
      </c>
      <c r="D103" s="13">
        <f t="shared" si="2"/>
        <v>3.3625634934674381E-2</v>
      </c>
    </row>
    <row r="104" spans="1:7" x14ac:dyDescent="0.2">
      <c r="A104">
        <v>1984</v>
      </c>
      <c r="B104" s="1">
        <f>'fs sources from 1925'!J412+'fs sources from 1925'!M412</f>
        <v>417389</v>
      </c>
      <c r="C104" s="1">
        <f>'fs sources from 1925'!M412</f>
        <v>13144</v>
      </c>
      <c r="D104" s="13">
        <f t="shared" si="2"/>
        <v>3.1491007189935527E-2</v>
      </c>
    </row>
    <row r="105" spans="1:7" x14ac:dyDescent="0.2">
      <c r="A105">
        <v>1985</v>
      </c>
      <c r="B105" s="1">
        <f>'fs sources from 1925'!J413+'fs sources from 1925'!M413</f>
        <v>451578</v>
      </c>
      <c r="C105" s="1">
        <f>'fs sources from 1925'!M413</f>
        <v>15989</v>
      </c>
      <c r="D105" s="13">
        <f>C105/B105</f>
        <v>3.5406950737192688E-2</v>
      </c>
    </row>
    <row r="106" spans="1:7" x14ac:dyDescent="0.2">
      <c r="B106" s="1"/>
      <c r="C106" s="1"/>
      <c r="D106" s="13"/>
    </row>
    <row r="108" spans="1:7" x14ac:dyDescent="0.2">
      <c r="A108" t="s">
        <v>823</v>
      </c>
    </row>
    <row r="109" spans="1:7" x14ac:dyDescent="0.2">
      <c r="B109" t="s">
        <v>920</v>
      </c>
      <c r="C109" t="s">
        <v>1115</v>
      </c>
      <c r="D109" t="s">
        <v>343</v>
      </c>
    </row>
    <row r="110" spans="1:7" x14ac:dyDescent="0.2">
      <c r="A110">
        <v>1992</v>
      </c>
      <c r="B110" s="1">
        <f>'fs sources from 1925'!D437</f>
        <v>803397</v>
      </c>
      <c r="C110" s="1">
        <f>'fs sources from 1925'!D437-'fs sources from 1925'!E437</f>
        <v>21832</v>
      </c>
      <c r="D110" s="13">
        <f>C110/B110</f>
        <v>2.7174609813081205E-2</v>
      </c>
      <c r="G110" t="s">
        <v>569</v>
      </c>
    </row>
    <row r="111" spans="1:7" x14ac:dyDescent="0.2">
      <c r="A111">
        <v>1993</v>
      </c>
      <c r="B111" s="1">
        <f>'fs sources from 1925'!D438</f>
        <v>880857</v>
      </c>
      <c r="C111" s="1">
        <f>'fs sources from 1925'!D438-'fs sources from 1925'!E438</f>
        <v>22990</v>
      </c>
      <c r="D111" s="13">
        <f>C111/B111</f>
        <v>2.6099582565615079E-2</v>
      </c>
    </row>
    <row r="113" spans="1:4" x14ac:dyDescent="0.2">
      <c r="A113">
        <v>1999</v>
      </c>
      <c r="B113" s="1">
        <f>'fs sources from 1925'!D440</f>
        <v>1228455</v>
      </c>
      <c r="C113" s="1">
        <f>'fs sources from 1925'!D440-'fs sources from 1925'!E440</f>
        <v>38656</v>
      </c>
      <c r="D113" s="13">
        <f>C113/B113</f>
        <v>3.146716810953596E-2</v>
      </c>
    </row>
    <row r="114" spans="1:4" x14ac:dyDescent="0.2">
      <c r="A114">
        <v>2009</v>
      </c>
      <c r="B114" s="1">
        <f>'fs sources from 1925'!D441</f>
        <v>1405622</v>
      </c>
      <c r="C114" s="1">
        <f>'fs sources from 1925'!D441-'fs sources from 1925'!E441</f>
        <v>44787</v>
      </c>
      <c r="D114" s="13">
        <f>C114/B114</f>
        <v>3.1862762535020087E-2</v>
      </c>
    </row>
  </sheetData>
  <mergeCells count="2">
    <mergeCell ref="A1:E1"/>
    <mergeCell ref="A2:E2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>
      <selection sqref="A1:G1"/>
    </sheetView>
  </sheetViews>
  <sheetFormatPr defaultRowHeight="12.75" x14ac:dyDescent="0.2"/>
  <cols>
    <col min="2" max="8" width="12.28515625" customWidth="1"/>
    <col min="9" max="9" width="3.5703125" customWidth="1"/>
    <col min="10" max="10" width="91" customWidth="1"/>
  </cols>
  <sheetData>
    <row r="1" spans="1:10" x14ac:dyDescent="0.2">
      <c r="A1" s="30" t="s">
        <v>867</v>
      </c>
      <c r="B1" s="30"/>
      <c r="C1" s="30"/>
      <c r="D1" s="30"/>
      <c r="E1" s="30"/>
      <c r="F1" s="30"/>
      <c r="G1" s="30"/>
      <c r="J1" t="s">
        <v>1332</v>
      </c>
    </row>
    <row r="2" spans="1:10" x14ac:dyDescent="0.2">
      <c r="J2" t="s">
        <v>1333</v>
      </c>
    </row>
    <row r="3" spans="1:10" x14ac:dyDescent="0.2">
      <c r="J3" t="s">
        <v>1334</v>
      </c>
    </row>
    <row r="4" spans="1:10" x14ac:dyDescent="0.2">
      <c r="A4" s="30" t="s">
        <v>866</v>
      </c>
      <c r="B4" s="30"/>
      <c r="C4" s="30"/>
    </row>
    <row r="5" spans="1:10" ht="38.25" x14ac:dyDescent="0.2">
      <c r="A5" s="21"/>
      <c r="B5" s="22" t="s">
        <v>864</v>
      </c>
      <c r="C5" s="22" t="s">
        <v>896</v>
      </c>
      <c r="D5" s="22" t="s">
        <v>899</v>
      </c>
      <c r="E5" s="22" t="s">
        <v>865</v>
      </c>
      <c r="F5" s="22" t="s">
        <v>898</v>
      </c>
      <c r="G5" s="22" t="s">
        <v>899</v>
      </c>
      <c r="H5" s="21"/>
    </row>
    <row r="6" spans="1:10" x14ac:dyDescent="0.2">
      <c r="A6" s="21">
        <v>1989</v>
      </c>
      <c r="B6" s="23">
        <f>'fs sources from 1925'!H251</f>
        <v>683382</v>
      </c>
      <c r="C6" s="23">
        <f>'fs sources from 1925'!I251</f>
        <v>712364</v>
      </c>
      <c r="D6" s="27">
        <f>B6/C6</f>
        <v>0.95931574307516942</v>
      </c>
      <c r="E6" s="21"/>
      <c r="F6" s="21"/>
      <c r="G6" s="21"/>
      <c r="H6" s="21"/>
      <c r="J6" t="s">
        <v>897</v>
      </c>
    </row>
    <row r="7" spans="1:10" x14ac:dyDescent="0.2">
      <c r="A7" s="21">
        <v>1990</v>
      </c>
      <c r="B7" s="23">
        <f>'fs sources from 1925'!H252</f>
        <v>743382</v>
      </c>
      <c r="C7" s="23">
        <f>'fs sources from 1925'!I252</f>
        <v>773919</v>
      </c>
      <c r="D7" s="27">
        <f t="shared" ref="D7:D22" si="0">B7/C7</f>
        <v>0.96054238234233813</v>
      </c>
      <c r="E7" s="21"/>
      <c r="F7" s="21"/>
      <c r="G7" s="21"/>
      <c r="H7" s="21"/>
      <c r="J7" t="s">
        <v>1335</v>
      </c>
    </row>
    <row r="8" spans="1:10" x14ac:dyDescent="0.2">
      <c r="A8" s="21">
        <v>1991</v>
      </c>
      <c r="B8" s="23">
        <f>'fs sources from 1925'!H253</f>
        <v>792535</v>
      </c>
      <c r="C8" s="23">
        <f>'fs sources from 1925'!I253</f>
        <v>825559</v>
      </c>
      <c r="D8" s="27">
        <f t="shared" si="0"/>
        <v>0.95999801346723856</v>
      </c>
      <c r="E8" s="21"/>
      <c r="F8" s="21"/>
      <c r="G8" s="21"/>
      <c r="H8" s="21"/>
      <c r="J8" t="s">
        <v>1336</v>
      </c>
    </row>
    <row r="9" spans="1:10" x14ac:dyDescent="0.2">
      <c r="A9" s="21">
        <v>1992</v>
      </c>
      <c r="B9" s="23">
        <f>'fs sources from 1925'!H254</f>
        <v>850566</v>
      </c>
      <c r="C9" s="23">
        <f>'fs sources from 1925'!I254</f>
        <v>882500</v>
      </c>
      <c r="D9" s="27">
        <f t="shared" si="0"/>
        <v>0.96381416430594902</v>
      </c>
      <c r="E9" s="21"/>
      <c r="F9" s="21"/>
      <c r="G9" s="21"/>
      <c r="H9" s="21"/>
    </row>
    <row r="10" spans="1:10" x14ac:dyDescent="0.2">
      <c r="A10" s="21">
        <v>1993</v>
      </c>
      <c r="B10" s="23">
        <f>'fs sources from 1925'!H255</f>
        <v>909381</v>
      </c>
      <c r="C10" s="23">
        <f>'fs sources from 1925'!I255</f>
        <v>970444</v>
      </c>
      <c r="D10" s="27">
        <f t="shared" si="0"/>
        <v>0.93707725535940245</v>
      </c>
      <c r="E10" s="21"/>
      <c r="F10" s="21"/>
      <c r="G10" s="21"/>
      <c r="H10" s="21"/>
    </row>
    <row r="11" spans="1:10" x14ac:dyDescent="0.2">
      <c r="A11" s="21">
        <v>1994</v>
      </c>
      <c r="B11" s="23">
        <f>'fs sources from 1925'!H256</f>
        <v>990147</v>
      </c>
      <c r="C11" s="23">
        <f>'fs sources from 1925'!I256</f>
        <v>1054702</v>
      </c>
      <c r="D11" s="27">
        <f t="shared" si="0"/>
        <v>0.93879313777730578</v>
      </c>
      <c r="E11" s="21"/>
      <c r="F11" s="21"/>
      <c r="G11" s="21"/>
      <c r="H11" s="21"/>
    </row>
    <row r="12" spans="1:10" x14ac:dyDescent="0.2">
      <c r="A12" s="21">
        <v>1995</v>
      </c>
      <c r="B12" s="23">
        <f>'fs sources from 1925'!H257</f>
        <v>1078542</v>
      </c>
      <c r="C12" s="23">
        <f>'fs sources from 1925'!I257</f>
        <v>1125874</v>
      </c>
      <c r="D12" s="27">
        <f t="shared" si="0"/>
        <v>0.95795977169736579</v>
      </c>
      <c r="E12" s="21"/>
      <c r="F12" s="21"/>
      <c r="G12" s="21"/>
      <c r="H12" s="21"/>
    </row>
    <row r="13" spans="1:10" x14ac:dyDescent="0.2">
      <c r="A13" s="21">
        <v>1996</v>
      </c>
      <c r="B13" s="23">
        <f>'fs sources from 1925'!H258</f>
        <v>1127764</v>
      </c>
      <c r="C13" s="23">
        <f>'fs sources from 1925'!I258</f>
        <v>1183368</v>
      </c>
      <c r="D13" s="27">
        <f t="shared" si="0"/>
        <v>0.95301208077284494</v>
      </c>
      <c r="E13" s="21"/>
      <c r="F13" s="21"/>
      <c r="G13" s="21"/>
      <c r="H13" s="21"/>
    </row>
    <row r="14" spans="1:10" x14ac:dyDescent="0.2">
      <c r="A14" s="21">
        <v>1997</v>
      </c>
      <c r="B14" s="23">
        <f>'fs sources from 1925'!H259</f>
        <v>1176564</v>
      </c>
      <c r="C14" s="23">
        <f>'fs sources from 1925'!I259</f>
        <v>1242153</v>
      </c>
      <c r="D14" s="27">
        <f t="shared" si="0"/>
        <v>0.94719732593327877</v>
      </c>
      <c r="E14" s="21"/>
      <c r="F14" s="21"/>
      <c r="G14" s="21"/>
      <c r="H14" s="21"/>
    </row>
    <row r="15" spans="1:10" x14ac:dyDescent="0.2">
      <c r="A15" s="21">
        <v>1998</v>
      </c>
      <c r="B15" s="23">
        <f>'fs sources from 1925'!H260</f>
        <v>1224469</v>
      </c>
      <c r="C15" s="23">
        <f>'fs sources from 1925'!I260</f>
        <v>1300573</v>
      </c>
      <c r="D15" s="27">
        <f t="shared" si="0"/>
        <v>0.94148425347904352</v>
      </c>
      <c r="E15" s="21"/>
      <c r="F15" s="21"/>
      <c r="G15" s="21"/>
      <c r="H15" s="21"/>
    </row>
    <row r="16" spans="1:10" x14ac:dyDescent="0.2">
      <c r="A16" s="21">
        <v>1999</v>
      </c>
      <c r="B16" s="23">
        <f>'fs sources from 1925'!H262</f>
        <v>1261426</v>
      </c>
      <c r="C16" s="23">
        <f>'fs sources from 1925'!I262</f>
        <v>1344369</v>
      </c>
      <c r="D16" s="27">
        <f t="shared" si="0"/>
        <v>0.93830339735593427</v>
      </c>
      <c r="E16" s="21"/>
      <c r="F16" s="21"/>
      <c r="G16" s="21"/>
      <c r="H16" s="21"/>
    </row>
    <row r="17" spans="1:8" x14ac:dyDescent="0.2">
      <c r="A17" s="21">
        <v>2000</v>
      </c>
      <c r="B17" s="23">
        <f>'fs sources from 1925'!H263+'fs sources from 1925'!N260</f>
        <v>1310076</v>
      </c>
      <c r="C17" s="23">
        <f>'fs sources from 1925'!I263+'fs sources from 1925'!O260</f>
        <v>1384912</v>
      </c>
      <c r="D17" s="27">
        <f t="shared" si="0"/>
        <v>0.94596335362824502</v>
      </c>
      <c r="E17" s="23">
        <f t="shared" ref="E17:E27" si="1">C35+C52</f>
        <v>1234758</v>
      </c>
      <c r="F17" s="23">
        <f t="shared" ref="F17:F27" si="2">B35+B52</f>
        <v>1391261</v>
      </c>
      <c r="G17" s="27">
        <f>E17/F17</f>
        <v>0.8875099639823153</v>
      </c>
      <c r="H17" s="21"/>
    </row>
    <row r="18" spans="1:8" x14ac:dyDescent="0.2">
      <c r="A18" s="21">
        <v>2001</v>
      </c>
      <c r="B18" s="23">
        <f>B17+'fs sources from 1925'!B332</f>
        <v>1324723</v>
      </c>
      <c r="C18" s="23">
        <f>C17+'fs sources from 1925'!C332</f>
        <v>1400433</v>
      </c>
      <c r="D18" s="27">
        <f t="shared" si="0"/>
        <v>0.94593814912959062</v>
      </c>
      <c r="E18" s="23">
        <f t="shared" si="1"/>
        <v>1236606</v>
      </c>
      <c r="F18" s="23">
        <f t="shared" si="2"/>
        <v>1404032</v>
      </c>
      <c r="G18" s="27">
        <f t="shared" ref="G18:G27" si="3">E18/F18</f>
        <v>0.88075343012125085</v>
      </c>
      <c r="H18" s="21"/>
    </row>
    <row r="19" spans="1:8" x14ac:dyDescent="0.2">
      <c r="A19" s="21">
        <v>2002</v>
      </c>
      <c r="B19" s="23">
        <f>B18+'fs sources from 1925'!B333</f>
        <v>1362180</v>
      </c>
      <c r="C19" s="23">
        <f>C18+'fs sources from 1925'!C333</f>
        <v>1436545</v>
      </c>
      <c r="D19" s="27">
        <f t="shared" si="0"/>
        <v>0.94823343508208935</v>
      </c>
      <c r="E19" s="23">
        <f t="shared" si="1"/>
        <v>1273682</v>
      </c>
      <c r="F19" s="23">
        <f t="shared" si="2"/>
        <v>1440144</v>
      </c>
      <c r="G19" s="27">
        <f t="shared" si="3"/>
        <v>0.88441294759412947</v>
      </c>
      <c r="H19" s="21"/>
    </row>
    <row r="20" spans="1:8" x14ac:dyDescent="0.2">
      <c r="A20" s="21">
        <v>2003</v>
      </c>
      <c r="B20" s="23">
        <f>B19+'fs sources from 1925'!B334</f>
        <v>1391510</v>
      </c>
      <c r="C20" s="23">
        <f>C19+'fs sources from 1925'!C334</f>
        <v>1465002</v>
      </c>
      <c r="D20" s="27">
        <f t="shared" si="0"/>
        <v>0.94983488077149381</v>
      </c>
      <c r="E20" s="23">
        <f t="shared" si="1"/>
        <v>1299454</v>
      </c>
      <c r="F20" s="23">
        <f t="shared" si="2"/>
        <v>1468601</v>
      </c>
      <c r="G20" s="27">
        <f t="shared" si="3"/>
        <v>0.88482440090943693</v>
      </c>
      <c r="H20" s="21"/>
    </row>
    <row r="21" spans="1:8" x14ac:dyDescent="0.2">
      <c r="A21" s="21">
        <v>2004</v>
      </c>
      <c r="B21" s="23">
        <f>B20+'fs sources from 1925'!B335</f>
        <v>1421982</v>
      </c>
      <c r="C21" s="23">
        <f>C20+'fs sources from 1925'!C335</f>
        <v>1493501</v>
      </c>
      <c r="D21" s="27">
        <f t="shared" si="0"/>
        <v>0.95211318907720854</v>
      </c>
      <c r="E21" s="23">
        <f t="shared" si="1"/>
        <v>1324027</v>
      </c>
      <c r="F21" s="23">
        <f t="shared" si="2"/>
        <v>1497100</v>
      </c>
      <c r="G21" s="27">
        <f t="shared" si="3"/>
        <v>0.88439449602564957</v>
      </c>
      <c r="H21" s="21"/>
    </row>
    <row r="22" spans="1:8" x14ac:dyDescent="0.2">
      <c r="A22" s="21">
        <v>2005</v>
      </c>
      <c r="B22" s="23">
        <f>B21+'fs sources from 1925'!B336</f>
        <v>1446827</v>
      </c>
      <c r="C22" s="23">
        <f>C21+'fs sources from 1925'!C336</f>
        <v>1522325</v>
      </c>
      <c r="D22" s="27">
        <f t="shared" si="0"/>
        <v>0.95040612221437604</v>
      </c>
      <c r="E22" s="23">
        <f t="shared" si="1"/>
        <v>1346825</v>
      </c>
      <c r="F22" s="23">
        <f t="shared" si="2"/>
        <v>1527929</v>
      </c>
      <c r="G22" s="27">
        <f t="shared" si="3"/>
        <v>0.88147093222263595</v>
      </c>
      <c r="H22" s="21"/>
    </row>
    <row r="23" spans="1:8" x14ac:dyDescent="0.2">
      <c r="A23" s="21">
        <v>2006</v>
      </c>
      <c r="B23" s="23"/>
      <c r="C23" s="23"/>
      <c r="D23" s="21"/>
      <c r="E23" s="23">
        <f t="shared" si="1"/>
        <v>1378336</v>
      </c>
      <c r="F23" s="23">
        <f t="shared" si="2"/>
        <v>1569945</v>
      </c>
      <c r="G23" s="27">
        <f t="shared" si="3"/>
        <v>0.87795177538066616</v>
      </c>
      <c r="H23" s="21"/>
    </row>
    <row r="24" spans="1:8" x14ac:dyDescent="0.2">
      <c r="A24" s="21">
        <v>2007</v>
      </c>
      <c r="B24" s="23"/>
      <c r="C24" s="23"/>
      <c r="D24" s="21"/>
      <c r="E24" s="23">
        <f t="shared" si="1"/>
        <v>1393682</v>
      </c>
      <c r="F24" s="23">
        <f t="shared" si="2"/>
        <v>1598245</v>
      </c>
      <c r="G24" s="27">
        <f t="shared" si="3"/>
        <v>0.8720077334826638</v>
      </c>
      <c r="H24" s="21"/>
    </row>
    <row r="25" spans="1:8" x14ac:dyDescent="0.2">
      <c r="A25" s="21">
        <v>2008</v>
      </c>
      <c r="B25" s="23"/>
      <c r="C25" s="23"/>
      <c r="D25" s="21"/>
      <c r="E25" s="23">
        <f t="shared" si="1"/>
        <v>1396780</v>
      </c>
      <c r="F25" s="23">
        <f t="shared" si="2"/>
        <v>1609759</v>
      </c>
      <c r="G25" s="27">
        <f t="shared" si="3"/>
        <v>0.86769510218610368</v>
      </c>
      <c r="H25" s="21"/>
    </row>
    <row r="26" spans="1:8" x14ac:dyDescent="0.2">
      <c r="A26" s="21">
        <v>2009</v>
      </c>
      <c r="B26" s="23"/>
      <c r="C26" s="23"/>
      <c r="D26" s="21"/>
      <c r="E26" s="23">
        <f t="shared" si="1"/>
        <v>1402762</v>
      </c>
      <c r="F26" s="23">
        <f t="shared" si="2"/>
        <v>1617970</v>
      </c>
      <c r="G26" s="27">
        <f t="shared" si="3"/>
        <v>0.86698888112882189</v>
      </c>
      <c r="H26" s="21"/>
    </row>
    <row r="27" spans="1:8" x14ac:dyDescent="0.2">
      <c r="A27" s="21">
        <v>2010</v>
      </c>
      <c r="B27" s="23"/>
      <c r="C27" s="23"/>
      <c r="D27" s="21"/>
      <c r="E27" s="23">
        <f t="shared" si="1"/>
        <v>1400764</v>
      </c>
      <c r="F27" s="23">
        <f t="shared" si="2"/>
        <v>1612395</v>
      </c>
      <c r="G27" s="27">
        <f t="shared" si="3"/>
        <v>0.8687474223127708</v>
      </c>
      <c r="H27" s="21"/>
    </row>
    <row r="28" spans="1:8" x14ac:dyDescent="0.2">
      <c r="A28" s="21"/>
      <c r="B28" s="21"/>
      <c r="C28" s="21"/>
      <c r="D28" s="21"/>
      <c r="E28" s="21"/>
      <c r="F28" s="21"/>
      <c r="G28" s="21"/>
      <c r="H28" s="21"/>
    </row>
    <row r="29" spans="1:8" x14ac:dyDescent="0.2">
      <c r="A29" s="21"/>
      <c r="B29" s="21"/>
      <c r="C29" s="21"/>
      <c r="D29" s="21"/>
      <c r="E29" s="21"/>
      <c r="F29" s="21"/>
      <c r="G29" s="21"/>
      <c r="H29" s="21"/>
    </row>
    <row r="30" spans="1:8" x14ac:dyDescent="0.2">
      <c r="A30" s="21"/>
      <c r="B30" s="21"/>
      <c r="C30" s="21"/>
      <c r="D30" s="21"/>
      <c r="E30" s="21"/>
      <c r="F30" s="21"/>
      <c r="G30" s="21"/>
      <c r="H30" s="21"/>
    </row>
    <row r="31" spans="1:8" x14ac:dyDescent="0.2">
      <c r="A31" s="28" t="s">
        <v>822</v>
      </c>
      <c r="B31" s="28"/>
      <c r="C31" s="28"/>
      <c r="D31" s="21"/>
      <c r="E31" s="21"/>
      <c r="F31" s="21"/>
      <c r="G31" s="21"/>
      <c r="H31" s="21"/>
    </row>
    <row r="32" spans="1:8" x14ac:dyDescent="0.2">
      <c r="A32" s="21"/>
      <c r="B32" s="21"/>
      <c r="C32" s="21"/>
      <c r="D32" s="21"/>
      <c r="E32" s="21"/>
      <c r="F32" s="21"/>
      <c r="G32" s="21"/>
      <c r="H32" s="21"/>
    </row>
    <row r="33" spans="1:10" ht="25.5" x14ac:dyDescent="0.2">
      <c r="A33" s="21"/>
      <c r="B33" s="22" t="s">
        <v>920</v>
      </c>
      <c r="C33" s="22" t="s">
        <v>821</v>
      </c>
      <c r="D33" s="22" t="s">
        <v>819</v>
      </c>
      <c r="E33" s="22" t="s">
        <v>820</v>
      </c>
      <c r="F33" s="22" t="s">
        <v>834</v>
      </c>
      <c r="G33" s="22" t="s">
        <v>826</v>
      </c>
      <c r="H33" s="22" t="s">
        <v>827</v>
      </c>
    </row>
    <row r="34" spans="1:10" x14ac:dyDescent="0.2">
      <c r="A34" s="21">
        <v>1999</v>
      </c>
      <c r="B34" s="21">
        <v>135246</v>
      </c>
      <c r="C34" s="21"/>
      <c r="D34" s="23">
        <v>3828</v>
      </c>
      <c r="E34" s="21">
        <v>0</v>
      </c>
      <c r="F34" s="21"/>
      <c r="G34" s="21"/>
      <c r="H34" s="21"/>
      <c r="J34" t="s">
        <v>837</v>
      </c>
    </row>
    <row r="35" spans="1:10" x14ac:dyDescent="0.2">
      <c r="A35" s="21">
        <v>2000</v>
      </c>
      <c r="B35" s="23">
        <f>'fs sources from 1925'!E63</f>
        <v>145416</v>
      </c>
      <c r="C35" s="23">
        <f>B35-D35-E35</f>
        <v>127454</v>
      </c>
      <c r="D35" s="23">
        <f>'fs sources from 1925'!D355</f>
        <v>15524</v>
      </c>
      <c r="E35" s="23">
        <f>'fs sources from 1925'!D386</f>
        <v>2438</v>
      </c>
      <c r="F35" s="21">
        <f>'fs sources from 1925'!M386</f>
        <v>1249</v>
      </c>
      <c r="G35" s="23">
        <f>C35+D35</f>
        <v>142978</v>
      </c>
      <c r="H35" s="23">
        <f>'fs sources from 1925'!N329+'fs sources from 1925'!V329</f>
        <v>140064</v>
      </c>
      <c r="J35" t="s">
        <v>836</v>
      </c>
    </row>
    <row r="36" spans="1:10" x14ac:dyDescent="0.2">
      <c r="A36" s="21">
        <v>2001</v>
      </c>
      <c r="B36" s="23">
        <f>'fs sources from 1925'!E64</f>
        <v>156993</v>
      </c>
      <c r="C36" s="23">
        <f t="shared" ref="C36:C45" si="4">B36-D36-E36</f>
        <v>134821</v>
      </c>
      <c r="D36" s="23">
        <f>'fs sources from 1925'!D356</f>
        <v>19251</v>
      </c>
      <c r="E36" s="23">
        <f>'fs sources from 1925'!D387</f>
        <v>2921</v>
      </c>
      <c r="F36" s="21">
        <f>'fs sources from 1925'!M387</f>
        <v>1194</v>
      </c>
      <c r="G36" s="23">
        <f t="shared" ref="G36:G45" si="5">C36+D36</f>
        <v>154072</v>
      </c>
      <c r="H36" s="23">
        <f>'fs sources from 1925'!N330+'fs sources from 1925'!V330</f>
        <v>149852</v>
      </c>
    </row>
    <row r="37" spans="1:10" x14ac:dyDescent="0.2">
      <c r="A37" s="21">
        <v>2002</v>
      </c>
      <c r="B37" s="23">
        <f>'fs sources from 1925'!E65</f>
        <v>163528</v>
      </c>
      <c r="C37" s="23">
        <f t="shared" si="4"/>
        <v>139877</v>
      </c>
      <c r="D37" s="23">
        <f>'fs sources from 1925'!D357</f>
        <v>20274</v>
      </c>
      <c r="E37" s="23">
        <f>'fs sources from 1925'!D388</f>
        <v>3377</v>
      </c>
      <c r="F37" s="21"/>
      <c r="G37" s="23">
        <f t="shared" si="5"/>
        <v>160151</v>
      </c>
      <c r="H37" s="23">
        <f>'fs sources from 1925'!N331+'fs sources from 1925'!V331</f>
        <v>158216</v>
      </c>
    </row>
    <row r="38" spans="1:10" x14ac:dyDescent="0.2">
      <c r="A38" s="21">
        <v>2003</v>
      </c>
      <c r="B38" s="23">
        <f>'fs sources from 1925'!E66</f>
        <v>173059</v>
      </c>
      <c r="C38" s="23">
        <f t="shared" si="4"/>
        <v>147916</v>
      </c>
      <c r="D38" s="23">
        <f>'fs sources from 1925'!D358</f>
        <v>21865</v>
      </c>
      <c r="E38" s="23">
        <f>'fs sources from 1925'!D389</f>
        <v>3278</v>
      </c>
      <c r="F38" s="21"/>
      <c r="G38" s="23">
        <f t="shared" si="5"/>
        <v>169781</v>
      </c>
      <c r="H38" s="23">
        <f>'fs sources from 1925'!N332+'fs sources from 1925'!V332</f>
        <v>168144</v>
      </c>
    </row>
    <row r="39" spans="1:10" x14ac:dyDescent="0.2">
      <c r="A39" s="21">
        <v>2004</v>
      </c>
      <c r="B39" s="23">
        <f>'fs sources from 1925'!E67</f>
        <v>180328</v>
      </c>
      <c r="C39" s="23">
        <f t="shared" si="4"/>
        <v>154361</v>
      </c>
      <c r="D39" s="23">
        <f>'fs sources from 1925'!D359</f>
        <v>24768</v>
      </c>
      <c r="E39" s="23">
        <f>'fs sources from 1925'!D390</f>
        <v>1199</v>
      </c>
      <c r="F39" s="21"/>
      <c r="G39" s="23">
        <f t="shared" si="5"/>
        <v>179129</v>
      </c>
      <c r="H39" s="23">
        <f>'fs sources from 1925'!N333+'fs sources from 1925'!V333</f>
        <v>177600</v>
      </c>
    </row>
    <row r="40" spans="1:10" x14ac:dyDescent="0.2">
      <c r="A40" s="21">
        <v>2005</v>
      </c>
      <c r="B40" s="23">
        <f>'fs sources from 1925'!E68</f>
        <v>187618</v>
      </c>
      <c r="C40" s="23">
        <f t="shared" si="4"/>
        <v>159528</v>
      </c>
      <c r="D40" s="23">
        <f>'fs sources from 1925'!D360</f>
        <v>27046</v>
      </c>
      <c r="E40" s="23">
        <f>'fs sources from 1925'!D391</f>
        <v>1044</v>
      </c>
      <c r="F40" s="21"/>
      <c r="G40" s="23">
        <f t="shared" si="5"/>
        <v>186574</v>
      </c>
      <c r="H40" s="23">
        <f>'fs sources from 1925'!N334+'fs sources from 1925'!V334</f>
        <v>186364</v>
      </c>
    </row>
    <row r="41" spans="1:10" x14ac:dyDescent="0.2">
      <c r="A41" s="21">
        <v>2006</v>
      </c>
      <c r="B41" s="23">
        <f>'fs sources from 1925'!E69</f>
        <v>193046</v>
      </c>
      <c r="C41" s="23">
        <f t="shared" si="4"/>
        <v>163310</v>
      </c>
      <c r="D41" s="23">
        <f>'fs sources from 1925'!D361</f>
        <v>27726</v>
      </c>
      <c r="E41" s="23">
        <f>'fs sources from 1925'!D392</f>
        <v>2010</v>
      </c>
      <c r="F41" s="21"/>
      <c r="G41" s="23">
        <f t="shared" si="5"/>
        <v>191036</v>
      </c>
      <c r="H41" s="21"/>
    </row>
    <row r="42" spans="1:10" x14ac:dyDescent="0.2">
      <c r="A42" s="21">
        <v>2007</v>
      </c>
      <c r="B42" s="23">
        <f>'fs sources from 1925'!E70</f>
        <v>199618</v>
      </c>
      <c r="C42" s="23">
        <f t="shared" si="4"/>
        <v>166164</v>
      </c>
      <c r="D42" s="23">
        <f>'fs sources from 1925'!D362</f>
        <v>31310</v>
      </c>
      <c r="E42" s="23">
        <f>'fs sources from 1925'!D393</f>
        <v>2144</v>
      </c>
      <c r="F42" s="21"/>
      <c r="G42" s="23">
        <f t="shared" si="5"/>
        <v>197474</v>
      </c>
      <c r="H42" s="21"/>
    </row>
    <row r="43" spans="1:10" x14ac:dyDescent="0.2">
      <c r="A43" s="21">
        <v>2008</v>
      </c>
      <c r="B43" s="23">
        <f>'fs sources from 1925'!E71</f>
        <v>201280</v>
      </c>
      <c r="C43" s="23">
        <f t="shared" si="4"/>
        <v>165380</v>
      </c>
      <c r="D43" s="23">
        <f>'fs sources from 1925'!D363</f>
        <v>33162</v>
      </c>
      <c r="E43" s="23">
        <f>'fs sources from 1925'!D394</f>
        <v>2738</v>
      </c>
      <c r="F43" s="21"/>
      <c r="G43" s="23">
        <f t="shared" si="5"/>
        <v>198542</v>
      </c>
      <c r="H43" s="21"/>
    </row>
    <row r="44" spans="1:10" x14ac:dyDescent="0.2">
      <c r="A44" s="21">
        <v>2009</v>
      </c>
      <c r="B44" s="23">
        <f>'fs sources from 1925'!E72</f>
        <v>208118</v>
      </c>
      <c r="C44" s="23">
        <f t="shared" si="4"/>
        <v>171135</v>
      </c>
      <c r="D44" s="23">
        <f>'fs sources from 1925'!D364</f>
        <v>34087</v>
      </c>
      <c r="E44" s="23">
        <f>'fs sources from 1925'!D395</f>
        <v>2896</v>
      </c>
      <c r="F44" s="21"/>
      <c r="G44" s="23">
        <f t="shared" si="5"/>
        <v>205222</v>
      </c>
      <c r="H44" s="21"/>
    </row>
    <row r="45" spans="1:10" x14ac:dyDescent="0.2">
      <c r="A45" s="21">
        <v>2010</v>
      </c>
      <c r="B45" s="23">
        <f>'fs sources from 1925'!E73</f>
        <v>209771</v>
      </c>
      <c r="C45" s="23">
        <f t="shared" si="4"/>
        <v>173280</v>
      </c>
      <c r="D45" s="23">
        <f>'fs sources from 1925'!D365</f>
        <v>33830</v>
      </c>
      <c r="E45" s="23">
        <f>'fs sources from 1925'!D396</f>
        <v>2661</v>
      </c>
      <c r="F45" s="21"/>
      <c r="G45" s="23">
        <f t="shared" si="5"/>
        <v>207110</v>
      </c>
      <c r="H45" s="21"/>
    </row>
    <row r="46" spans="1:10" x14ac:dyDescent="0.2">
      <c r="A46" s="21"/>
      <c r="B46" s="21"/>
      <c r="C46" s="21"/>
      <c r="D46" s="21"/>
      <c r="E46" s="21"/>
      <c r="F46" s="21"/>
      <c r="G46" s="21"/>
      <c r="H46" s="21"/>
    </row>
    <row r="47" spans="1:10" x14ac:dyDescent="0.2">
      <c r="A47" s="21"/>
      <c r="B47" s="21"/>
      <c r="C47" s="21"/>
      <c r="D47" s="21"/>
      <c r="E47" s="21"/>
      <c r="F47" s="21"/>
      <c r="G47" s="21"/>
      <c r="H47" s="21"/>
    </row>
    <row r="48" spans="1:10" x14ac:dyDescent="0.2">
      <c r="A48" s="28" t="s">
        <v>823</v>
      </c>
      <c r="B48" s="28"/>
      <c r="C48" s="28"/>
      <c r="D48" s="21"/>
      <c r="E48" s="21"/>
      <c r="F48" s="21"/>
      <c r="G48" s="21"/>
      <c r="H48" s="21"/>
    </row>
    <row r="49" spans="1:10" x14ac:dyDescent="0.2">
      <c r="A49" s="21"/>
      <c r="B49" s="21"/>
      <c r="C49" s="21"/>
      <c r="D49" s="21"/>
      <c r="E49" s="21"/>
      <c r="F49" s="21"/>
      <c r="G49" s="21"/>
      <c r="H49" s="21"/>
    </row>
    <row r="50" spans="1:10" ht="25.5" x14ac:dyDescent="0.2">
      <c r="A50" s="21"/>
      <c r="B50" s="22" t="s">
        <v>920</v>
      </c>
      <c r="C50" s="22" t="s">
        <v>824</v>
      </c>
      <c r="D50" s="22" t="s">
        <v>819</v>
      </c>
      <c r="E50" s="22" t="s">
        <v>820</v>
      </c>
      <c r="F50" s="22" t="s">
        <v>838</v>
      </c>
      <c r="G50" s="22" t="s">
        <v>825</v>
      </c>
      <c r="H50" s="22" t="s">
        <v>827</v>
      </c>
      <c r="J50" t="s">
        <v>37</v>
      </c>
    </row>
    <row r="51" spans="1:10" x14ac:dyDescent="0.2">
      <c r="A51" s="21">
        <v>1999</v>
      </c>
      <c r="B51" s="21">
        <v>1228455</v>
      </c>
      <c r="C51" s="23">
        <f>B51-D51-E51-F51</f>
        <v>1090488</v>
      </c>
      <c r="D51" s="23">
        <v>67380</v>
      </c>
      <c r="E51" s="23">
        <v>63635</v>
      </c>
      <c r="F51" s="23">
        <f>'fs sources from 1925'!N385</f>
        <v>6952</v>
      </c>
      <c r="G51" s="23">
        <f>C51+D51</f>
        <v>1157868</v>
      </c>
      <c r="H51" s="21"/>
      <c r="J51" t="s">
        <v>835</v>
      </c>
    </row>
    <row r="52" spans="1:10" x14ac:dyDescent="0.2">
      <c r="A52" s="21">
        <v>2000</v>
      </c>
      <c r="B52" s="23">
        <f>'fs sources from 1925'!G63</f>
        <v>1245845</v>
      </c>
      <c r="C52" s="23">
        <f t="shared" ref="C52:C62" si="6">B52-D52-E52-F52</f>
        <v>1107304</v>
      </c>
      <c r="D52" s="23">
        <f>'fs sources from 1925'!F355</f>
        <v>71845</v>
      </c>
      <c r="E52" s="23">
        <f>'fs sources from 1925'!F386</f>
        <v>60702</v>
      </c>
      <c r="F52" s="23">
        <f>'fs sources from 1925'!N386</f>
        <v>5994</v>
      </c>
      <c r="G52" s="23">
        <f>C52+D52</f>
        <v>1179149</v>
      </c>
      <c r="H52" s="23">
        <f>'fs sources from 1925'!P329</f>
        <v>1176269</v>
      </c>
      <c r="J52" t="s">
        <v>839</v>
      </c>
    </row>
    <row r="53" spans="1:10" x14ac:dyDescent="0.2">
      <c r="A53" s="21">
        <v>2001</v>
      </c>
      <c r="B53" s="23">
        <f>'fs sources from 1925'!G64</f>
        <v>1247039</v>
      </c>
      <c r="C53" s="23">
        <f t="shared" si="6"/>
        <v>1101785</v>
      </c>
      <c r="D53" s="23">
        <f>'fs sources from 1925'!F356</f>
        <v>72577</v>
      </c>
      <c r="E53" s="23">
        <f>'fs sources from 1925'!F387</f>
        <v>67760</v>
      </c>
      <c r="F53" s="23">
        <f>'fs sources from 1925'!N387</f>
        <v>4917</v>
      </c>
      <c r="G53" s="23">
        <f t="shared" ref="G53:G62" si="7">C53+D53</f>
        <v>1174362</v>
      </c>
      <c r="H53" s="23">
        <f>'fs sources from 1925'!P330</f>
        <v>1180155</v>
      </c>
    </row>
    <row r="54" spans="1:10" x14ac:dyDescent="0.2">
      <c r="A54" s="21">
        <v>2002</v>
      </c>
      <c r="B54" s="23">
        <f>'fs sources from 1925'!G65</f>
        <v>1276616</v>
      </c>
      <c r="C54" s="23">
        <f t="shared" si="6"/>
        <v>1133805</v>
      </c>
      <c r="D54" s="23">
        <f>'fs sources from 1925'!F357</f>
        <v>73638</v>
      </c>
      <c r="E54" s="23">
        <f>'fs sources from 1925'!F388</f>
        <v>69173</v>
      </c>
      <c r="F54" s="23"/>
      <c r="G54" s="23">
        <f t="shared" si="7"/>
        <v>1207443</v>
      </c>
      <c r="H54" s="23">
        <f>'fs sources from 1925'!P331</f>
        <v>1209331</v>
      </c>
    </row>
    <row r="55" spans="1:10" x14ac:dyDescent="0.2">
      <c r="A55" s="21">
        <v>2003</v>
      </c>
      <c r="B55" s="23">
        <f>'fs sources from 1925'!G66</f>
        <v>1295542</v>
      </c>
      <c r="C55" s="23">
        <f t="shared" si="6"/>
        <v>1151538</v>
      </c>
      <c r="D55" s="23">
        <f>'fs sources from 1925'!F358</f>
        <v>73842</v>
      </c>
      <c r="E55" s="23">
        <f>'fs sources from 1925'!F389</f>
        <v>70162</v>
      </c>
      <c r="F55" s="21"/>
      <c r="G55" s="23">
        <f t="shared" si="7"/>
        <v>1225380</v>
      </c>
      <c r="H55" s="23">
        <f>'fs sources from 1925'!P332</f>
        <v>1222135</v>
      </c>
    </row>
    <row r="56" spans="1:10" x14ac:dyDescent="0.2">
      <c r="A56" s="21">
        <v>2004</v>
      </c>
      <c r="B56" s="23">
        <f>'fs sources from 1925'!G67</f>
        <v>1316772</v>
      </c>
      <c r="C56" s="23">
        <f t="shared" si="6"/>
        <v>1169666</v>
      </c>
      <c r="D56" s="23">
        <f>'fs sources from 1925'!F359</f>
        <v>73860</v>
      </c>
      <c r="E56" s="23">
        <f>'fs sources from 1925'!F390</f>
        <v>73246</v>
      </c>
      <c r="F56" s="21"/>
      <c r="G56" s="23">
        <f t="shared" si="7"/>
        <v>1243526</v>
      </c>
      <c r="H56" s="23">
        <f>'fs sources from 1925'!P333</f>
        <v>1243745</v>
      </c>
    </row>
    <row r="57" spans="1:10" x14ac:dyDescent="0.2">
      <c r="A57" s="21">
        <v>2005</v>
      </c>
      <c r="B57" s="23">
        <f>'fs sources from 1925'!G68</f>
        <v>1340311</v>
      </c>
      <c r="C57" s="23">
        <f t="shared" si="6"/>
        <v>1187297</v>
      </c>
      <c r="D57" s="23">
        <f>'fs sources from 1925'!F360</f>
        <v>80894</v>
      </c>
      <c r="E57" s="23">
        <f>'fs sources from 1925'!F391</f>
        <v>72120</v>
      </c>
      <c r="F57" s="21"/>
      <c r="G57" s="23">
        <f t="shared" si="7"/>
        <v>1268191</v>
      </c>
      <c r="H57" s="23">
        <f>'fs sources from 1925'!P334</f>
        <v>1259905</v>
      </c>
    </row>
    <row r="58" spans="1:10" x14ac:dyDescent="0.2">
      <c r="A58" s="21">
        <v>2006</v>
      </c>
      <c r="B58" s="23">
        <f>'fs sources from 1925'!G69</f>
        <v>1376899</v>
      </c>
      <c r="C58" s="23">
        <f t="shared" si="6"/>
        <v>1215026</v>
      </c>
      <c r="D58" s="23">
        <f>'fs sources from 1925'!F361</f>
        <v>85971</v>
      </c>
      <c r="E58" s="23">
        <f>'fs sources from 1925'!F392</f>
        <v>75902</v>
      </c>
      <c r="F58" s="21"/>
      <c r="G58" s="23">
        <f t="shared" si="7"/>
        <v>1300997</v>
      </c>
      <c r="H58" s="21"/>
    </row>
    <row r="59" spans="1:10" x14ac:dyDescent="0.2">
      <c r="A59" s="21">
        <v>2007</v>
      </c>
      <c r="B59" s="23">
        <f>'fs sources from 1925'!G70</f>
        <v>1398627</v>
      </c>
      <c r="C59" s="23">
        <f t="shared" si="6"/>
        <v>1227518</v>
      </c>
      <c r="D59" s="23">
        <f>'fs sources from 1925'!F362</f>
        <v>92632</v>
      </c>
      <c r="E59" s="23">
        <f>'fs sources from 1925'!F393</f>
        <v>78477</v>
      </c>
      <c r="F59" s="21"/>
      <c r="G59" s="23">
        <f t="shared" si="7"/>
        <v>1320150</v>
      </c>
      <c r="H59" s="21"/>
    </row>
    <row r="60" spans="1:10" x14ac:dyDescent="0.2">
      <c r="A60" s="21">
        <v>2008</v>
      </c>
      <c r="B60" s="23">
        <f>'fs sources from 1925'!G71</f>
        <v>1408479</v>
      </c>
      <c r="C60" s="23">
        <f t="shared" si="6"/>
        <v>1231400</v>
      </c>
      <c r="D60" s="23">
        <f>'fs sources from 1925'!F363</f>
        <v>96320</v>
      </c>
      <c r="E60" s="23">
        <f>'fs sources from 1925'!F394</f>
        <v>80759</v>
      </c>
      <c r="F60" s="21"/>
      <c r="G60" s="23">
        <f t="shared" si="7"/>
        <v>1327720</v>
      </c>
      <c r="H60" s="21"/>
    </row>
    <row r="61" spans="1:10" x14ac:dyDescent="0.2">
      <c r="A61" s="21">
        <v>2009</v>
      </c>
      <c r="B61" s="23">
        <f>'fs sources from 1925'!G72</f>
        <v>1409852</v>
      </c>
      <c r="C61" s="23">
        <f t="shared" si="6"/>
        <v>1231627</v>
      </c>
      <c r="D61" s="23">
        <f>'fs sources from 1925'!F364</f>
        <v>95246</v>
      </c>
      <c r="E61" s="23">
        <f>'fs sources from 1925'!F395</f>
        <v>82979</v>
      </c>
      <c r="F61" s="21"/>
      <c r="G61" s="23">
        <f t="shared" si="7"/>
        <v>1326873</v>
      </c>
      <c r="H61" s="21"/>
    </row>
    <row r="62" spans="1:10" x14ac:dyDescent="0.2">
      <c r="A62" s="21">
        <v>2010</v>
      </c>
      <c r="B62" s="23">
        <f>'fs sources from 1925'!G73</f>
        <v>1402624</v>
      </c>
      <c r="C62" s="23">
        <f t="shared" si="6"/>
        <v>1227484</v>
      </c>
      <c r="D62" s="23">
        <f>'fs sources from 1925'!F365</f>
        <v>94365</v>
      </c>
      <c r="E62" s="23">
        <f>'fs sources from 1925'!F396</f>
        <v>80775</v>
      </c>
      <c r="F62" s="21"/>
      <c r="G62" s="23">
        <f t="shared" si="7"/>
        <v>1321849</v>
      </c>
      <c r="H62" s="21"/>
    </row>
    <row r="63" spans="1:10" x14ac:dyDescent="0.2">
      <c r="A63" s="21"/>
      <c r="B63" s="21"/>
      <c r="C63" s="21"/>
      <c r="D63" s="21"/>
      <c r="E63" s="21"/>
      <c r="F63" s="21"/>
      <c r="G63" s="21"/>
      <c r="H63" s="21"/>
    </row>
    <row r="64" spans="1:10" x14ac:dyDescent="0.2">
      <c r="A64" s="21"/>
      <c r="B64" s="21"/>
      <c r="C64" s="21"/>
      <c r="D64" s="21"/>
      <c r="E64" s="21"/>
      <c r="F64" s="21"/>
      <c r="G64" s="21"/>
      <c r="H64" s="21"/>
    </row>
    <row r="65" spans="1:10" x14ac:dyDescent="0.2">
      <c r="A65" s="21"/>
      <c r="B65" s="21"/>
      <c r="C65" s="21"/>
      <c r="D65" s="21"/>
      <c r="E65" s="21"/>
      <c r="F65" s="21"/>
      <c r="G65" s="21"/>
      <c r="H65" s="21"/>
    </row>
    <row r="66" spans="1:10" x14ac:dyDescent="0.2">
      <c r="A66" s="28" t="s">
        <v>910</v>
      </c>
      <c r="B66" s="28"/>
      <c r="C66" s="28"/>
      <c r="D66" s="28"/>
      <c r="E66" s="28"/>
      <c r="F66" s="28"/>
      <c r="G66" s="21"/>
      <c r="H66" s="21"/>
    </row>
    <row r="67" spans="1:10" x14ac:dyDescent="0.2">
      <c r="A67" s="21" t="s">
        <v>911</v>
      </c>
      <c r="B67" s="21"/>
      <c r="C67" s="21"/>
      <c r="D67" s="21"/>
      <c r="E67" s="21"/>
      <c r="F67" s="21"/>
      <c r="G67" s="21"/>
      <c r="H67" s="21"/>
    </row>
    <row r="68" spans="1:10" x14ac:dyDescent="0.2">
      <c r="A68" s="21" t="s">
        <v>35</v>
      </c>
      <c r="B68" s="21" t="s">
        <v>915</v>
      </c>
      <c r="C68" s="21" t="s">
        <v>916</v>
      </c>
      <c r="D68" s="21" t="s">
        <v>38</v>
      </c>
      <c r="E68" s="21" t="s">
        <v>920</v>
      </c>
      <c r="F68" s="21" t="s">
        <v>840</v>
      </c>
      <c r="G68" s="21"/>
      <c r="H68" s="21"/>
    </row>
    <row r="69" spans="1:10" x14ac:dyDescent="0.2">
      <c r="A69" s="21">
        <v>1977</v>
      </c>
      <c r="B69" s="23">
        <v>6944</v>
      </c>
      <c r="C69" s="23">
        <v>104</v>
      </c>
      <c r="D69" s="24">
        <f>B69/C69</f>
        <v>66.769230769230774</v>
      </c>
      <c r="E69" s="23">
        <f>B69+C69</f>
        <v>7048</v>
      </c>
      <c r="F69" s="23"/>
      <c r="G69" s="21"/>
      <c r="H69" s="21"/>
      <c r="J69" t="s">
        <v>772</v>
      </c>
    </row>
    <row r="70" spans="1:10" x14ac:dyDescent="0.2">
      <c r="A70" s="21">
        <v>1978</v>
      </c>
      <c r="B70" s="23">
        <v>6618</v>
      </c>
      <c r="C70" s="23">
        <v>156</v>
      </c>
      <c r="D70" s="24">
        <f>B70/C70</f>
        <v>42.42307692307692</v>
      </c>
      <c r="E70" s="23">
        <f>B70+C70</f>
        <v>6774</v>
      </c>
      <c r="F70" s="23"/>
      <c r="G70" s="21"/>
      <c r="H70" s="21"/>
      <c r="J70" t="s">
        <v>575</v>
      </c>
    </row>
    <row r="71" spans="1:10" x14ac:dyDescent="0.2">
      <c r="A71" s="21">
        <v>1979</v>
      </c>
      <c r="B71" s="23">
        <v>6318</v>
      </c>
      <c r="C71" s="23">
        <v>179</v>
      </c>
      <c r="D71" s="24">
        <f>B71/C71</f>
        <v>35.296089385474858</v>
      </c>
      <c r="E71" s="23">
        <f>B71+C71</f>
        <v>6497</v>
      </c>
      <c r="F71" s="23"/>
      <c r="G71" s="21"/>
      <c r="H71" s="21"/>
      <c r="J71" s="1" t="s">
        <v>908</v>
      </c>
    </row>
    <row r="72" spans="1:10" x14ac:dyDescent="0.2">
      <c r="A72" s="21">
        <v>1980</v>
      </c>
      <c r="B72" s="23">
        <v>6229</v>
      </c>
      <c r="C72" s="23">
        <v>131</v>
      </c>
      <c r="D72" s="24">
        <f>B72/C72</f>
        <v>47.549618320610683</v>
      </c>
      <c r="E72" s="23">
        <f>B72+C72</f>
        <v>6360</v>
      </c>
      <c r="F72" s="23"/>
      <c r="G72" s="21"/>
      <c r="H72" s="21"/>
    </row>
    <row r="73" spans="1:10" x14ac:dyDescent="0.2">
      <c r="A73" s="21">
        <v>1981</v>
      </c>
      <c r="B73" s="23"/>
      <c r="C73" s="23"/>
      <c r="D73" s="21"/>
      <c r="E73" s="23"/>
      <c r="F73" s="21"/>
      <c r="G73" s="21"/>
      <c r="H73" s="21"/>
    </row>
    <row r="74" spans="1:10" x14ac:dyDescent="0.2">
      <c r="A74" s="21">
        <v>1982</v>
      </c>
      <c r="B74" s="23">
        <v>8350</v>
      </c>
      <c r="C74" s="23">
        <v>339</v>
      </c>
      <c r="D74" s="24">
        <f>B74/C74</f>
        <v>24.631268436578171</v>
      </c>
      <c r="E74" s="23">
        <f>B74+C74</f>
        <v>8689</v>
      </c>
      <c r="F74" s="23"/>
      <c r="G74" s="21"/>
      <c r="H74" s="21"/>
    </row>
    <row r="75" spans="1:10" x14ac:dyDescent="0.2">
      <c r="A75" s="21">
        <v>1983</v>
      </c>
      <c r="B75" s="23">
        <v>8605</v>
      </c>
      <c r="C75" s="23">
        <v>442</v>
      </c>
      <c r="D75" s="24">
        <f>B75/C75</f>
        <v>19.468325791855204</v>
      </c>
      <c r="E75" s="23">
        <f>B75+C75</f>
        <v>9047</v>
      </c>
      <c r="F75" s="23"/>
      <c r="G75" s="21"/>
      <c r="H75" s="21"/>
    </row>
    <row r="76" spans="1:10" x14ac:dyDescent="0.2">
      <c r="A76" s="21">
        <v>1984</v>
      </c>
      <c r="B76" s="23">
        <v>10872</v>
      </c>
      <c r="C76" s="23">
        <v>622</v>
      </c>
      <c r="D76" s="24">
        <f>B76/C76</f>
        <v>17.479099678456592</v>
      </c>
      <c r="E76" s="23">
        <f>B76+C76</f>
        <v>11494</v>
      </c>
      <c r="F76" s="23"/>
      <c r="G76" s="21"/>
      <c r="H76" s="21"/>
    </row>
    <row r="77" spans="1:10" x14ac:dyDescent="0.2">
      <c r="A77" s="21">
        <v>1985</v>
      </c>
      <c r="B77" s="23">
        <v>9593</v>
      </c>
      <c r="C77" s="23">
        <v>576</v>
      </c>
      <c r="D77" s="24">
        <f>B77/C77</f>
        <v>16.654513888888889</v>
      </c>
      <c r="E77" s="23">
        <f>B77+C77</f>
        <v>10169</v>
      </c>
      <c r="F77" s="23"/>
      <c r="G77" s="21"/>
      <c r="H77" s="21"/>
    </row>
    <row r="78" spans="1:10" x14ac:dyDescent="0.2">
      <c r="A78" s="21">
        <v>1986</v>
      </c>
      <c r="B78" s="23"/>
      <c r="C78" s="23"/>
      <c r="D78" s="21"/>
      <c r="E78" s="23">
        <v>13770</v>
      </c>
      <c r="F78" s="23"/>
      <c r="G78" s="21"/>
      <c r="H78" s="21"/>
    </row>
    <row r="79" spans="1:10" x14ac:dyDescent="0.2">
      <c r="A79" s="21">
        <v>1987</v>
      </c>
      <c r="B79" s="23"/>
      <c r="C79" s="23"/>
      <c r="D79" s="21"/>
      <c r="E79" s="23">
        <v>12078</v>
      </c>
      <c r="F79" s="23"/>
      <c r="G79" s="21"/>
      <c r="H79" s="21"/>
    </row>
    <row r="80" spans="1:10" x14ac:dyDescent="0.2">
      <c r="A80" s="21">
        <v>1988</v>
      </c>
      <c r="B80" s="23"/>
      <c r="C80" s="23"/>
      <c r="D80" s="21"/>
      <c r="E80" s="23">
        <v>14314</v>
      </c>
      <c r="F80" s="23"/>
      <c r="G80" s="21"/>
      <c r="H80" s="21"/>
    </row>
    <row r="81" spans="1:8" x14ac:dyDescent="0.2">
      <c r="A81" s="21">
        <v>1989</v>
      </c>
      <c r="B81" s="23"/>
      <c r="C81" s="23"/>
      <c r="D81" s="21"/>
      <c r="E81" s="23">
        <v>18236</v>
      </c>
      <c r="F81" s="23">
        <v>19074</v>
      </c>
      <c r="G81" s="21"/>
      <c r="H81" s="21"/>
    </row>
    <row r="82" spans="1:8" x14ac:dyDescent="0.2">
      <c r="A82" s="21">
        <v>1990</v>
      </c>
      <c r="B82" s="23"/>
      <c r="C82" s="23"/>
      <c r="D82" s="21"/>
      <c r="E82" s="23">
        <v>18380</v>
      </c>
      <c r="F82" s="23">
        <v>17574</v>
      </c>
      <c r="G82" s="21"/>
      <c r="H82" s="21"/>
    </row>
    <row r="83" spans="1:8" x14ac:dyDescent="0.2">
      <c r="A83" s="21">
        <v>1991</v>
      </c>
      <c r="B83" s="23"/>
      <c r="C83" s="23"/>
      <c r="D83" s="21"/>
      <c r="E83" s="23">
        <v>12225</v>
      </c>
      <c r="F83" s="23">
        <v>18304</v>
      </c>
      <c r="G83" s="21" t="s">
        <v>909</v>
      </c>
      <c r="H83" s="21"/>
    </row>
    <row r="84" spans="1:8" x14ac:dyDescent="0.2">
      <c r="A84" s="21">
        <v>1992</v>
      </c>
      <c r="B84" s="23"/>
      <c r="C84" s="23"/>
      <c r="D84" s="21"/>
      <c r="E84" s="23">
        <v>18191</v>
      </c>
      <c r="F84" s="23">
        <v>38006</v>
      </c>
      <c r="G84" s="21"/>
      <c r="H84" s="21"/>
    </row>
    <row r="85" spans="1:8" x14ac:dyDescent="0.2">
      <c r="A85" s="21">
        <v>1993</v>
      </c>
      <c r="B85" s="23"/>
      <c r="C85" s="23"/>
      <c r="D85" s="21"/>
      <c r="E85" s="23">
        <v>50966</v>
      </c>
      <c r="F85" s="23">
        <v>50966</v>
      </c>
      <c r="G85" s="21"/>
      <c r="H85" s="21"/>
    </row>
    <row r="86" spans="1:8" x14ac:dyDescent="0.2">
      <c r="A86" s="21">
        <v>1994</v>
      </c>
      <c r="B86" s="23"/>
      <c r="C86" s="23"/>
      <c r="D86" s="21"/>
      <c r="E86" s="23">
        <v>48949</v>
      </c>
      <c r="F86" s="23">
        <v>45618</v>
      </c>
      <c r="G86" s="21"/>
      <c r="H86" s="21"/>
    </row>
    <row r="87" spans="1:8" x14ac:dyDescent="0.2">
      <c r="A87" s="21">
        <v>1995</v>
      </c>
      <c r="B87" s="23"/>
      <c r="C87" s="23"/>
      <c r="D87" s="21"/>
      <c r="E87" s="23">
        <v>32739</v>
      </c>
      <c r="F87" s="23">
        <v>27858</v>
      </c>
      <c r="G87" s="21"/>
      <c r="H87" s="21"/>
    </row>
    <row r="88" spans="1:8" x14ac:dyDescent="0.2">
      <c r="A88" s="21">
        <v>1996</v>
      </c>
      <c r="B88" s="23"/>
      <c r="C88" s="23"/>
      <c r="D88" s="21"/>
      <c r="E88" s="23">
        <v>31508</v>
      </c>
      <c r="F88" s="23">
        <v>30741</v>
      </c>
      <c r="G88" s="21"/>
      <c r="H88" s="21"/>
    </row>
    <row r="89" spans="1:8" x14ac:dyDescent="0.2">
      <c r="A89" s="21">
        <v>1997</v>
      </c>
      <c r="B89" s="23"/>
      <c r="C89" s="23"/>
      <c r="D89" s="21"/>
      <c r="E89" s="23">
        <v>33736</v>
      </c>
      <c r="F89" s="23">
        <v>22941</v>
      </c>
      <c r="G89" s="21"/>
      <c r="H89" s="21"/>
    </row>
    <row r="90" spans="1:8" x14ac:dyDescent="0.2">
      <c r="A90" s="21">
        <v>1998</v>
      </c>
      <c r="B90" s="23"/>
      <c r="C90" s="23"/>
      <c r="D90" s="21"/>
      <c r="E90" s="23">
        <v>24925</v>
      </c>
      <c r="F90" s="23"/>
      <c r="G90" s="21"/>
      <c r="H90" s="21"/>
    </row>
  </sheetData>
  <mergeCells count="5">
    <mergeCell ref="A1:G1"/>
    <mergeCell ref="A66:F66"/>
    <mergeCell ref="A48:C48"/>
    <mergeCell ref="A31:C31"/>
    <mergeCell ref="A4:C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"/>
  <sheetViews>
    <sheetView workbookViewId="0">
      <selection sqref="A1:H1"/>
    </sheetView>
  </sheetViews>
  <sheetFormatPr defaultRowHeight="12.75" x14ac:dyDescent="0.2"/>
  <cols>
    <col min="10" max="10" width="3.140625" customWidth="1"/>
    <col min="11" max="11" width="36.85546875" customWidth="1"/>
  </cols>
  <sheetData>
    <row r="1" spans="1:11" x14ac:dyDescent="0.2">
      <c r="A1" s="30" t="s">
        <v>1206</v>
      </c>
      <c r="B1" s="30"/>
      <c r="C1" s="30"/>
      <c r="D1" s="30"/>
      <c r="E1" s="30"/>
      <c r="F1" s="30"/>
      <c r="G1" s="30"/>
      <c r="H1" s="30"/>
      <c r="K1" t="s">
        <v>1332</v>
      </c>
    </row>
    <row r="2" spans="1:11" x14ac:dyDescent="0.2">
      <c r="K2" t="s">
        <v>1333</v>
      </c>
    </row>
    <row r="3" spans="1:11" x14ac:dyDescent="0.2">
      <c r="A3" t="s">
        <v>1207</v>
      </c>
      <c r="K3" t="s">
        <v>1334</v>
      </c>
    </row>
    <row r="4" spans="1:11" x14ac:dyDescent="0.2">
      <c r="A4" t="s">
        <v>1208</v>
      </c>
    </row>
    <row r="5" spans="1:11" x14ac:dyDescent="0.2">
      <c r="A5" t="s">
        <v>1209</v>
      </c>
    </row>
    <row r="6" spans="1:11" x14ac:dyDescent="0.2">
      <c r="A6" t="s">
        <v>1210</v>
      </c>
    </row>
    <row r="10" spans="1:11" x14ac:dyDescent="0.2">
      <c r="A10" t="s">
        <v>1017</v>
      </c>
      <c r="B10" t="s">
        <v>1211</v>
      </c>
      <c r="C10" t="s">
        <v>1212</v>
      </c>
      <c r="E10" t="s">
        <v>9</v>
      </c>
      <c r="F10" t="s">
        <v>10</v>
      </c>
      <c r="H10" t="s">
        <v>20</v>
      </c>
      <c r="I10" t="s">
        <v>21</v>
      </c>
    </row>
    <row r="12" spans="1:11" x14ac:dyDescent="0.2">
      <c r="A12" t="s">
        <v>929</v>
      </c>
      <c r="B12">
        <v>91669</v>
      </c>
      <c r="C12">
        <v>79</v>
      </c>
      <c r="E12" t="s">
        <v>1213</v>
      </c>
      <c r="F12" t="s">
        <v>1213</v>
      </c>
      <c r="H12">
        <v>88231</v>
      </c>
      <c r="I12">
        <v>3438</v>
      </c>
    </row>
    <row r="13" spans="1:11" x14ac:dyDescent="0.2">
      <c r="A13" t="s">
        <v>930</v>
      </c>
      <c r="B13">
        <v>97991</v>
      </c>
      <c r="C13">
        <v>83</v>
      </c>
      <c r="E13">
        <v>6803</v>
      </c>
      <c r="F13">
        <v>89322</v>
      </c>
      <c r="H13">
        <v>94287</v>
      </c>
      <c r="I13">
        <v>3704</v>
      </c>
    </row>
    <row r="14" spans="1:11" x14ac:dyDescent="0.2">
      <c r="A14" t="s">
        <v>931</v>
      </c>
      <c r="B14">
        <v>109983</v>
      </c>
      <c r="C14">
        <v>91</v>
      </c>
      <c r="E14">
        <v>7722</v>
      </c>
      <c r="F14">
        <v>98795</v>
      </c>
      <c r="H14">
        <v>104983</v>
      </c>
      <c r="I14">
        <v>4363</v>
      </c>
    </row>
    <row r="15" spans="1:11" x14ac:dyDescent="0.2">
      <c r="A15" t="s">
        <v>932</v>
      </c>
      <c r="B15">
        <v>116390</v>
      </c>
      <c r="C15">
        <v>96</v>
      </c>
      <c r="E15">
        <v>8204</v>
      </c>
      <c r="F15">
        <v>108422</v>
      </c>
      <c r="H15">
        <v>111836</v>
      </c>
      <c r="I15">
        <v>4554</v>
      </c>
    </row>
    <row r="16" spans="1:11" x14ac:dyDescent="0.2">
      <c r="A16" t="s">
        <v>933</v>
      </c>
      <c r="B16">
        <v>120496</v>
      </c>
      <c r="C16">
        <v>98</v>
      </c>
      <c r="E16">
        <v>12964</v>
      </c>
      <c r="F16">
        <v>107532</v>
      </c>
      <c r="H16">
        <v>115876</v>
      </c>
      <c r="I16">
        <v>4620</v>
      </c>
    </row>
    <row r="17" spans="1:9" x14ac:dyDescent="0.2">
      <c r="A17" t="s">
        <v>934</v>
      </c>
      <c r="B17">
        <v>129453</v>
      </c>
      <c r="C17">
        <v>104</v>
      </c>
      <c r="E17">
        <v>12181</v>
      </c>
      <c r="F17">
        <v>115314</v>
      </c>
      <c r="H17">
        <v>124785</v>
      </c>
      <c r="I17">
        <v>4668</v>
      </c>
    </row>
    <row r="18" spans="1:9" x14ac:dyDescent="0.2">
      <c r="A18" t="s">
        <v>935</v>
      </c>
      <c r="B18">
        <v>137082</v>
      </c>
      <c r="C18">
        <v>110</v>
      </c>
      <c r="E18">
        <v>12964</v>
      </c>
      <c r="F18">
        <v>124118</v>
      </c>
      <c r="H18">
        <v>132638</v>
      </c>
      <c r="I18">
        <v>4444</v>
      </c>
    </row>
    <row r="19" spans="1:9" x14ac:dyDescent="0.2">
      <c r="A19" t="s">
        <v>936</v>
      </c>
      <c r="B19">
        <v>137997</v>
      </c>
      <c r="C19">
        <v>110</v>
      </c>
      <c r="E19">
        <v>12282</v>
      </c>
      <c r="F19">
        <v>124901</v>
      </c>
      <c r="H19">
        <v>133573</v>
      </c>
      <c r="I19">
        <v>4424</v>
      </c>
    </row>
    <row r="20" spans="1:9" x14ac:dyDescent="0.2">
      <c r="A20" t="s">
        <v>937</v>
      </c>
      <c r="B20">
        <v>136810</v>
      </c>
      <c r="C20">
        <v>109</v>
      </c>
      <c r="E20">
        <v>10851</v>
      </c>
      <c r="F20">
        <v>126096</v>
      </c>
      <c r="H20">
        <v>132520</v>
      </c>
      <c r="I20">
        <v>4290</v>
      </c>
    </row>
    <row r="21" spans="1:9" x14ac:dyDescent="0.2">
      <c r="A21" t="s">
        <v>938</v>
      </c>
      <c r="B21">
        <v>138316</v>
      </c>
      <c r="C21">
        <v>109</v>
      </c>
      <c r="E21">
        <v>12080</v>
      </c>
      <c r="F21">
        <v>126140</v>
      </c>
      <c r="H21">
        <v>133769</v>
      </c>
      <c r="I21">
        <v>4547</v>
      </c>
    </row>
    <row r="22" spans="1:9" x14ac:dyDescent="0.2">
      <c r="A22" t="s">
        <v>939</v>
      </c>
      <c r="B22">
        <v>144180</v>
      </c>
      <c r="C22">
        <v>113</v>
      </c>
      <c r="E22">
        <v>14777</v>
      </c>
      <c r="F22">
        <v>129888</v>
      </c>
      <c r="H22">
        <v>139278</v>
      </c>
      <c r="I22">
        <v>4902</v>
      </c>
    </row>
    <row r="23" spans="1:9" x14ac:dyDescent="0.2">
      <c r="A23" t="s">
        <v>940</v>
      </c>
      <c r="B23">
        <v>145038</v>
      </c>
      <c r="C23">
        <v>113</v>
      </c>
      <c r="E23">
        <v>15373</v>
      </c>
      <c r="F23">
        <v>128200</v>
      </c>
      <c r="H23">
        <v>139990</v>
      </c>
      <c r="I23">
        <v>5048</v>
      </c>
    </row>
    <row r="24" spans="1:9" x14ac:dyDescent="0.2">
      <c r="A24" t="s">
        <v>941</v>
      </c>
      <c r="B24">
        <v>152741</v>
      </c>
      <c r="C24">
        <v>118</v>
      </c>
      <c r="E24">
        <v>15309</v>
      </c>
      <c r="F24">
        <v>134048</v>
      </c>
      <c r="H24">
        <v>147375</v>
      </c>
      <c r="I24">
        <v>5366</v>
      </c>
    </row>
    <row r="25" spans="1:9" x14ac:dyDescent="0.2">
      <c r="A25" t="s">
        <v>942</v>
      </c>
      <c r="B25">
        <v>160285</v>
      </c>
      <c r="C25">
        <v>123</v>
      </c>
      <c r="E25">
        <v>17083</v>
      </c>
      <c r="F25">
        <v>142299</v>
      </c>
      <c r="H25">
        <v>154826</v>
      </c>
      <c r="I25">
        <v>5459</v>
      </c>
    </row>
    <row r="26" spans="1:9" x14ac:dyDescent="0.2">
      <c r="A26" t="s">
        <v>943</v>
      </c>
      <c r="B26">
        <v>179818</v>
      </c>
      <c r="C26">
        <v>137</v>
      </c>
      <c r="E26">
        <v>19730</v>
      </c>
      <c r="F26">
        <v>160088</v>
      </c>
      <c r="H26">
        <v>173143</v>
      </c>
      <c r="I26">
        <v>6675</v>
      </c>
    </row>
    <row r="27" spans="1:9" x14ac:dyDescent="0.2">
      <c r="A27" t="s">
        <v>944</v>
      </c>
      <c r="B27">
        <v>173706</v>
      </c>
      <c r="C27">
        <v>131</v>
      </c>
      <c r="E27">
        <v>19260</v>
      </c>
      <c r="F27">
        <v>154446</v>
      </c>
      <c r="H27">
        <v>167345</v>
      </c>
      <c r="I27">
        <v>6361</v>
      </c>
    </row>
    <row r="28" spans="1:9" x14ac:dyDescent="0.2">
      <c r="A28" t="s">
        <v>945</v>
      </c>
      <c r="B28">
        <v>165439</v>
      </c>
      <c r="C28">
        <v>124</v>
      </c>
      <c r="E28">
        <v>18465</v>
      </c>
      <c r="F28">
        <v>146974</v>
      </c>
      <c r="H28">
        <v>159228</v>
      </c>
      <c r="I28">
        <v>6211</v>
      </c>
    </row>
    <row r="29" spans="1:9" x14ac:dyDescent="0.2">
      <c r="A29" t="s">
        <v>946</v>
      </c>
      <c r="B29">
        <v>150384</v>
      </c>
      <c r="C29">
        <v>112</v>
      </c>
      <c r="E29">
        <v>16623</v>
      </c>
      <c r="F29">
        <v>133761</v>
      </c>
      <c r="H29">
        <v>144167</v>
      </c>
      <c r="I29">
        <v>6217</v>
      </c>
    </row>
    <row r="30" spans="1:9" x14ac:dyDescent="0.2">
      <c r="A30" t="s">
        <v>947</v>
      </c>
      <c r="B30">
        <v>137220</v>
      </c>
      <c r="C30">
        <v>103</v>
      </c>
      <c r="E30">
        <v>16113</v>
      </c>
      <c r="F30">
        <v>121107</v>
      </c>
      <c r="H30">
        <v>131054</v>
      </c>
      <c r="I30">
        <v>6166</v>
      </c>
    </row>
    <row r="31" spans="1:9" x14ac:dyDescent="0.2">
      <c r="A31" t="s">
        <v>948</v>
      </c>
      <c r="B31">
        <v>132456</v>
      </c>
      <c r="C31">
        <v>100</v>
      </c>
      <c r="E31">
        <v>18139</v>
      </c>
      <c r="F31">
        <v>114317</v>
      </c>
      <c r="H31">
        <v>126350</v>
      </c>
      <c r="I31">
        <v>6106</v>
      </c>
    </row>
    <row r="32" spans="1:9" x14ac:dyDescent="0.2">
      <c r="A32" t="s">
        <v>949</v>
      </c>
      <c r="B32">
        <v>133649</v>
      </c>
      <c r="C32">
        <v>98</v>
      </c>
      <c r="E32">
        <v>18638</v>
      </c>
      <c r="F32">
        <v>115011</v>
      </c>
      <c r="H32">
        <v>127609</v>
      </c>
      <c r="I32">
        <v>6040</v>
      </c>
    </row>
    <row r="33" spans="1:9" x14ac:dyDescent="0.2">
      <c r="A33" t="s">
        <v>950</v>
      </c>
      <c r="B33">
        <v>140079</v>
      </c>
      <c r="C33">
        <v>99</v>
      </c>
      <c r="E33">
        <v>17622</v>
      </c>
      <c r="F33">
        <v>122457</v>
      </c>
      <c r="H33">
        <v>134075</v>
      </c>
      <c r="I33">
        <v>6004</v>
      </c>
    </row>
    <row r="34" spans="1:9" x14ac:dyDescent="0.2">
      <c r="A34" t="s">
        <v>951</v>
      </c>
      <c r="B34">
        <v>151304</v>
      </c>
      <c r="C34">
        <v>105</v>
      </c>
      <c r="E34">
        <v>17146</v>
      </c>
      <c r="F34">
        <v>134158</v>
      </c>
      <c r="H34">
        <v>144961</v>
      </c>
      <c r="I34">
        <v>6343</v>
      </c>
    </row>
    <row r="35" spans="1:9" x14ac:dyDescent="0.2">
      <c r="A35" t="s">
        <v>952</v>
      </c>
      <c r="B35">
        <v>155977</v>
      </c>
      <c r="C35">
        <v>106</v>
      </c>
      <c r="E35">
        <v>16328</v>
      </c>
      <c r="F35">
        <v>139649</v>
      </c>
      <c r="H35">
        <v>149739</v>
      </c>
      <c r="I35">
        <v>6238</v>
      </c>
    </row>
    <row r="36" spans="1:9" x14ac:dyDescent="0.2">
      <c r="A36" t="s">
        <v>953</v>
      </c>
      <c r="B36">
        <v>163749</v>
      </c>
      <c r="C36">
        <v>109</v>
      </c>
      <c r="E36">
        <v>16868</v>
      </c>
      <c r="F36">
        <v>146881</v>
      </c>
      <c r="H36">
        <v>157663</v>
      </c>
      <c r="I36">
        <v>6086</v>
      </c>
    </row>
    <row r="37" spans="1:9" x14ac:dyDescent="0.2">
      <c r="A37" t="s">
        <v>954</v>
      </c>
      <c r="B37">
        <v>166123</v>
      </c>
      <c r="C37">
        <v>109</v>
      </c>
      <c r="E37">
        <v>17134</v>
      </c>
      <c r="F37">
        <v>148989</v>
      </c>
      <c r="H37">
        <v>160309</v>
      </c>
      <c r="I37">
        <v>5814</v>
      </c>
    </row>
    <row r="38" spans="1:9" x14ac:dyDescent="0.2">
      <c r="A38" t="s">
        <v>955</v>
      </c>
      <c r="B38">
        <v>165680</v>
      </c>
      <c r="C38">
        <v>107</v>
      </c>
      <c r="E38">
        <v>17395</v>
      </c>
      <c r="F38">
        <v>148245</v>
      </c>
      <c r="H38">
        <v>159610</v>
      </c>
      <c r="I38">
        <v>6070</v>
      </c>
    </row>
    <row r="39" spans="1:9" x14ac:dyDescent="0.2">
      <c r="A39" t="s">
        <v>956</v>
      </c>
      <c r="B39">
        <v>168233</v>
      </c>
      <c r="C39">
        <v>107</v>
      </c>
      <c r="E39">
        <v>18014</v>
      </c>
      <c r="F39">
        <v>150186</v>
      </c>
      <c r="H39">
        <v>161994</v>
      </c>
      <c r="I39">
        <v>6239</v>
      </c>
    </row>
    <row r="40" spans="1:9" x14ac:dyDescent="0.2">
      <c r="A40" t="s">
        <v>957</v>
      </c>
      <c r="B40">
        <v>173579</v>
      </c>
      <c r="C40">
        <v>108</v>
      </c>
      <c r="E40">
        <v>19363</v>
      </c>
      <c r="F40">
        <v>154184</v>
      </c>
      <c r="H40">
        <v>166909</v>
      </c>
      <c r="I40">
        <v>6670</v>
      </c>
    </row>
    <row r="41" spans="1:9" x14ac:dyDescent="0.2">
      <c r="A41" t="s">
        <v>958</v>
      </c>
      <c r="B41">
        <v>182901</v>
      </c>
      <c r="C41">
        <v>112</v>
      </c>
      <c r="E41">
        <v>20003</v>
      </c>
      <c r="F41">
        <v>162845</v>
      </c>
      <c r="H41">
        <v>175907</v>
      </c>
      <c r="I41">
        <v>6994</v>
      </c>
    </row>
    <row r="42" spans="1:9" x14ac:dyDescent="0.2">
      <c r="A42" t="s">
        <v>959</v>
      </c>
      <c r="B42">
        <v>185780</v>
      </c>
      <c r="C42">
        <v>112</v>
      </c>
      <c r="E42">
        <v>20088</v>
      </c>
      <c r="F42">
        <v>165692</v>
      </c>
      <c r="H42">
        <v>178655</v>
      </c>
      <c r="I42">
        <v>7125</v>
      </c>
    </row>
    <row r="43" spans="1:9" x14ac:dyDescent="0.2">
      <c r="A43" t="s">
        <v>960</v>
      </c>
      <c r="B43">
        <v>189565</v>
      </c>
      <c r="C43">
        <v>112</v>
      </c>
      <c r="E43">
        <v>20134</v>
      </c>
      <c r="F43">
        <v>169287</v>
      </c>
      <c r="H43">
        <v>182190</v>
      </c>
      <c r="I43">
        <v>7375</v>
      </c>
    </row>
    <row r="44" spans="1:9" x14ac:dyDescent="0.2">
      <c r="A44" t="s">
        <v>961</v>
      </c>
      <c r="B44">
        <v>195414</v>
      </c>
      <c r="C44">
        <v>113</v>
      </c>
      <c r="E44">
        <v>20420</v>
      </c>
      <c r="F44">
        <v>174836</v>
      </c>
      <c r="H44">
        <v>188113</v>
      </c>
      <c r="I44">
        <v>7301</v>
      </c>
    </row>
    <row r="45" spans="1:9" x14ac:dyDescent="0.2">
      <c r="A45" t="s">
        <v>962</v>
      </c>
      <c r="B45">
        <v>205643</v>
      </c>
      <c r="C45">
        <v>117</v>
      </c>
      <c r="E45">
        <v>21549</v>
      </c>
      <c r="F45">
        <v>183944</v>
      </c>
      <c r="H45">
        <v>198208</v>
      </c>
      <c r="I45">
        <v>7435</v>
      </c>
    </row>
    <row r="46" spans="1:9" x14ac:dyDescent="0.2">
      <c r="A46" t="s">
        <v>963</v>
      </c>
      <c r="B46">
        <v>208105</v>
      </c>
      <c r="C46">
        <v>117</v>
      </c>
      <c r="E46">
        <v>22492</v>
      </c>
      <c r="F46">
        <v>184954</v>
      </c>
      <c r="H46">
        <v>200469</v>
      </c>
      <c r="I46">
        <v>7636</v>
      </c>
    </row>
    <row r="47" spans="1:9" x14ac:dyDescent="0.2">
      <c r="A47" t="s">
        <v>964</v>
      </c>
      <c r="B47">
        <v>212953</v>
      </c>
      <c r="C47">
        <v>117</v>
      </c>
      <c r="E47">
        <v>23218</v>
      </c>
      <c r="F47">
        <v>189739</v>
      </c>
      <c r="H47">
        <v>205265</v>
      </c>
      <c r="I47">
        <v>7688</v>
      </c>
    </row>
    <row r="48" spans="1:9" x14ac:dyDescent="0.2">
      <c r="A48" t="s">
        <v>965</v>
      </c>
      <c r="B48">
        <v>220149</v>
      </c>
      <c r="C48">
        <v>119</v>
      </c>
      <c r="E48">
        <v>23696</v>
      </c>
      <c r="F48">
        <v>196453</v>
      </c>
      <c r="H48">
        <v>212268</v>
      </c>
      <c r="I48">
        <v>7881</v>
      </c>
    </row>
    <row r="49" spans="1:9" x14ac:dyDescent="0.2">
      <c r="A49" t="s">
        <v>966</v>
      </c>
      <c r="B49">
        <v>218830</v>
      </c>
      <c r="C49">
        <v>117</v>
      </c>
      <c r="E49">
        <v>23944</v>
      </c>
      <c r="F49">
        <v>194886</v>
      </c>
      <c r="H49">
        <v>210823</v>
      </c>
      <c r="I49">
        <v>8007</v>
      </c>
    </row>
    <row r="50" spans="1:9" x14ac:dyDescent="0.2">
      <c r="A50" t="s">
        <v>967</v>
      </c>
      <c r="B50">
        <v>217283</v>
      </c>
      <c r="C50">
        <v>114</v>
      </c>
      <c r="E50">
        <v>23128</v>
      </c>
      <c r="F50">
        <v>194155</v>
      </c>
      <c r="H50">
        <v>209538</v>
      </c>
      <c r="I50">
        <v>7745</v>
      </c>
    </row>
    <row r="51" spans="1:9" x14ac:dyDescent="0.2">
      <c r="A51" t="s">
        <v>968</v>
      </c>
      <c r="B51">
        <v>214336</v>
      </c>
      <c r="C51">
        <v>111</v>
      </c>
      <c r="E51">
        <v>21709</v>
      </c>
      <c r="F51">
        <v>192627</v>
      </c>
      <c r="H51">
        <v>206632</v>
      </c>
      <c r="I51">
        <v>7704</v>
      </c>
    </row>
    <row r="52" spans="1:9" x14ac:dyDescent="0.2">
      <c r="A52" t="s">
        <v>969</v>
      </c>
      <c r="B52">
        <v>210895</v>
      </c>
      <c r="C52">
        <v>108</v>
      </c>
      <c r="E52">
        <v>21040</v>
      </c>
      <c r="F52">
        <v>189855</v>
      </c>
      <c r="H52">
        <v>203327</v>
      </c>
      <c r="I52">
        <v>7568</v>
      </c>
    </row>
    <row r="53" spans="1:9" x14ac:dyDescent="0.2">
      <c r="A53" t="s">
        <v>970</v>
      </c>
      <c r="B53">
        <v>199654</v>
      </c>
      <c r="C53">
        <v>102</v>
      </c>
      <c r="E53">
        <v>19245</v>
      </c>
      <c r="F53">
        <v>180409</v>
      </c>
      <c r="H53">
        <v>192703</v>
      </c>
      <c r="I53">
        <v>6951</v>
      </c>
    </row>
    <row r="54" spans="1:9" x14ac:dyDescent="0.2">
      <c r="A54" t="s">
        <v>971</v>
      </c>
      <c r="B54">
        <v>194896</v>
      </c>
      <c r="C54">
        <v>98</v>
      </c>
      <c r="E54">
        <v>19579</v>
      </c>
      <c r="F54">
        <v>175317</v>
      </c>
      <c r="H54">
        <v>188661</v>
      </c>
      <c r="I54">
        <v>6235</v>
      </c>
    </row>
    <row r="55" spans="1:9" x14ac:dyDescent="0.2">
      <c r="A55" t="s">
        <v>972</v>
      </c>
      <c r="B55">
        <v>187914</v>
      </c>
      <c r="C55">
        <v>94</v>
      </c>
      <c r="E55">
        <v>19703</v>
      </c>
      <c r="F55">
        <v>168211</v>
      </c>
      <c r="H55">
        <v>182102</v>
      </c>
      <c r="I55">
        <v>5812</v>
      </c>
    </row>
    <row r="56" spans="1:9" x14ac:dyDescent="0.2">
      <c r="A56" t="s">
        <v>973</v>
      </c>
      <c r="B56">
        <v>196007</v>
      </c>
      <c r="C56">
        <v>97</v>
      </c>
      <c r="E56">
        <v>19623</v>
      </c>
      <c r="F56">
        <v>176384</v>
      </c>
      <c r="H56">
        <v>189413</v>
      </c>
      <c r="I56">
        <v>6594</v>
      </c>
    </row>
    <row r="57" spans="1:9" x14ac:dyDescent="0.2">
      <c r="A57" t="s">
        <v>974</v>
      </c>
      <c r="B57">
        <v>196429</v>
      </c>
      <c r="C57">
        <v>96</v>
      </c>
      <c r="E57">
        <v>20038</v>
      </c>
      <c r="F57">
        <v>176391</v>
      </c>
      <c r="H57">
        <v>190794</v>
      </c>
      <c r="I57">
        <v>5635</v>
      </c>
    </row>
    <row r="58" spans="1:9" x14ac:dyDescent="0.2">
      <c r="A58" t="s">
        <v>975</v>
      </c>
      <c r="B58">
        <v>198061</v>
      </c>
      <c r="C58">
        <v>95</v>
      </c>
      <c r="E58">
        <v>20948</v>
      </c>
      <c r="F58">
        <v>177113</v>
      </c>
      <c r="H58">
        <v>191732</v>
      </c>
      <c r="I58">
        <v>6329</v>
      </c>
    </row>
    <row r="59" spans="1:9" x14ac:dyDescent="0.2">
      <c r="A59" t="s">
        <v>976</v>
      </c>
      <c r="B59">
        <v>196092</v>
      </c>
      <c r="C59">
        <v>93</v>
      </c>
      <c r="E59">
        <v>21713</v>
      </c>
      <c r="F59">
        <v>174470</v>
      </c>
      <c r="H59">
        <v>189823</v>
      </c>
      <c r="I59">
        <v>6269</v>
      </c>
    </row>
    <row r="60" spans="1:9" x14ac:dyDescent="0.2">
      <c r="A60" t="s">
        <v>977</v>
      </c>
      <c r="B60">
        <v>204211</v>
      </c>
      <c r="C60">
        <v>96</v>
      </c>
      <c r="E60">
        <v>22815</v>
      </c>
      <c r="F60">
        <v>181396</v>
      </c>
      <c r="H60">
        <v>197523</v>
      </c>
      <c r="I60">
        <v>6004</v>
      </c>
    </row>
    <row r="61" spans="1:9" x14ac:dyDescent="0.2">
      <c r="A61" t="s">
        <v>978</v>
      </c>
      <c r="B61">
        <v>218466</v>
      </c>
      <c r="C61">
        <v>102</v>
      </c>
      <c r="E61">
        <v>22361</v>
      </c>
      <c r="F61">
        <v>196105</v>
      </c>
      <c r="H61">
        <v>211077</v>
      </c>
      <c r="I61">
        <v>7389</v>
      </c>
    </row>
    <row r="62" spans="1:9" x14ac:dyDescent="0.2">
      <c r="A62" t="s">
        <v>979</v>
      </c>
      <c r="B62">
        <v>240593</v>
      </c>
      <c r="C62">
        <v>111</v>
      </c>
      <c r="E62">
        <v>24131</v>
      </c>
      <c r="F62">
        <v>216462</v>
      </c>
      <c r="H62">
        <v>231918</v>
      </c>
      <c r="I62">
        <v>8675</v>
      </c>
    </row>
    <row r="63" spans="1:9" x14ac:dyDescent="0.2">
      <c r="A63" t="s">
        <v>980</v>
      </c>
      <c r="B63">
        <v>262833</v>
      </c>
      <c r="C63">
        <v>120</v>
      </c>
      <c r="E63">
        <v>26980</v>
      </c>
      <c r="F63">
        <v>235853</v>
      </c>
      <c r="H63">
        <v>252794</v>
      </c>
      <c r="I63">
        <v>10039</v>
      </c>
    </row>
    <row r="64" spans="1:9" x14ac:dyDescent="0.2">
      <c r="A64" t="s">
        <v>1214</v>
      </c>
      <c r="B64">
        <v>278141</v>
      </c>
      <c r="C64">
        <v>126</v>
      </c>
      <c r="E64">
        <v>28650</v>
      </c>
      <c r="F64">
        <v>249491</v>
      </c>
      <c r="H64">
        <v>267097</v>
      </c>
      <c r="I64">
        <v>11044</v>
      </c>
    </row>
    <row r="65" spans="1:9" x14ac:dyDescent="0.2">
      <c r="A65" t="s">
        <v>1215</v>
      </c>
      <c r="B65">
        <v>285456</v>
      </c>
      <c r="C65">
        <v>129</v>
      </c>
      <c r="E65">
        <v>28650</v>
      </c>
      <c r="F65">
        <v>256806</v>
      </c>
      <c r="H65">
        <v>274244</v>
      </c>
      <c r="I65">
        <v>11212</v>
      </c>
    </row>
    <row r="66" spans="1:9" x14ac:dyDescent="0.2">
      <c r="A66" t="s">
        <v>982</v>
      </c>
      <c r="B66">
        <v>294396</v>
      </c>
      <c r="C66">
        <v>132</v>
      </c>
      <c r="E66">
        <v>26391</v>
      </c>
      <c r="F66">
        <v>268005</v>
      </c>
      <c r="H66">
        <v>282813</v>
      </c>
      <c r="I66">
        <v>11583</v>
      </c>
    </row>
    <row r="67" spans="1:9" x14ac:dyDescent="0.2">
      <c r="A67" t="s">
        <v>983</v>
      </c>
      <c r="B67">
        <v>301470</v>
      </c>
      <c r="C67">
        <v>133</v>
      </c>
      <c r="E67">
        <v>22588</v>
      </c>
      <c r="F67">
        <v>278882</v>
      </c>
      <c r="H67">
        <v>289465</v>
      </c>
      <c r="I67">
        <v>12005</v>
      </c>
    </row>
    <row r="68" spans="1:9" x14ac:dyDescent="0.2">
      <c r="A68" t="s">
        <v>984</v>
      </c>
      <c r="B68">
        <v>315974</v>
      </c>
      <c r="C68">
        <v>139.19999999999999</v>
      </c>
      <c r="E68">
        <v>20611</v>
      </c>
      <c r="F68">
        <v>295363</v>
      </c>
      <c r="H68">
        <v>303643</v>
      </c>
      <c r="I68">
        <v>12331</v>
      </c>
    </row>
    <row r="69" spans="1:9" x14ac:dyDescent="0.2">
      <c r="A69" t="s">
        <v>985</v>
      </c>
      <c r="B69">
        <v>353673</v>
      </c>
      <c r="C69">
        <v>154.19999999999999</v>
      </c>
      <c r="E69">
        <v>22169</v>
      </c>
      <c r="F69">
        <v>331504</v>
      </c>
      <c r="H69">
        <v>339375</v>
      </c>
      <c r="I69">
        <v>14298</v>
      </c>
    </row>
    <row r="70" spans="1:9" x14ac:dyDescent="0.2">
      <c r="A70" t="s">
        <v>986</v>
      </c>
      <c r="B70">
        <v>395516</v>
      </c>
      <c r="C70">
        <v>170.6</v>
      </c>
      <c r="E70">
        <v>23652</v>
      </c>
      <c r="F70">
        <v>371864</v>
      </c>
      <c r="H70">
        <v>379075</v>
      </c>
      <c r="I70">
        <v>16441</v>
      </c>
    </row>
    <row r="71" spans="1:9" x14ac:dyDescent="0.2">
      <c r="A71" t="s">
        <v>987</v>
      </c>
      <c r="B71">
        <v>419346</v>
      </c>
      <c r="C71">
        <v>179</v>
      </c>
      <c r="E71">
        <v>26331</v>
      </c>
      <c r="F71">
        <v>393015</v>
      </c>
      <c r="H71">
        <v>401870</v>
      </c>
      <c r="I71">
        <v>17476</v>
      </c>
    </row>
    <row r="72" spans="1:9" x14ac:dyDescent="0.2">
      <c r="A72" t="s">
        <v>988</v>
      </c>
      <c r="B72">
        <v>443398</v>
      </c>
      <c r="C72">
        <v>187.5</v>
      </c>
      <c r="E72">
        <v>27602</v>
      </c>
      <c r="F72">
        <v>415796</v>
      </c>
      <c r="H72">
        <v>424193</v>
      </c>
      <c r="I72">
        <v>19205</v>
      </c>
    </row>
    <row r="73" spans="1:9" x14ac:dyDescent="0.2">
      <c r="A73" t="s">
        <v>989</v>
      </c>
      <c r="B73">
        <v>480568</v>
      </c>
      <c r="C73">
        <v>202</v>
      </c>
      <c r="E73">
        <v>32695</v>
      </c>
      <c r="F73">
        <v>447873</v>
      </c>
      <c r="H73">
        <v>459223</v>
      </c>
      <c r="I73">
        <v>21345</v>
      </c>
    </row>
    <row r="74" spans="1:9" x14ac:dyDescent="0.2">
      <c r="A74" t="s">
        <v>990</v>
      </c>
      <c r="B74">
        <v>522084</v>
      </c>
      <c r="C74">
        <v>217</v>
      </c>
      <c r="E74">
        <v>36531</v>
      </c>
      <c r="F74">
        <v>485553</v>
      </c>
      <c r="H74">
        <v>497540</v>
      </c>
      <c r="I74">
        <v>24544</v>
      </c>
    </row>
    <row r="75" spans="1:9" x14ac:dyDescent="0.2">
      <c r="A75" t="s">
        <v>991</v>
      </c>
      <c r="B75">
        <v>560812</v>
      </c>
      <c r="C75">
        <v>231</v>
      </c>
      <c r="E75">
        <v>39523</v>
      </c>
      <c r="F75">
        <v>521289</v>
      </c>
      <c r="H75">
        <v>533990</v>
      </c>
      <c r="I75">
        <v>26822</v>
      </c>
    </row>
    <row r="76" spans="1:9" x14ac:dyDescent="0.2">
      <c r="A76" t="s">
        <v>992</v>
      </c>
      <c r="B76">
        <v>603732</v>
      </c>
      <c r="C76">
        <v>247</v>
      </c>
      <c r="E76">
        <v>42738</v>
      </c>
      <c r="F76">
        <v>560994</v>
      </c>
      <c r="H76">
        <v>573587</v>
      </c>
      <c r="I76">
        <v>30145</v>
      </c>
    </row>
    <row r="77" spans="1:9" x14ac:dyDescent="0.2">
      <c r="A77" t="s">
        <v>993</v>
      </c>
      <c r="B77">
        <v>680907</v>
      </c>
      <c r="C77">
        <v>276</v>
      </c>
      <c r="E77">
        <v>47168</v>
      </c>
      <c r="F77">
        <v>633739</v>
      </c>
      <c r="H77">
        <v>643643</v>
      </c>
      <c r="I77">
        <v>37264</v>
      </c>
    </row>
    <row r="78" spans="1:9" x14ac:dyDescent="0.2">
      <c r="A78" t="s">
        <v>1216</v>
      </c>
      <c r="B78">
        <v>739980</v>
      </c>
      <c r="C78">
        <v>297</v>
      </c>
      <c r="E78">
        <v>50403</v>
      </c>
      <c r="F78">
        <v>689577</v>
      </c>
      <c r="H78">
        <v>699416</v>
      </c>
      <c r="I78">
        <v>40564</v>
      </c>
    </row>
    <row r="79" spans="1:9" x14ac:dyDescent="0.2">
      <c r="A79" t="s">
        <v>995</v>
      </c>
      <c r="B79">
        <v>789610</v>
      </c>
      <c r="C79">
        <v>313</v>
      </c>
      <c r="E79">
        <v>56696</v>
      </c>
      <c r="F79">
        <v>732914</v>
      </c>
      <c r="H79">
        <v>745808</v>
      </c>
      <c r="I79">
        <v>43802</v>
      </c>
    </row>
    <row r="80" spans="1:9" x14ac:dyDescent="0.2">
      <c r="A80" t="s">
        <v>996</v>
      </c>
      <c r="B80">
        <v>846277</v>
      </c>
      <c r="C80">
        <v>332</v>
      </c>
      <c r="E80">
        <v>65706</v>
      </c>
      <c r="F80">
        <v>780571</v>
      </c>
      <c r="H80">
        <v>799776</v>
      </c>
      <c r="I80">
        <v>46501</v>
      </c>
    </row>
    <row r="81" spans="1:9" x14ac:dyDescent="0.2">
      <c r="A81" t="s">
        <v>997</v>
      </c>
      <c r="B81">
        <v>932074</v>
      </c>
      <c r="C81">
        <v>359</v>
      </c>
      <c r="E81">
        <v>74399</v>
      </c>
      <c r="F81">
        <v>857675</v>
      </c>
      <c r="H81">
        <v>878037</v>
      </c>
      <c r="I81">
        <v>54037</v>
      </c>
    </row>
    <row r="82" spans="1:9" x14ac:dyDescent="0.2">
      <c r="A82" t="s">
        <v>998</v>
      </c>
      <c r="B82">
        <v>1016691</v>
      </c>
      <c r="C82">
        <v>389</v>
      </c>
      <c r="E82">
        <v>79795</v>
      </c>
      <c r="F82">
        <v>936896</v>
      </c>
      <c r="H82">
        <v>956566</v>
      </c>
      <c r="I82">
        <v>60125</v>
      </c>
    </row>
    <row r="83" spans="1:9" x14ac:dyDescent="0.2">
      <c r="A83" t="s">
        <v>999</v>
      </c>
      <c r="B83">
        <v>1085022</v>
      </c>
      <c r="C83">
        <v>411</v>
      </c>
      <c r="E83">
        <v>83663</v>
      </c>
      <c r="F83">
        <v>1001359</v>
      </c>
      <c r="H83">
        <v>1021059</v>
      </c>
      <c r="I83">
        <v>63963</v>
      </c>
    </row>
    <row r="84" spans="1:9" x14ac:dyDescent="0.2">
      <c r="A84" t="s">
        <v>1000</v>
      </c>
      <c r="B84">
        <v>1137722</v>
      </c>
      <c r="C84">
        <v>427</v>
      </c>
      <c r="E84">
        <v>88815</v>
      </c>
      <c r="F84">
        <v>1048907</v>
      </c>
      <c r="H84">
        <v>1068123</v>
      </c>
      <c r="I84">
        <v>69599</v>
      </c>
    </row>
    <row r="85" spans="1:9" x14ac:dyDescent="0.2">
      <c r="A85" t="s">
        <v>1001</v>
      </c>
      <c r="B85">
        <v>1195498</v>
      </c>
      <c r="C85">
        <v>445</v>
      </c>
      <c r="E85">
        <v>94987</v>
      </c>
      <c r="F85">
        <v>1100511</v>
      </c>
      <c r="H85">
        <v>1121663</v>
      </c>
      <c r="I85">
        <v>73835</v>
      </c>
    </row>
    <row r="86" spans="1:9" x14ac:dyDescent="0.2">
      <c r="A86" t="s">
        <v>1002</v>
      </c>
      <c r="B86">
        <v>1245402</v>
      </c>
      <c r="C86">
        <v>461</v>
      </c>
      <c r="E86">
        <v>103682</v>
      </c>
      <c r="F86">
        <v>1141720</v>
      </c>
      <c r="H86">
        <v>1167802</v>
      </c>
      <c r="I86">
        <v>77600</v>
      </c>
    </row>
    <row r="87" spans="1:9" x14ac:dyDescent="0.2">
      <c r="A87" t="s">
        <v>1003</v>
      </c>
      <c r="B87">
        <v>1304074</v>
      </c>
      <c r="C87">
        <v>476</v>
      </c>
      <c r="E87">
        <v>114275</v>
      </c>
      <c r="F87">
        <v>1189799</v>
      </c>
      <c r="H87">
        <v>1221611</v>
      </c>
      <c r="I87">
        <v>82463</v>
      </c>
    </row>
    <row r="88" spans="1:9" x14ac:dyDescent="0.2">
      <c r="A88" t="s">
        <v>1004</v>
      </c>
      <c r="B88">
        <v>1331278</v>
      </c>
      <c r="C88">
        <v>470</v>
      </c>
      <c r="E88">
        <v>126955</v>
      </c>
      <c r="F88">
        <v>1204323</v>
      </c>
      <c r="H88">
        <v>1246234</v>
      </c>
      <c r="I88">
        <v>85044</v>
      </c>
    </row>
    <row r="89" spans="1:9" x14ac:dyDescent="0.2">
      <c r="A89" t="s">
        <v>1005</v>
      </c>
      <c r="B89">
        <v>1345842</v>
      </c>
      <c r="C89">
        <v>474</v>
      </c>
      <c r="E89">
        <v>136569</v>
      </c>
      <c r="F89">
        <v>1209273</v>
      </c>
      <c r="H89">
        <v>1260603</v>
      </c>
      <c r="I89">
        <v>85239</v>
      </c>
    </row>
    <row r="91" spans="1:9" x14ac:dyDescent="0.2">
      <c r="A91" t="s">
        <v>1217</v>
      </c>
      <c r="B91">
        <v>1345842</v>
      </c>
      <c r="C91">
        <v>476</v>
      </c>
      <c r="E91">
        <v>136569</v>
      </c>
      <c r="F91">
        <v>1209273</v>
      </c>
      <c r="H91">
        <v>1260603</v>
      </c>
      <c r="I91">
        <v>85239</v>
      </c>
    </row>
    <row r="92" spans="1:9" x14ac:dyDescent="0.2">
      <c r="A92" t="s">
        <v>1218</v>
      </c>
      <c r="B92">
        <v>91669</v>
      </c>
      <c r="C92">
        <v>79</v>
      </c>
      <c r="E92">
        <v>6803</v>
      </c>
      <c r="F92">
        <v>89322</v>
      </c>
      <c r="H92">
        <v>88231</v>
      </c>
      <c r="I92">
        <v>3438</v>
      </c>
    </row>
    <row r="95" spans="1:9" x14ac:dyDescent="0.2">
      <c r="A95" t="s">
        <v>1219</v>
      </c>
    </row>
    <row r="96" spans="1:9" x14ac:dyDescent="0.2">
      <c r="A96" t="s">
        <v>1220</v>
      </c>
    </row>
    <row r="97" spans="1:6" x14ac:dyDescent="0.2">
      <c r="A97" t="s">
        <v>1221</v>
      </c>
    </row>
    <row r="98" spans="1:6" x14ac:dyDescent="0.2">
      <c r="A98" t="s">
        <v>1222</v>
      </c>
    </row>
    <row r="99" spans="1:6" x14ac:dyDescent="0.2">
      <c r="A99" t="s">
        <v>1223</v>
      </c>
    </row>
    <row r="100" spans="1:6" x14ac:dyDescent="0.2">
      <c r="A100" t="s">
        <v>1224</v>
      </c>
    </row>
    <row r="102" spans="1:6" x14ac:dyDescent="0.2">
      <c r="A102" t="s">
        <v>1225</v>
      </c>
    </row>
    <row r="103" spans="1:6" x14ac:dyDescent="0.2">
      <c r="A103" t="s">
        <v>1226</v>
      </c>
    </row>
    <row r="104" spans="1:6" x14ac:dyDescent="0.2">
      <c r="A104" t="s">
        <v>1227</v>
      </c>
    </row>
    <row r="106" spans="1:6" x14ac:dyDescent="0.2">
      <c r="A106" t="s">
        <v>1228</v>
      </c>
    </row>
    <row r="108" spans="1:6" x14ac:dyDescent="0.2">
      <c r="A108" t="s">
        <v>1229</v>
      </c>
      <c r="B108" t="s">
        <v>1229</v>
      </c>
      <c r="C108" t="s">
        <v>1229</v>
      </c>
      <c r="E108" t="s">
        <v>1229</v>
      </c>
      <c r="F108" t="s">
        <v>1229</v>
      </c>
    </row>
    <row r="109" spans="1:6" x14ac:dyDescent="0.2">
      <c r="A109" t="s">
        <v>1230</v>
      </c>
    </row>
    <row r="111" spans="1:6" x14ac:dyDescent="0.2">
      <c r="A111" t="s">
        <v>1231</v>
      </c>
    </row>
    <row r="113" spans="1:1" x14ac:dyDescent="0.2">
      <c r="A113" t="s">
        <v>1232</v>
      </c>
    </row>
    <row r="114" spans="1:1" x14ac:dyDescent="0.2">
      <c r="A114" t="s">
        <v>1233</v>
      </c>
    </row>
    <row r="115" spans="1:1" x14ac:dyDescent="0.2">
      <c r="A115" t="s">
        <v>1234</v>
      </c>
    </row>
    <row r="116" spans="1:1" x14ac:dyDescent="0.2">
      <c r="A116" t="s">
        <v>1235</v>
      </c>
    </row>
    <row r="117" spans="1:1" x14ac:dyDescent="0.2">
      <c r="A117" t="s">
        <v>1236</v>
      </c>
    </row>
    <row r="118" spans="1:1" x14ac:dyDescent="0.2">
      <c r="A118" t="s">
        <v>1237</v>
      </c>
    </row>
    <row r="119" spans="1:1" x14ac:dyDescent="0.2">
      <c r="A119" t="s">
        <v>1238</v>
      </c>
    </row>
    <row r="120" spans="1:1" x14ac:dyDescent="0.2">
      <c r="A120" t="s">
        <v>1239</v>
      </c>
    </row>
    <row r="121" spans="1:1" x14ac:dyDescent="0.2">
      <c r="A121" t="s">
        <v>1240</v>
      </c>
    </row>
    <row r="122" spans="1:1" x14ac:dyDescent="0.2">
      <c r="A122" t="s">
        <v>1241</v>
      </c>
    </row>
    <row r="124" spans="1:1" x14ac:dyDescent="0.2">
      <c r="A124" t="s">
        <v>1242</v>
      </c>
    </row>
    <row r="125" spans="1:1" x14ac:dyDescent="0.2">
      <c r="A125" t="s">
        <v>1243</v>
      </c>
    </row>
    <row r="126" spans="1:1" x14ac:dyDescent="0.2">
      <c r="A126" t="s">
        <v>1244</v>
      </c>
    </row>
    <row r="127" spans="1:1" x14ac:dyDescent="0.2">
      <c r="A127" t="s">
        <v>1245</v>
      </c>
    </row>
    <row r="128" spans="1:1" x14ac:dyDescent="0.2">
      <c r="A128" t="s">
        <v>1246</v>
      </c>
    </row>
    <row r="129" spans="1:6" x14ac:dyDescent="0.2">
      <c r="A129" t="s">
        <v>1247</v>
      </c>
    </row>
    <row r="130" spans="1:6" x14ac:dyDescent="0.2">
      <c r="A130" t="s">
        <v>1248</v>
      </c>
    </row>
    <row r="132" spans="1:6" x14ac:dyDescent="0.2">
      <c r="A132" t="s">
        <v>1249</v>
      </c>
    </row>
    <row r="133" spans="1:6" x14ac:dyDescent="0.2">
      <c r="A133" t="s">
        <v>1250</v>
      </c>
    </row>
    <row r="134" spans="1:6" x14ac:dyDescent="0.2">
      <c r="A134" t="s">
        <v>1229</v>
      </c>
      <c r="B134" t="s">
        <v>1229</v>
      </c>
      <c r="C134" t="s">
        <v>1229</v>
      </c>
      <c r="E134" t="s">
        <v>1229</v>
      </c>
      <c r="F134" t="s">
        <v>1229</v>
      </c>
    </row>
    <row r="135" spans="1:6" x14ac:dyDescent="0.2">
      <c r="A135" t="s">
        <v>1251</v>
      </c>
    </row>
    <row r="137" spans="1:6" x14ac:dyDescent="0.2">
      <c r="A137" t="s">
        <v>1252</v>
      </c>
    </row>
    <row r="138" spans="1:6" x14ac:dyDescent="0.2">
      <c r="A138" t="s">
        <v>1253</v>
      </c>
    </row>
    <row r="140" spans="1:6" x14ac:dyDescent="0.2">
      <c r="A140" t="s">
        <v>1254</v>
      </c>
    </row>
    <row r="141" spans="1:6" x14ac:dyDescent="0.2">
      <c r="A141" t="s">
        <v>1255</v>
      </c>
    </row>
    <row r="142" spans="1:6" x14ac:dyDescent="0.2">
      <c r="A142" t="s">
        <v>1256</v>
      </c>
    </row>
    <row r="144" spans="1:6" x14ac:dyDescent="0.2">
      <c r="A144" t="s">
        <v>1257</v>
      </c>
    </row>
    <row r="145" spans="1:1" x14ac:dyDescent="0.2">
      <c r="A145" t="s">
        <v>1258</v>
      </c>
    </row>
    <row r="147" spans="1:1" x14ac:dyDescent="0.2">
      <c r="A147" t="s">
        <v>1259</v>
      </c>
    </row>
    <row r="149" spans="1:1" x14ac:dyDescent="0.2">
      <c r="A149" t="s">
        <v>1260</v>
      </c>
    </row>
    <row r="150" spans="1:1" x14ac:dyDescent="0.2">
      <c r="A150" t="s">
        <v>1261</v>
      </c>
    </row>
    <row r="151" spans="1:1" x14ac:dyDescent="0.2">
      <c r="A151" t="s">
        <v>1262</v>
      </c>
    </row>
    <row r="153" spans="1:1" x14ac:dyDescent="0.2">
      <c r="A153" t="s">
        <v>1263</v>
      </c>
    </row>
    <row r="155" spans="1:1" x14ac:dyDescent="0.2">
      <c r="A155" t="s">
        <v>1264</v>
      </c>
    </row>
    <row r="156" spans="1:1" x14ac:dyDescent="0.2">
      <c r="A156" t="s">
        <v>1265</v>
      </c>
    </row>
    <row r="158" spans="1:1" x14ac:dyDescent="0.2">
      <c r="A158" t="s">
        <v>1266</v>
      </c>
    </row>
    <row r="159" spans="1:1" x14ac:dyDescent="0.2">
      <c r="A159" t="s">
        <v>1267</v>
      </c>
    </row>
    <row r="160" spans="1:1" x14ac:dyDescent="0.2">
      <c r="A160" t="s">
        <v>1268</v>
      </c>
    </row>
    <row r="162" spans="1:1" x14ac:dyDescent="0.2">
      <c r="A162" t="s">
        <v>1269</v>
      </c>
    </row>
    <row r="164" spans="1:1" x14ac:dyDescent="0.2">
      <c r="A164" t="s">
        <v>1270</v>
      </c>
    </row>
    <row r="165" spans="1:1" x14ac:dyDescent="0.2">
      <c r="A165" t="s">
        <v>1271</v>
      </c>
    </row>
    <row r="167" spans="1:1" x14ac:dyDescent="0.2">
      <c r="A167" t="s">
        <v>1272</v>
      </c>
    </row>
    <row r="168" spans="1:1" x14ac:dyDescent="0.2">
      <c r="A168" t="s">
        <v>1273</v>
      </c>
    </row>
    <row r="170" spans="1:1" x14ac:dyDescent="0.2">
      <c r="A170" t="s">
        <v>1274</v>
      </c>
    </row>
    <row r="171" spans="1:1" x14ac:dyDescent="0.2">
      <c r="A171" t="s">
        <v>1275</v>
      </c>
    </row>
    <row r="173" spans="1:1" x14ac:dyDescent="0.2">
      <c r="A173" t="s">
        <v>1276</v>
      </c>
    </row>
    <row r="174" spans="1:1" x14ac:dyDescent="0.2">
      <c r="A174" t="s">
        <v>1277</v>
      </c>
    </row>
    <row r="176" spans="1:1" x14ac:dyDescent="0.2">
      <c r="A176" t="s">
        <v>1278</v>
      </c>
    </row>
    <row r="178" spans="1:1" x14ac:dyDescent="0.2">
      <c r="A178" t="s">
        <v>1279</v>
      </c>
    </row>
    <row r="180" spans="1:1" x14ac:dyDescent="0.2">
      <c r="A180" t="s">
        <v>1280</v>
      </c>
    </row>
    <row r="181" spans="1:1" x14ac:dyDescent="0.2">
      <c r="A181" t="s">
        <v>1281</v>
      </c>
    </row>
    <row r="183" spans="1:1" x14ac:dyDescent="0.2">
      <c r="A183" t="s">
        <v>1282</v>
      </c>
    </row>
    <row r="185" spans="1:1" x14ac:dyDescent="0.2">
      <c r="A185" t="s">
        <v>1283</v>
      </c>
    </row>
    <row r="186" spans="1:1" x14ac:dyDescent="0.2">
      <c r="A186" t="s">
        <v>1284</v>
      </c>
    </row>
    <row r="188" spans="1:1" x14ac:dyDescent="0.2">
      <c r="A188" t="s">
        <v>1285</v>
      </c>
    </row>
    <row r="190" spans="1:1" x14ac:dyDescent="0.2">
      <c r="A190" t="s">
        <v>1286</v>
      </c>
    </row>
    <row r="191" spans="1:1" x14ac:dyDescent="0.2">
      <c r="A191" t="s">
        <v>1287</v>
      </c>
    </row>
    <row r="193" spans="1:1" x14ac:dyDescent="0.2">
      <c r="A193" t="s">
        <v>1288</v>
      </c>
    </row>
    <row r="194" spans="1:1" x14ac:dyDescent="0.2">
      <c r="A194" t="s">
        <v>1289</v>
      </c>
    </row>
    <row r="196" spans="1:1" x14ac:dyDescent="0.2">
      <c r="A196" t="s">
        <v>1290</v>
      </c>
    </row>
    <row r="197" spans="1:1" x14ac:dyDescent="0.2">
      <c r="A197" t="s">
        <v>1291</v>
      </c>
    </row>
    <row r="199" spans="1:1" x14ac:dyDescent="0.2">
      <c r="A199" t="s">
        <v>1292</v>
      </c>
    </row>
    <row r="201" spans="1:1" x14ac:dyDescent="0.2">
      <c r="A201" t="s">
        <v>1293</v>
      </c>
    </row>
    <row r="203" spans="1:1" x14ac:dyDescent="0.2">
      <c r="A203" t="s">
        <v>1294</v>
      </c>
    </row>
    <row r="205" spans="1:1" x14ac:dyDescent="0.2">
      <c r="A205" t="s">
        <v>1295</v>
      </c>
    </row>
    <row r="207" spans="1:1" x14ac:dyDescent="0.2">
      <c r="A207" t="s">
        <v>1296</v>
      </c>
    </row>
    <row r="208" spans="1:1" x14ac:dyDescent="0.2">
      <c r="A208" t="s">
        <v>1297</v>
      </c>
    </row>
    <row r="210" spans="1:1" x14ac:dyDescent="0.2">
      <c r="A210" t="s">
        <v>1298</v>
      </c>
    </row>
    <row r="212" spans="1:1" x14ac:dyDescent="0.2">
      <c r="A212" t="s">
        <v>1299</v>
      </c>
    </row>
    <row r="214" spans="1:1" x14ac:dyDescent="0.2">
      <c r="A214" t="s">
        <v>1300</v>
      </c>
    </row>
    <row r="215" spans="1:1" x14ac:dyDescent="0.2">
      <c r="A215" t="s">
        <v>1301</v>
      </c>
    </row>
    <row r="217" spans="1:1" x14ac:dyDescent="0.2">
      <c r="A217" t="s">
        <v>1302</v>
      </c>
    </row>
    <row r="218" spans="1:1" x14ac:dyDescent="0.2">
      <c r="A218" t="s">
        <v>1303</v>
      </c>
    </row>
    <row r="220" spans="1:1" x14ac:dyDescent="0.2">
      <c r="A220" t="s">
        <v>1304</v>
      </c>
    </row>
    <row r="222" spans="1:1" x14ac:dyDescent="0.2">
      <c r="A222" t="s">
        <v>1305</v>
      </c>
    </row>
    <row r="224" spans="1:1" x14ac:dyDescent="0.2">
      <c r="A224" t="s">
        <v>1306</v>
      </c>
    </row>
    <row r="225" spans="1:1" x14ac:dyDescent="0.2">
      <c r="A225" t="s">
        <v>1307</v>
      </c>
    </row>
    <row r="227" spans="1:1" x14ac:dyDescent="0.2">
      <c r="A227" t="s">
        <v>1308</v>
      </c>
    </row>
    <row r="229" spans="1:1" x14ac:dyDescent="0.2">
      <c r="A229" t="s">
        <v>1309</v>
      </c>
    </row>
    <row r="230" spans="1:1" x14ac:dyDescent="0.2">
      <c r="A230" t="s">
        <v>1310</v>
      </c>
    </row>
    <row r="232" spans="1:1" x14ac:dyDescent="0.2">
      <c r="A232" t="s">
        <v>1311</v>
      </c>
    </row>
    <row r="233" spans="1:1" x14ac:dyDescent="0.2">
      <c r="A233" t="s">
        <v>1312</v>
      </c>
    </row>
    <row r="235" spans="1:1" x14ac:dyDescent="0.2">
      <c r="A235" t="s">
        <v>1313</v>
      </c>
    </row>
    <row r="237" spans="1:1" x14ac:dyDescent="0.2">
      <c r="A237" t="s">
        <v>1314</v>
      </c>
    </row>
    <row r="239" spans="1:1" x14ac:dyDescent="0.2">
      <c r="A239" t="s">
        <v>1315</v>
      </c>
    </row>
    <row r="240" spans="1:1" x14ac:dyDescent="0.2">
      <c r="A240" t="s">
        <v>1316</v>
      </c>
    </row>
    <row r="241" spans="1:1" x14ac:dyDescent="0.2">
      <c r="A241" t="s">
        <v>1317</v>
      </c>
    </row>
    <row r="243" spans="1:1" x14ac:dyDescent="0.2">
      <c r="A243" t="s">
        <v>1318</v>
      </c>
    </row>
    <row r="245" spans="1:1" x14ac:dyDescent="0.2">
      <c r="A245" t="s">
        <v>1319</v>
      </c>
    </row>
    <row r="247" spans="1:1" x14ac:dyDescent="0.2">
      <c r="A247" t="s">
        <v>1320</v>
      </c>
    </row>
    <row r="248" spans="1:1" x14ac:dyDescent="0.2">
      <c r="A248" t="s">
        <v>1321</v>
      </c>
    </row>
    <row r="250" spans="1:1" x14ac:dyDescent="0.2">
      <c r="A250" t="s">
        <v>1322</v>
      </c>
    </row>
    <row r="251" spans="1:1" x14ac:dyDescent="0.2">
      <c r="A251" t="s">
        <v>1323</v>
      </c>
    </row>
    <row r="253" spans="1:1" x14ac:dyDescent="0.2">
      <c r="A253" t="s">
        <v>1324</v>
      </c>
    </row>
    <row r="255" spans="1:1" x14ac:dyDescent="0.2">
      <c r="A255" t="s">
        <v>1325</v>
      </c>
    </row>
    <row r="257" spans="1:6" x14ac:dyDescent="0.2">
      <c r="A257" t="s">
        <v>1326</v>
      </c>
    </row>
    <row r="259" spans="1:6" x14ac:dyDescent="0.2">
      <c r="A259" t="s">
        <v>1327</v>
      </c>
    </row>
    <row r="260" spans="1:6" x14ac:dyDescent="0.2">
      <c r="A260" t="s">
        <v>1328</v>
      </c>
    </row>
    <row r="262" spans="1:6" x14ac:dyDescent="0.2">
      <c r="A262" t="s">
        <v>1329</v>
      </c>
    </row>
    <row r="264" spans="1:6" x14ac:dyDescent="0.2">
      <c r="A264" t="s">
        <v>1229</v>
      </c>
      <c r="B264" t="s">
        <v>1229</v>
      </c>
      <c r="C264" t="s">
        <v>1229</v>
      </c>
      <c r="E264" t="s">
        <v>1229</v>
      </c>
      <c r="F264" t="s">
        <v>1229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40" workbookViewId="0">
      <selection activeCell="D9" sqref="D9:D11"/>
    </sheetView>
  </sheetViews>
  <sheetFormatPr defaultRowHeight="15" x14ac:dyDescent="0.25"/>
  <cols>
    <col min="1" max="1" width="9.140625" style="19"/>
    <col min="2" max="2" width="11.42578125" style="19" customWidth="1"/>
    <col min="3" max="3" width="2.5703125" style="19" customWidth="1"/>
    <col min="4" max="4" width="65.28515625" style="19" customWidth="1"/>
    <col min="5" max="16384" width="9.140625" style="19"/>
  </cols>
  <sheetData>
    <row r="1" spans="1:4" x14ac:dyDescent="0.25">
      <c r="A1" s="31" t="s">
        <v>1201</v>
      </c>
      <c r="B1" s="31"/>
      <c r="C1" s="31"/>
      <c r="D1" s="31"/>
    </row>
    <row r="4" spans="1:4" x14ac:dyDescent="0.25">
      <c r="A4" s="19" t="s">
        <v>35</v>
      </c>
      <c r="B4" s="19" t="s">
        <v>516</v>
      </c>
    </row>
    <row r="5" spans="1:4" x14ac:dyDescent="0.25">
      <c r="A5" s="19">
        <v>1896</v>
      </c>
      <c r="B5" s="19">
        <v>301</v>
      </c>
      <c r="D5" s="19" t="s">
        <v>1203</v>
      </c>
    </row>
    <row r="6" spans="1:4" x14ac:dyDescent="0.25">
      <c r="A6" s="19">
        <v>1897</v>
      </c>
      <c r="B6" s="19">
        <v>491</v>
      </c>
      <c r="D6" s="19" t="s">
        <v>1202</v>
      </c>
    </row>
    <row r="7" spans="1:4" x14ac:dyDescent="0.25">
      <c r="A7" s="19">
        <v>1898</v>
      </c>
      <c r="B7" s="19">
        <v>499</v>
      </c>
    </row>
    <row r="8" spans="1:4" x14ac:dyDescent="0.25">
      <c r="A8" s="19">
        <v>1899</v>
      </c>
      <c r="B8" s="19">
        <v>608</v>
      </c>
    </row>
    <row r="9" spans="1:4" x14ac:dyDescent="0.25">
      <c r="A9" s="19">
        <v>1900</v>
      </c>
      <c r="B9" s="19">
        <v>792</v>
      </c>
      <c r="D9" s="19" t="s">
        <v>1332</v>
      </c>
    </row>
    <row r="10" spans="1:4" x14ac:dyDescent="0.25">
      <c r="A10" s="19">
        <v>1901</v>
      </c>
      <c r="B10" s="19">
        <v>805</v>
      </c>
      <c r="D10" s="19" t="s">
        <v>1333</v>
      </c>
    </row>
    <row r="11" spans="1:4" x14ac:dyDescent="0.25">
      <c r="A11" s="19">
        <v>1902</v>
      </c>
      <c r="B11" s="19">
        <v>1019</v>
      </c>
      <c r="D11" s="19" t="s">
        <v>1334</v>
      </c>
    </row>
    <row r="12" spans="1:4" x14ac:dyDescent="0.25">
      <c r="A12" s="19">
        <v>1903</v>
      </c>
      <c r="B12" s="19">
        <v>1306</v>
      </c>
    </row>
    <row r="13" spans="1:4" x14ac:dyDescent="0.25">
      <c r="A13" s="19">
        <v>1904</v>
      </c>
      <c r="B13" s="19">
        <v>1466</v>
      </c>
    </row>
    <row r="14" spans="1:4" x14ac:dyDescent="0.25">
      <c r="A14" s="19">
        <v>1905</v>
      </c>
      <c r="B14" s="19">
        <v>1505</v>
      </c>
    </row>
    <row r="15" spans="1:4" x14ac:dyDescent="0.25">
      <c r="A15" s="19">
        <v>1906</v>
      </c>
      <c r="B15" s="19">
        <v>1575</v>
      </c>
    </row>
    <row r="16" spans="1:4" x14ac:dyDescent="0.25">
      <c r="A16" s="19">
        <v>1907</v>
      </c>
      <c r="B16" s="19">
        <v>1448</v>
      </c>
    </row>
    <row r="17" spans="1:2" x14ac:dyDescent="0.25">
      <c r="A17" s="19">
        <v>1908</v>
      </c>
      <c r="B17" s="19">
        <v>1469</v>
      </c>
    </row>
    <row r="18" spans="1:2" x14ac:dyDescent="0.25">
      <c r="A18" s="19">
        <v>1909</v>
      </c>
      <c r="B18" s="19">
        <v>1538</v>
      </c>
    </row>
    <row r="19" spans="1:2" x14ac:dyDescent="0.25">
      <c r="A19" s="19">
        <v>1910</v>
      </c>
      <c r="B19" s="19">
        <v>1884</v>
      </c>
    </row>
    <row r="20" spans="1:2" x14ac:dyDescent="0.25">
      <c r="A20" s="19">
        <v>1911</v>
      </c>
      <c r="B20" s="19">
        <v>1951</v>
      </c>
    </row>
    <row r="21" spans="1:2" x14ac:dyDescent="0.25">
      <c r="A21" s="19">
        <v>1912</v>
      </c>
      <c r="B21" s="19">
        <v>2087</v>
      </c>
    </row>
    <row r="22" spans="1:2" x14ac:dyDescent="0.25">
      <c r="A22" s="19">
        <v>1913</v>
      </c>
      <c r="B22" s="19">
        <v>2268</v>
      </c>
    </row>
    <row r="23" spans="1:2" x14ac:dyDescent="0.25">
      <c r="A23" s="19">
        <v>1914</v>
      </c>
      <c r="B23" s="19">
        <v>2008</v>
      </c>
    </row>
    <row r="24" spans="1:2" x14ac:dyDescent="0.25">
      <c r="A24" s="19">
        <v>1915</v>
      </c>
      <c r="B24" s="19">
        <v>2265</v>
      </c>
    </row>
    <row r="25" spans="1:2" x14ac:dyDescent="0.25">
      <c r="A25" s="19">
        <v>1916</v>
      </c>
      <c r="B25" s="19">
        <v>3016</v>
      </c>
    </row>
    <row r="26" spans="1:2" x14ac:dyDescent="0.25">
      <c r="A26" s="19">
        <v>1917</v>
      </c>
      <c r="B26" s="19">
        <v>3086</v>
      </c>
    </row>
    <row r="27" spans="1:2" x14ac:dyDescent="0.25">
      <c r="A27" s="19">
        <v>1918</v>
      </c>
      <c r="B27" s="19">
        <v>3121</v>
      </c>
    </row>
    <row r="28" spans="1:2" x14ac:dyDescent="0.25">
      <c r="A28" s="19">
        <v>1919</v>
      </c>
      <c r="B28" s="19">
        <v>3712</v>
      </c>
    </row>
    <row r="29" spans="1:2" x14ac:dyDescent="0.25">
      <c r="A29" s="19">
        <v>1920</v>
      </c>
      <c r="B29" s="19">
        <v>3760</v>
      </c>
    </row>
    <row r="30" spans="1:2" x14ac:dyDescent="0.25">
      <c r="A30" s="19">
        <v>1921</v>
      </c>
      <c r="B30" s="19">
        <v>3786</v>
      </c>
    </row>
    <row r="31" spans="1:2" x14ac:dyDescent="0.25">
      <c r="A31" s="19">
        <v>1922</v>
      </c>
      <c r="B31" s="19">
        <v>4785</v>
      </c>
    </row>
    <row r="32" spans="1:2" x14ac:dyDescent="0.25">
      <c r="A32" s="19">
        <v>1923</v>
      </c>
      <c r="B32" s="19">
        <v>5323</v>
      </c>
    </row>
    <row r="33" spans="1:2" x14ac:dyDescent="0.25">
      <c r="A33" s="19">
        <v>1924</v>
      </c>
      <c r="B33" s="19">
        <v>5652</v>
      </c>
    </row>
    <row r="34" spans="1:2" x14ac:dyDescent="0.25">
      <c r="A34" s="19">
        <v>1925</v>
      </c>
      <c r="B34" s="19">
        <v>6464</v>
      </c>
    </row>
    <row r="35" spans="1:2" x14ac:dyDescent="0.25">
      <c r="A35" s="19">
        <v>1926</v>
      </c>
      <c r="B35" s="19">
        <v>6708</v>
      </c>
    </row>
    <row r="36" spans="1:2" x14ac:dyDescent="0.25">
      <c r="A36" s="19">
        <v>1927</v>
      </c>
      <c r="B36" s="19">
        <v>7016</v>
      </c>
    </row>
    <row r="37" spans="1:2" x14ac:dyDescent="0.25">
      <c r="A37" s="19">
        <v>1928</v>
      </c>
      <c r="B37" s="19">
        <v>7743</v>
      </c>
    </row>
    <row r="38" spans="1:2" x14ac:dyDescent="0.25">
      <c r="A38" s="19">
        <v>1929</v>
      </c>
      <c r="B38" s="19">
        <v>8448</v>
      </c>
    </row>
    <row r="39" spans="1:2" x14ac:dyDescent="0.25">
      <c r="A39" s="19">
        <v>1930</v>
      </c>
      <c r="B39" s="19">
        <v>11400</v>
      </c>
    </row>
    <row r="40" spans="1:2" x14ac:dyDescent="0.25">
      <c r="A40" s="19">
        <v>1931</v>
      </c>
      <c r="B40" s="19">
        <v>12602</v>
      </c>
    </row>
    <row r="41" spans="1:2" x14ac:dyDescent="0.25">
      <c r="A41" s="19">
        <v>1932</v>
      </c>
      <c r="B41" s="19">
        <v>13296</v>
      </c>
    </row>
    <row r="42" spans="1:2" x14ac:dyDescent="0.25">
      <c r="A42" s="19">
        <v>1933</v>
      </c>
      <c r="B42" s="19">
        <v>13354</v>
      </c>
    </row>
    <row r="43" spans="1:2" x14ac:dyDescent="0.25">
      <c r="A43" s="19">
        <v>1934</v>
      </c>
      <c r="B43" s="19">
        <v>11829</v>
      </c>
    </row>
    <row r="44" spans="1:2" x14ac:dyDescent="0.25">
      <c r="A44" s="19">
        <v>1935</v>
      </c>
      <c r="B44" s="19">
        <v>13481</v>
      </c>
    </row>
    <row r="45" spans="1:2" x14ac:dyDescent="0.25">
      <c r="A45" s="19">
        <v>1936</v>
      </c>
      <c r="B45" s="19">
        <v>15562</v>
      </c>
    </row>
    <row r="46" spans="1:2" x14ac:dyDescent="0.25">
      <c r="A46" s="19">
        <v>1937</v>
      </c>
      <c r="B46" s="19">
        <v>16017</v>
      </c>
    </row>
    <row r="47" spans="1:2" x14ac:dyDescent="0.25">
      <c r="A47" s="19">
        <v>1938</v>
      </c>
      <c r="B47" s="19">
        <v>16254</v>
      </c>
    </row>
    <row r="48" spans="1:2" x14ac:dyDescent="0.25">
      <c r="A48" s="19">
        <v>1939</v>
      </c>
      <c r="B48" s="19">
        <v>17927</v>
      </c>
    </row>
    <row r="49" spans="1:2" x14ac:dyDescent="0.25">
      <c r="A49" s="19">
        <v>1940</v>
      </c>
      <c r="B49" s="19">
        <v>18685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5"/>
  <sheetViews>
    <sheetView topLeftCell="A283" workbookViewId="0">
      <selection sqref="A1:H1"/>
    </sheetView>
  </sheetViews>
  <sheetFormatPr defaultRowHeight="12.75" x14ac:dyDescent="0.2"/>
  <sheetData>
    <row r="1" spans="1:8" x14ac:dyDescent="0.2">
      <c r="A1" s="30" t="s">
        <v>458</v>
      </c>
      <c r="B1" s="30"/>
      <c r="C1" s="30"/>
      <c r="D1" s="30"/>
      <c r="E1" s="30"/>
      <c r="F1" s="30"/>
      <c r="G1" s="30"/>
      <c r="H1" s="30"/>
    </row>
    <row r="4" spans="1:8" x14ac:dyDescent="0.2">
      <c r="A4" t="s">
        <v>456</v>
      </c>
      <c r="B4" t="s">
        <v>917</v>
      </c>
    </row>
    <row r="5" spans="1:8" x14ac:dyDescent="0.2">
      <c r="B5" t="s">
        <v>915</v>
      </c>
      <c r="C5" t="s">
        <v>916</v>
      </c>
    </row>
    <row r="6" spans="1:8" x14ac:dyDescent="0.2">
      <c r="A6">
        <v>1974</v>
      </c>
      <c r="B6">
        <v>10749</v>
      </c>
      <c r="C6">
        <v>767</v>
      </c>
      <c r="F6" t="s">
        <v>457</v>
      </c>
    </row>
    <row r="7" spans="1:8" x14ac:dyDescent="0.2">
      <c r="A7">
        <v>1975</v>
      </c>
      <c r="B7">
        <v>10249</v>
      </c>
      <c r="C7">
        <v>817</v>
      </c>
    </row>
    <row r="8" spans="1:8" x14ac:dyDescent="0.2">
      <c r="A8">
        <v>1976</v>
      </c>
      <c r="B8">
        <v>14036</v>
      </c>
      <c r="C8">
        <v>1131</v>
      </c>
    </row>
    <row r="9" spans="1:8" x14ac:dyDescent="0.2">
      <c r="A9" t="s">
        <v>454</v>
      </c>
      <c r="B9">
        <v>12529</v>
      </c>
      <c r="C9">
        <v>997</v>
      </c>
    </row>
    <row r="10" spans="1:8" x14ac:dyDescent="0.2">
      <c r="A10" t="s">
        <v>455</v>
      </c>
      <c r="B10">
        <v>13501</v>
      </c>
      <c r="C10">
        <v>1067</v>
      </c>
    </row>
    <row r="11" spans="1:8" x14ac:dyDescent="0.2">
      <c r="A11">
        <v>1978</v>
      </c>
      <c r="B11">
        <v>11717</v>
      </c>
      <c r="C11">
        <v>1163</v>
      </c>
    </row>
    <row r="12" spans="1:8" x14ac:dyDescent="0.2">
      <c r="A12">
        <v>1979</v>
      </c>
      <c r="B12">
        <v>11997</v>
      </c>
      <c r="C12">
        <v>990</v>
      </c>
    </row>
    <row r="13" spans="1:8" x14ac:dyDescent="0.2">
      <c r="A13">
        <v>1980</v>
      </c>
      <c r="B13">
        <v>12758</v>
      </c>
      <c r="C13">
        <v>1089</v>
      </c>
    </row>
    <row r="14" spans="1:8" x14ac:dyDescent="0.2">
      <c r="A14">
        <v>1981</v>
      </c>
      <c r="B14">
        <v>15018</v>
      </c>
      <c r="C14">
        <v>1239</v>
      </c>
    </row>
    <row r="15" spans="1:8" x14ac:dyDescent="0.2">
      <c r="A15">
        <v>1982</v>
      </c>
      <c r="B15">
        <v>16946</v>
      </c>
      <c r="C15">
        <v>1344</v>
      </c>
    </row>
    <row r="16" spans="1:8" x14ac:dyDescent="0.2">
      <c r="A16">
        <v>1983</v>
      </c>
      <c r="B16">
        <v>15965</v>
      </c>
      <c r="C16">
        <v>1544</v>
      </c>
    </row>
    <row r="17" spans="1:11" x14ac:dyDescent="0.2">
      <c r="A17">
        <v>1984</v>
      </c>
      <c r="B17">
        <v>17004</v>
      </c>
      <c r="C17">
        <v>1455</v>
      </c>
    </row>
    <row r="18" spans="1:11" x14ac:dyDescent="0.2">
      <c r="A18">
        <v>1985</v>
      </c>
      <c r="B18">
        <v>20300</v>
      </c>
      <c r="C18">
        <v>1685</v>
      </c>
    </row>
    <row r="21" spans="1:11" x14ac:dyDescent="0.2">
      <c r="A21" t="s">
        <v>362</v>
      </c>
    </row>
    <row r="22" spans="1:11" x14ac:dyDescent="0.2">
      <c r="A22" t="s">
        <v>1179</v>
      </c>
    </row>
    <row r="23" spans="1:11" x14ac:dyDescent="0.2">
      <c r="A23" t="s">
        <v>1180</v>
      </c>
    </row>
    <row r="24" spans="1:11" x14ac:dyDescent="0.2">
      <c r="A24" t="s">
        <v>1181</v>
      </c>
    </row>
    <row r="25" spans="1:11" x14ac:dyDescent="0.2">
      <c r="A25" t="s">
        <v>366</v>
      </c>
    </row>
    <row r="26" spans="1:11" x14ac:dyDescent="0.2">
      <c r="A26" t="s">
        <v>1182</v>
      </c>
    </row>
    <row r="27" spans="1:11" x14ac:dyDescent="0.2">
      <c r="A27" t="s">
        <v>368</v>
      </c>
    </row>
    <row r="28" spans="1:11" x14ac:dyDescent="0.2">
      <c r="A28" t="s">
        <v>1183</v>
      </c>
    </row>
    <row r="29" spans="1:11" x14ac:dyDescent="0.2">
      <c r="A29" t="s">
        <v>1184</v>
      </c>
    </row>
    <row r="30" spans="1:11" x14ac:dyDescent="0.2">
      <c r="A30" t="s">
        <v>1180</v>
      </c>
    </row>
    <row r="31" spans="1:11" x14ac:dyDescent="0.2">
      <c r="A31" t="s">
        <v>1017</v>
      </c>
      <c r="C31" t="s">
        <v>1020</v>
      </c>
      <c r="E31" t="s">
        <v>1185</v>
      </c>
      <c r="G31" t="s">
        <v>10</v>
      </c>
      <c r="I31" t="s">
        <v>20</v>
      </c>
      <c r="K31" t="s">
        <v>21</v>
      </c>
    </row>
    <row r="32" spans="1:11" x14ac:dyDescent="0.2">
      <c r="A32">
        <v>2000</v>
      </c>
      <c r="C32" s="1">
        <v>1394231</v>
      </c>
      <c r="E32" s="1">
        <v>145416</v>
      </c>
      <c r="G32" s="1">
        <v>1248815</v>
      </c>
      <c r="I32" s="1">
        <v>1303421</v>
      </c>
      <c r="K32" s="1">
        <v>93504</v>
      </c>
    </row>
    <row r="33" spans="1:12" x14ac:dyDescent="0.2">
      <c r="A33">
        <v>2001</v>
      </c>
      <c r="C33" s="1">
        <v>1404032</v>
      </c>
      <c r="E33" s="1">
        <v>156993</v>
      </c>
      <c r="G33" s="1">
        <v>1247039</v>
      </c>
      <c r="I33" s="1">
        <v>1311053</v>
      </c>
      <c r="K33" s="1">
        <v>92979</v>
      </c>
    </row>
    <row r="34" spans="1:12" x14ac:dyDescent="0.2">
      <c r="A34">
        <v>2002</v>
      </c>
      <c r="C34" s="1">
        <v>1440144</v>
      </c>
      <c r="E34" s="1">
        <v>163528</v>
      </c>
      <c r="G34" s="1">
        <v>1276616</v>
      </c>
      <c r="I34" s="1">
        <v>1342513</v>
      </c>
      <c r="K34" s="1">
        <v>97631</v>
      </c>
    </row>
    <row r="35" spans="1:12" x14ac:dyDescent="0.2">
      <c r="A35">
        <v>2003</v>
      </c>
      <c r="C35" s="1">
        <v>1468601</v>
      </c>
      <c r="E35" s="1">
        <v>173059</v>
      </c>
      <c r="G35" s="1">
        <v>1295542</v>
      </c>
      <c r="I35" s="1">
        <v>1367755</v>
      </c>
      <c r="K35" s="1">
        <v>100846</v>
      </c>
    </row>
    <row r="36" spans="1:12" x14ac:dyDescent="0.2">
      <c r="A36">
        <v>2004</v>
      </c>
      <c r="C36" s="1">
        <v>1497100</v>
      </c>
      <c r="E36" s="1">
        <v>180328</v>
      </c>
      <c r="G36" s="1">
        <v>1316772</v>
      </c>
      <c r="I36" s="1">
        <v>1392278</v>
      </c>
      <c r="K36" s="1">
        <v>104822</v>
      </c>
    </row>
    <row r="37" spans="1:12" x14ac:dyDescent="0.2">
      <c r="A37">
        <v>2005</v>
      </c>
      <c r="C37" s="1">
        <v>1525910</v>
      </c>
      <c r="E37" s="1">
        <v>187618</v>
      </c>
      <c r="G37" s="1">
        <v>1338292</v>
      </c>
      <c r="I37" s="1">
        <v>1418392</v>
      </c>
      <c r="K37" s="1">
        <v>107518</v>
      </c>
    </row>
    <row r="38" spans="1:12" x14ac:dyDescent="0.2">
      <c r="A38">
        <v>2006</v>
      </c>
      <c r="C38" s="1">
        <v>1568674</v>
      </c>
      <c r="E38" s="1">
        <v>193046</v>
      </c>
      <c r="G38" s="1">
        <v>1375628</v>
      </c>
      <c r="I38" s="1">
        <v>1456366</v>
      </c>
      <c r="K38" s="1">
        <v>112308</v>
      </c>
    </row>
    <row r="39" spans="1:12" x14ac:dyDescent="0.2">
      <c r="A39">
        <v>2007</v>
      </c>
      <c r="C39" s="1">
        <v>1596835</v>
      </c>
      <c r="E39" s="1">
        <v>199618</v>
      </c>
      <c r="G39" s="1">
        <v>1397217</v>
      </c>
      <c r="I39" s="1">
        <v>1482524</v>
      </c>
      <c r="K39" s="1">
        <v>114311</v>
      </c>
    </row>
    <row r="40" spans="1:12" x14ac:dyDescent="0.2">
      <c r="A40">
        <v>2008</v>
      </c>
      <c r="C40" s="1">
        <v>1608282</v>
      </c>
      <c r="E40" s="1">
        <v>201280</v>
      </c>
      <c r="G40" s="1">
        <v>1407002</v>
      </c>
      <c r="I40" s="1">
        <v>1493670</v>
      </c>
      <c r="K40" s="1">
        <v>114612</v>
      </c>
    </row>
    <row r="41" spans="1:12" x14ac:dyDescent="0.2">
      <c r="A41">
        <v>2009</v>
      </c>
      <c r="C41" s="1">
        <v>1615487</v>
      </c>
      <c r="E41" s="1">
        <v>208118</v>
      </c>
      <c r="G41" s="1">
        <v>1407369</v>
      </c>
      <c r="I41" s="1">
        <v>1502002</v>
      </c>
      <c r="K41" s="1">
        <v>113485</v>
      </c>
    </row>
    <row r="42" spans="1:12" x14ac:dyDescent="0.2">
      <c r="A42">
        <v>2010</v>
      </c>
      <c r="C42" s="1">
        <v>1613803</v>
      </c>
      <c r="E42" s="1">
        <v>209771</v>
      </c>
      <c r="G42" s="1">
        <v>1404032</v>
      </c>
      <c r="I42" s="1">
        <v>1500936</v>
      </c>
      <c r="K42" s="1">
        <v>112867</v>
      </c>
    </row>
    <row r="43" spans="1:12" x14ac:dyDescent="0.2">
      <c r="A43">
        <v>2011</v>
      </c>
      <c r="C43" s="1">
        <v>1598780</v>
      </c>
      <c r="E43" s="1">
        <v>216362</v>
      </c>
      <c r="G43" s="1">
        <v>1382418</v>
      </c>
      <c r="I43" s="1">
        <v>1487393</v>
      </c>
      <c r="K43" s="1">
        <v>111387</v>
      </c>
    </row>
    <row r="44" spans="1:12" x14ac:dyDescent="0.2">
      <c r="A44" t="s">
        <v>373</v>
      </c>
    </row>
    <row r="45" spans="1:12" x14ac:dyDescent="0.2">
      <c r="B45" t="s">
        <v>1186</v>
      </c>
      <c r="C45">
        <v>1.3</v>
      </c>
      <c r="D45" t="s">
        <v>375</v>
      </c>
      <c r="E45">
        <v>3.3</v>
      </c>
      <c r="F45" t="s">
        <v>375</v>
      </c>
      <c r="G45">
        <v>1.1000000000000001</v>
      </c>
      <c r="H45" t="s">
        <v>375</v>
      </c>
      <c r="I45">
        <v>1.3</v>
      </c>
      <c r="J45" t="s">
        <v>375</v>
      </c>
      <c r="K45">
        <v>1.7</v>
      </c>
      <c r="L45" t="s">
        <v>375</v>
      </c>
    </row>
    <row r="46" spans="1:12" x14ac:dyDescent="0.2">
      <c r="B46" t="s">
        <v>1187</v>
      </c>
      <c r="C46">
        <v>-0.9</v>
      </c>
      <c r="E46">
        <v>3.1</v>
      </c>
      <c r="G46">
        <v>-1.5</v>
      </c>
      <c r="I46">
        <v>-0.9</v>
      </c>
      <c r="K46">
        <v>-1.3</v>
      </c>
    </row>
    <row r="47" spans="1:12" x14ac:dyDescent="0.2">
      <c r="A47" t="s">
        <v>1188</v>
      </c>
    </row>
    <row r="48" spans="1:12" x14ac:dyDescent="0.2">
      <c r="A48" t="s">
        <v>1189</v>
      </c>
    </row>
    <row r="49" spans="1:15" x14ac:dyDescent="0.2">
      <c r="A49" t="s">
        <v>1190</v>
      </c>
    </row>
    <row r="52" spans="1:15" x14ac:dyDescent="0.2">
      <c r="A52" t="s">
        <v>362</v>
      </c>
    </row>
    <row r="53" spans="1:15" x14ac:dyDescent="0.2">
      <c r="A53" t="s">
        <v>363</v>
      </c>
    </row>
    <row r="54" spans="1:15" x14ac:dyDescent="0.2">
      <c r="A54" t="s">
        <v>364</v>
      </c>
    </row>
    <row r="55" spans="1:15" x14ac:dyDescent="0.2">
      <c r="A55" t="s">
        <v>365</v>
      </c>
    </row>
    <row r="56" spans="1:15" x14ac:dyDescent="0.2">
      <c r="A56" t="s">
        <v>366</v>
      </c>
    </row>
    <row r="57" spans="1:15" x14ac:dyDescent="0.2">
      <c r="A57" t="s">
        <v>367</v>
      </c>
    </row>
    <row r="58" spans="1:15" x14ac:dyDescent="0.2">
      <c r="A58" t="s">
        <v>368</v>
      </c>
    </row>
    <row r="59" spans="1:15" x14ac:dyDescent="0.2">
      <c r="A59" t="s">
        <v>369</v>
      </c>
    </row>
    <row r="61" spans="1:15" x14ac:dyDescent="0.2">
      <c r="A61" t="s">
        <v>364</v>
      </c>
    </row>
    <row r="62" spans="1:15" x14ac:dyDescent="0.2">
      <c r="A62" t="s">
        <v>1017</v>
      </c>
      <c r="C62" t="s">
        <v>1020</v>
      </c>
      <c r="E62" t="s">
        <v>370</v>
      </c>
      <c r="G62" t="s">
        <v>10</v>
      </c>
      <c r="I62" t="s">
        <v>20</v>
      </c>
      <c r="K62" t="s">
        <v>21</v>
      </c>
      <c r="M62" t="s">
        <v>371</v>
      </c>
      <c r="O62" t="s">
        <v>372</v>
      </c>
    </row>
    <row r="63" spans="1:15" x14ac:dyDescent="0.2">
      <c r="A63">
        <v>2000</v>
      </c>
      <c r="C63" s="1">
        <v>1391261</v>
      </c>
      <c r="E63" s="1">
        <v>145416</v>
      </c>
      <c r="G63" s="1">
        <v>1245845</v>
      </c>
      <c r="I63" s="1">
        <v>1298027</v>
      </c>
      <c r="K63" s="1">
        <v>93234</v>
      </c>
      <c r="M63" s="1">
        <v>1331278</v>
      </c>
      <c r="O63">
        <v>478</v>
      </c>
    </row>
    <row r="64" spans="1:15" x14ac:dyDescent="0.2">
      <c r="A64">
        <v>2001</v>
      </c>
      <c r="C64" s="1">
        <v>1404032</v>
      </c>
      <c r="E64" s="1">
        <v>156993</v>
      </c>
      <c r="G64" s="1">
        <v>1247039</v>
      </c>
      <c r="I64" s="1">
        <v>1311053</v>
      </c>
      <c r="K64" s="1">
        <v>92979</v>
      </c>
      <c r="M64" s="1">
        <v>1345217</v>
      </c>
      <c r="O64">
        <v>470</v>
      </c>
    </row>
    <row r="65" spans="1:16" x14ac:dyDescent="0.2">
      <c r="A65">
        <v>2002</v>
      </c>
      <c r="C65" s="1">
        <v>1440144</v>
      </c>
      <c r="E65" s="1">
        <v>163528</v>
      </c>
      <c r="G65" s="1">
        <v>1276616</v>
      </c>
      <c r="I65" s="1">
        <v>1342513</v>
      </c>
      <c r="K65" s="1">
        <v>97631</v>
      </c>
      <c r="M65" s="1">
        <v>1380516</v>
      </c>
      <c r="O65">
        <v>476</v>
      </c>
    </row>
    <row r="66" spans="1:16" x14ac:dyDescent="0.2">
      <c r="A66">
        <v>2003</v>
      </c>
      <c r="C66" s="1">
        <v>1468601</v>
      </c>
      <c r="E66" s="1">
        <v>173059</v>
      </c>
      <c r="G66" s="1">
        <v>1295542</v>
      </c>
      <c r="I66" s="1">
        <v>1367755</v>
      </c>
      <c r="K66" s="1">
        <v>100846</v>
      </c>
      <c r="M66" s="1">
        <v>1408361</v>
      </c>
      <c r="O66">
        <v>482</v>
      </c>
    </row>
    <row r="67" spans="1:16" x14ac:dyDescent="0.2">
      <c r="A67">
        <v>2004</v>
      </c>
      <c r="C67" s="1">
        <v>1497100</v>
      </c>
      <c r="E67" s="1">
        <v>180328</v>
      </c>
      <c r="G67" s="1">
        <v>1316772</v>
      </c>
      <c r="I67" s="1">
        <v>1392278</v>
      </c>
      <c r="K67" s="1">
        <v>104822</v>
      </c>
      <c r="M67" s="1">
        <v>1433728</v>
      </c>
      <c r="O67">
        <v>486</v>
      </c>
    </row>
    <row r="68" spans="1:16" x14ac:dyDescent="0.2">
      <c r="A68">
        <v>2005</v>
      </c>
      <c r="C68" s="1">
        <v>1527929</v>
      </c>
      <c r="E68" s="1">
        <v>187618</v>
      </c>
      <c r="G68" s="1">
        <v>1340311</v>
      </c>
      <c r="I68" s="1">
        <v>1420303</v>
      </c>
      <c r="K68" s="1">
        <v>107626</v>
      </c>
      <c r="M68" s="1">
        <v>1462866</v>
      </c>
      <c r="O68">
        <v>491</v>
      </c>
    </row>
    <row r="69" spans="1:16" x14ac:dyDescent="0.2">
      <c r="A69">
        <v>2006</v>
      </c>
      <c r="C69" s="1">
        <v>1569945</v>
      </c>
      <c r="E69" s="1">
        <v>193046</v>
      </c>
      <c r="G69" s="1">
        <v>1376899</v>
      </c>
      <c r="I69" s="1">
        <v>1457486</v>
      </c>
      <c r="K69" s="1">
        <v>112459</v>
      </c>
      <c r="M69" s="1">
        <v>1504660</v>
      </c>
      <c r="O69">
        <v>501</v>
      </c>
    </row>
    <row r="70" spans="1:16" x14ac:dyDescent="0.2">
      <c r="A70">
        <v>2007</v>
      </c>
      <c r="C70" s="1">
        <v>1598245</v>
      </c>
      <c r="E70" s="1">
        <v>199618</v>
      </c>
      <c r="G70" s="1">
        <v>1398627</v>
      </c>
      <c r="I70" s="1">
        <v>1483740</v>
      </c>
      <c r="K70" s="1">
        <v>114505</v>
      </c>
      <c r="M70" s="1">
        <v>1532850</v>
      </c>
      <c r="O70">
        <v>506</v>
      </c>
    </row>
    <row r="71" spans="1:16" x14ac:dyDescent="0.2">
      <c r="A71">
        <v>2008</v>
      </c>
      <c r="C71" s="1">
        <v>1609759</v>
      </c>
      <c r="E71" s="1">
        <v>201280</v>
      </c>
      <c r="G71" s="1">
        <v>1408479</v>
      </c>
      <c r="I71" s="1">
        <v>1495110</v>
      </c>
      <c r="K71" s="1">
        <v>114649</v>
      </c>
      <c r="M71" s="1">
        <v>1547742</v>
      </c>
      <c r="O71">
        <v>504</v>
      </c>
    </row>
    <row r="72" spans="1:16" x14ac:dyDescent="0.2">
      <c r="A72">
        <v>2009</v>
      </c>
      <c r="C72" s="1">
        <v>1617970</v>
      </c>
      <c r="E72" s="1">
        <v>208118</v>
      </c>
      <c r="G72" s="1">
        <v>1409852</v>
      </c>
      <c r="I72" s="1">
        <v>1504533</v>
      </c>
      <c r="K72" s="1">
        <v>113437</v>
      </c>
      <c r="M72" s="1">
        <v>1553703</v>
      </c>
      <c r="O72">
        <v>504</v>
      </c>
    </row>
    <row r="73" spans="1:16" x14ac:dyDescent="0.2">
      <c r="A73">
        <v>2010</v>
      </c>
      <c r="C73" s="1">
        <v>1612395</v>
      </c>
      <c r="E73" s="1">
        <v>209771</v>
      </c>
      <c r="G73" s="1">
        <v>1402624</v>
      </c>
      <c r="I73" s="1">
        <v>1499062</v>
      </c>
      <c r="K73" s="1">
        <v>113333</v>
      </c>
      <c r="M73" s="1">
        <v>1550241</v>
      </c>
      <c r="O73">
        <v>500</v>
      </c>
    </row>
    <row r="74" spans="1:16" x14ac:dyDescent="0.2">
      <c r="A74" t="s">
        <v>373</v>
      </c>
      <c r="I74">
        <v>2</v>
      </c>
    </row>
    <row r="75" spans="1:16" x14ac:dyDescent="0.2">
      <c r="B75" t="s">
        <v>374</v>
      </c>
      <c r="C75">
        <v>1.7</v>
      </c>
      <c r="D75" t="s">
        <v>375</v>
      </c>
      <c r="E75">
        <v>4.0999999999999996</v>
      </c>
      <c r="F75" t="s">
        <v>375</v>
      </c>
      <c r="G75">
        <v>1.4</v>
      </c>
      <c r="H75" t="s">
        <v>375</v>
      </c>
      <c r="I75">
        <v>-0.4</v>
      </c>
      <c r="J75" t="s">
        <v>375</v>
      </c>
      <c r="K75">
        <v>2.2000000000000002</v>
      </c>
      <c r="L75" t="s">
        <v>375</v>
      </c>
      <c r="M75">
        <v>1.7</v>
      </c>
      <c r="N75" t="s">
        <v>375</v>
      </c>
      <c r="O75">
        <v>0.6</v>
      </c>
      <c r="P75" t="s">
        <v>375</v>
      </c>
    </row>
    <row r="76" spans="1:16" x14ac:dyDescent="0.2">
      <c r="B76" t="s">
        <v>376</v>
      </c>
      <c r="C76">
        <v>-0.3</v>
      </c>
      <c r="E76">
        <v>0.8</v>
      </c>
      <c r="G76">
        <v>-0.5</v>
      </c>
      <c r="I76">
        <v>-0.6</v>
      </c>
      <c r="K76">
        <v>-0.1</v>
      </c>
      <c r="M76">
        <v>-0.2</v>
      </c>
      <c r="O76">
        <v>-0.8</v>
      </c>
    </row>
    <row r="77" spans="1:16" x14ac:dyDescent="0.2">
      <c r="A77" t="s">
        <v>377</v>
      </c>
    </row>
    <row r="78" spans="1:16" x14ac:dyDescent="0.2">
      <c r="A78" t="s">
        <v>378</v>
      </c>
    </row>
    <row r="79" spans="1:16" x14ac:dyDescent="0.2">
      <c r="A79" t="s">
        <v>379</v>
      </c>
    </row>
    <row r="80" spans="1:16" x14ac:dyDescent="0.2">
      <c r="A80" t="s">
        <v>380</v>
      </c>
    </row>
    <row r="81" spans="1:1" x14ac:dyDescent="0.2">
      <c r="A81" t="s">
        <v>381</v>
      </c>
    </row>
    <row r="85" spans="1:1" x14ac:dyDescent="0.2">
      <c r="A85" t="s">
        <v>389</v>
      </c>
    </row>
    <row r="86" spans="1:1" x14ac:dyDescent="0.2">
      <c r="A86" t="s">
        <v>390</v>
      </c>
    </row>
    <row r="88" spans="1:1" x14ac:dyDescent="0.2">
      <c r="A88" t="s">
        <v>391</v>
      </c>
    </row>
    <row r="90" spans="1:1" x14ac:dyDescent="0.2">
      <c r="A90" t="s">
        <v>392</v>
      </c>
    </row>
    <row r="91" spans="1:1" x14ac:dyDescent="0.2">
      <c r="A91" t="s">
        <v>393</v>
      </c>
    </row>
    <row r="93" spans="1:1" x14ac:dyDescent="0.2">
      <c r="A93" t="s">
        <v>394</v>
      </c>
    </row>
    <row r="95" spans="1:1" x14ac:dyDescent="0.2">
      <c r="A95" t="s">
        <v>395</v>
      </c>
    </row>
    <row r="97" spans="1:10" x14ac:dyDescent="0.2">
      <c r="F97" t="s">
        <v>20</v>
      </c>
      <c r="H97" t="s">
        <v>21</v>
      </c>
    </row>
    <row r="98" spans="1:10" x14ac:dyDescent="0.2">
      <c r="C98" t="s">
        <v>1020</v>
      </c>
      <c r="D98" t="s">
        <v>396</v>
      </c>
      <c r="F98" t="s">
        <v>397</v>
      </c>
      <c r="G98" t="s">
        <v>396</v>
      </c>
      <c r="I98" t="s">
        <v>397</v>
      </c>
      <c r="J98" t="s">
        <v>396</v>
      </c>
    </row>
    <row r="100" spans="1:10" x14ac:dyDescent="0.2">
      <c r="A100">
        <v>1925</v>
      </c>
      <c r="C100" s="1">
        <v>91669</v>
      </c>
      <c r="D100">
        <v>79</v>
      </c>
      <c r="F100" s="1">
        <v>88231</v>
      </c>
      <c r="G100">
        <v>149</v>
      </c>
      <c r="I100" s="1">
        <v>3438</v>
      </c>
      <c r="J100">
        <v>6</v>
      </c>
    </row>
    <row r="101" spans="1:10" x14ac:dyDescent="0.2">
      <c r="A101">
        <v>1926</v>
      </c>
      <c r="C101" s="1">
        <v>97991</v>
      </c>
      <c r="D101">
        <v>83</v>
      </c>
      <c r="F101" s="1">
        <v>94287</v>
      </c>
      <c r="G101">
        <v>157</v>
      </c>
      <c r="I101" s="1">
        <v>3704</v>
      </c>
      <c r="J101">
        <v>6</v>
      </c>
    </row>
    <row r="102" spans="1:10" x14ac:dyDescent="0.2">
      <c r="A102">
        <v>1927</v>
      </c>
      <c r="C102" s="1">
        <v>109983</v>
      </c>
      <c r="D102">
        <v>91</v>
      </c>
      <c r="F102" s="1">
        <v>104983</v>
      </c>
      <c r="G102">
        <v>173</v>
      </c>
      <c r="I102" s="1">
        <v>4363</v>
      </c>
      <c r="J102">
        <v>7</v>
      </c>
    </row>
    <row r="103" spans="1:10" x14ac:dyDescent="0.2">
      <c r="A103">
        <v>1928</v>
      </c>
      <c r="C103" s="1">
        <v>116390</v>
      </c>
      <c r="D103">
        <v>96</v>
      </c>
      <c r="F103" s="1">
        <v>111836</v>
      </c>
      <c r="G103">
        <v>182</v>
      </c>
      <c r="I103" s="1">
        <v>4554</v>
      </c>
      <c r="J103">
        <v>8</v>
      </c>
    </row>
    <row r="104" spans="1:10" x14ac:dyDescent="0.2">
      <c r="A104">
        <v>1929</v>
      </c>
      <c r="C104" s="1">
        <v>120496</v>
      </c>
      <c r="D104">
        <v>98</v>
      </c>
      <c r="F104" s="1">
        <v>115876</v>
      </c>
      <c r="G104">
        <v>187</v>
      </c>
      <c r="I104" s="1">
        <v>4620</v>
      </c>
      <c r="J104">
        <v>8</v>
      </c>
    </row>
    <row r="105" spans="1:10" x14ac:dyDescent="0.2">
      <c r="A105">
        <v>1930</v>
      </c>
      <c r="C105" s="1">
        <v>129453</v>
      </c>
      <c r="D105">
        <v>104</v>
      </c>
      <c r="F105" s="1">
        <v>124785</v>
      </c>
      <c r="G105">
        <v>200</v>
      </c>
      <c r="I105" s="1">
        <v>4668</v>
      </c>
      <c r="J105">
        <v>8</v>
      </c>
    </row>
    <row r="106" spans="1:10" x14ac:dyDescent="0.2">
      <c r="A106">
        <v>1931</v>
      </c>
      <c r="C106" s="1">
        <v>137082</v>
      </c>
      <c r="D106">
        <v>110</v>
      </c>
      <c r="F106" s="1">
        <v>132638</v>
      </c>
      <c r="G106">
        <v>211</v>
      </c>
      <c r="I106" s="1">
        <v>4444</v>
      </c>
      <c r="J106">
        <v>7</v>
      </c>
    </row>
    <row r="107" spans="1:10" x14ac:dyDescent="0.2">
      <c r="A107">
        <v>1932</v>
      </c>
      <c r="C107" s="1">
        <v>137997</v>
      </c>
      <c r="D107">
        <v>110</v>
      </c>
      <c r="F107" s="1">
        <v>133573</v>
      </c>
      <c r="G107">
        <v>211</v>
      </c>
      <c r="I107" s="1">
        <v>4424</v>
      </c>
      <c r="J107">
        <v>7</v>
      </c>
    </row>
    <row r="108" spans="1:10" x14ac:dyDescent="0.2">
      <c r="A108">
        <v>1933</v>
      </c>
      <c r="C108" s="1">
        <v>136810</v>
      </c>
      <c r="D108">
        <v>109</v>
      </c>
      <c r="F108" s="1">
        <v>132520</v>
      </c>
      <c r="G108">
        <v>209</v>
      </c>
      <c r="I108" s="1">
        <v>4290</v>
      </c>
      <c r="J108">
        <v>7</v>
      </c>
    </row>
    <row r="109" spans="1:10" x14ac:dyDescent="0.2">
      <c r="A109">
        <v>1934</v>
      </c>
      <c r="C109" s="1">
        <v>138316</v>
      </c>
      <c r="D109">
        <v>109</v>
      </c>
      <c r="F109" s="1">
        <v>133769</v>
      </c>
      <c r="G109">
        <v>209</v>
      </c>
      <c r="I109" s="1">
        <v>4547</v>
      </c>
      <c r="J109">
        <v>7</v>
      </c>
    </row>
    <row r="110" spans="1:10" x14ac:dyDescent="0.2">
      <c r="A110">
        <v>1935</v>
      </c>
      <c r="C110" s="1">
        <v>144180</v>
      </c>
      <c r="D110">
        <v>113</v>
      </c>
      <c r="F110" s="1">
        <v>139278</v>
      </c>
      <c r="G110">
        <v>217</v>
      </c>
      <c r="I110" s="1">
        <v>4902</v>
      </c>
      <c r="J110">
        <v>8</v>
      </c>
    </row>
    <row r="111" spans="1:10" x14ac:dyDescent="0.2">
      <c r="A111">
        <v>1936</v>
      </c>
      <c r="C111" s="1">
        <v>145038</v>
      </c>
      <c r="D111">
        <v>113</v>
      </c>
      <c r="F111" s="1">
        <v>139990</v>
      </c>
      <c r="G111">
        <v>217</v>
      </c>
      <c r="I111" s="1">
        <v>5048</v>
      </c>
      <c r="J111">
        <v>8</v>
      </c>
    </row>
    <row r="112" spans="1:10" x14ac:dyDescent="0.2">
      <c r="A112">
        <v>1937</v>
      </c>
      <c r="C112" s="1">
        <v>152741</v>
      </c>
      <c r="D112">
        <v>118</v>
      </c>
      <c r="F112" s="1">
        <v>147375</v>
      </c>
      <c r="G112">
        <v>227</v>
      </c>
      <c r="I112" s="1">
        <v>5366</v>
      </c>
      <c r="J112">
        <v>8</v>
      </c>
    </row>
    <row r="113" spans="1:10" x14ac:dyDescent="0.2">
      <c r="A113">
        <v>1938</v>
      </c>
      <c r="C113" s="1">
        <v>160285</v>
      </c>
      <c r="D113">
        <v>123</v>
      </c>
      <c r="F113" s="1">
        <v>154826</v>
      </c>
      <c r="G113">
        <v>236</v>
      </c>
      <c r="I113" s="1">
        <v>5459</v>
      </c>
      <c r="J113">
        <v>8</v>
      </c>
    </row>
    <row r="114" spans="1:10" x14ac:dyDescent="0.2">
      <c r="A114">
        <v>1939</v>
      </c>
      <c r="C114" s="1">
        <v>179818</v>
      </c>
      <c r="D114">
        <v>137</v>
      </c>
      <c r="F114" s="1">
        <v>173143</v>
      </c>
      <c r="G114">
        <v>263</v>
      </c>
      <c r="I114" s="1">
        <v>6675</v>
      </c>
      <c r="J114">
        <v>10</v>
      </c>
    </row>
    <row r="115" spans="1:10" x14ac:dyDescent="0.2">
      <c r="A115">
        <v>1940</v>
      </c>
      <c r="C115" s="1">
        <v>173706</v>
      </c>
      <c r="D115">
        <v>131</v>
      </c>
      <c r="F115" s="1">
        <v>167345</v>
      </c>
      <c r="G115">
        <v>252</v>
      </c>
      <c r="I115" s="1">
        <v>6361</v>
      </c>
      <c r="J115">
        <v>10</v>
      </c>
    </row>
    <row r="116" spans="1:10" x14ac:dyDescent="0.2">
      <c r="A116">
        <v>1941</v>
      </c>
      <c r="C116" s="1">
        <v>165439</v>
      </c>
      <c r="D116">
        <v>124</v>
      </c>
      <c r="F116" s="1">
        <v>159228</v>
      </c>
      <c r="G116">
        <v>239</v>
      </c>
      <c r="I116" s="1">
        <v>6211</v>
      </c>
      <c r="J116">
        <v>9</v>
      </c>
    </row>
    <row r="117" spans="1:10" x14ac:dyDescent="0.2">
      <c r="A117">
        <v>1942</v>
      </c>
      <c r="C117" s="1">
        <v>150384</v>
      </c>
      <c r="D117">
        <v>112</v>
      </c>
      <c r="F117" s="1">
        <v>144167</v>
      </c>
      <c r="G117">
        <v>217</v>
      </c>
      <c r="I117" s="1">
        <v>6217</v>
      </c>
      <c r="J117">
        <v>9</v>
      </c>
    </row>
    <row r="118" spans="1:10" x14ac:dyDescent="0.2">
      <c r="A118">
        <v>1943</v>
      </c>
      <c r="C118" s="1">
        <v>137220</v>
      </c>
      <c r="D118">
        <v>103</v>
      </c>
      <c r="F118" s="1">
        <v>131054</v>
      </c>
      <c r="G118">
        <v>202</v>
      </c>
      <c r="I118" s="1">
        <v>6166</v>
      </c>
      <c r="J118">
        <v>9</v>
      </c>
    </row>
    <row r="119" spans="1:10" x14ac:dyDescent="0.2">
      <c r="A119">
        <v>1944</v>
      </c>
      <c r="C119" s="1">
        <v>132456</v>
      </c>
      <c r="D119">
        <v>100</v>
      </c>
      <c r="F119" s="1">
        <v>126350</v>
      </c>
      <c r="G119">
        <v>200</v>
      </c>
      <c r="I119" s="1">
        <v>6106</v>
      </c>
      <c r="J119">
        <v>9</v>
      </c>
    </row>
    <row r="120" spans="1:10" x14ac:dyDescent="0.2">
      <c r="A120">
        <v>1945</v>
      </c>
      <c r="C120" s="1">
        <v>133649</v>
      </c>
      <c r="D120">
        <v>98</v>
      </c>
      <c r="F120" s="1">
        <v>127609</v>
      </c>
      <c r="G120">
        <v>193</v>
      </c>
      <c r="I120" s="1">
        <v>6040</v>
      </c>
      <c r="J120">
        <v>9</v>
      </c>
    </row>
    <row r="121" spans="1:10" x14ac:dyDescent="0.2">
      <c r="A121">
        <v>1946</v>
      </c>
      <c r="C121" s="1">
        <v>140079</v>
      </c>
      <c r="D121">
        <v>99</v>
      </c>
      <c r="F121" s="1">
        <v>134075</v>
      </c>
      <c r="G121">
        <v>191</v>
      </c>
      <c r="I121" s="1">
        <v>6004</v>
      </c>
      <c r="J121">
        <v>8</v>
      </c>
    </row>
    <row r="122" spans="1:10" x14ac:dyDescent="0.2">
      <c r="A122">
        <v>1947</v>
      </c>
      <c r="C122" s="1">
        <v>151304</v>
      </c>
      <c r="D122">
        <v>105</v>
      </c>
      <c r="F122" s="1">
        <v>144961</v>
      </c>
      <c r="G122">
        <v>202</v>
      </c>
      <c r="I122" s="1">
        <v>6343</v>
      </c>
      <c r="J122">
        <v>9</v>
      </c>
    </row>
    <row r="123" spans="1:10" x14ac:dyDescent="0.2">
      <c r="A123">
        <v>1948</v>
      </c>
      <c r="C123" s="1">
        <v>155977</v>
      </c>
      <c r="D123">
        <v>106</v>
      </c>
      <c r="F123" s="1">
        <v>149739</v>
      </c>
      <c r="G123">
        <v>205</v>
      </c>
      <c r="I123" s="1">
        <v>6238</v>
      </c>
      <c r="J123">
        <v>8</v>
      </c>
    </row>
    <row r="124" spans="1:10" x14ac:dyDescent="0.2">
      <c r="A124">
        <v>1949</v>
      </c>
      <c r="C124" s="1">
        <v>163749</v>
      </c>
      <c r="D124">
        <v>109</v>
      </c>
      <c r="F124" s="1">
        <v>157663</v>
      </c>
      <c r="G124">
        <v>211</v>
      </c>
      <c r="I124" s="1">
        <v>6086</v>
      </c>
      <c r="J124">
        <v>8</v>
      </c>
    </row>
    <row r="125" spans="1:10" x14ac:dyDescent="0.2">
      <c r="A125">
        <v>1950</v>
      </c>
      <c r="C125" s="1">
        <v>166123</v>
      </c>
      <c r="D125">
        <v>109</v>
      </c>
      <c r="F125" s="1">
        <v>160309</v>
      </c>
      <c r="G125">
        <v>211</v>
      </c>
      <c r="I125" s="1">
        <v>5814</v>
      </c>
      <c r="J125">
        <v>8</v>
      </c>
    </row>
    <row r="126" spans="1:10" x14ac:dyDescent="0.2">
      <c r="A126">
        <v>1951</v>
      </c>
      <c r="C126" s="1">
        <v>165680</v>
      </c>
      <c r="D126">
        <v>107</v>
      </c>
      <c r="F126" s="1">
        <v>159610</v>
      </c>
      <c r="G126">
        <v>208</v>
      </c>
      <c r="I126" s="1">
        <v>6070</v>
      </c>
      <c r="J126">
        <v>8</v>
      </c>
    </row>
    <row r="127" spans="1:10" x14ac:dyDescent="0.2">
      <c r="A127">
        <v>1952</v>
      </c>
      <c r="C127" s="1">
        <v>168233</v>
      </c>
      <c r="D127">
        <v>107</v>
      </c>
      <c r="F127" s="1">
        <v>161994</v>
      </c>
      <c r="G127">
        <v>208</v>
      </c>
      <c r="I127" s="1">
        <v>6239</v>
      </c>
      <c r="J127">
        <v>8</v>
      </c>
    </row>
    <row r="128" spans="1:10" x14ac:dyDescent="0.2">
      <c r="A128">
        <v>1953</v>
      </c>
      <c r="C128" s="1">
        <v>173579</v>
      </c>
      <c r="D128">
        <v>108</v>
      </c>
      <c r="F128" s="1">
        <v>166909</v>
      </c>
      <c r="G128">
        <v>211</v>
      </c>
      <c r="I128" s="1">
        <v>6670</v>
      </c>
      <c r="J128">
        <v>8</v>
      </c>
    </row>
    <row r="129" spans="1:10" x14ac:dyDescent="0.2">
      <c r="A129">
        <v>1954</v>
      </c>
      <c r="C129" s="1">
        <v>182901</v>
      </c>
      <c r="D129">
        <v>112</v>
      </c>
      <c r="F129" s="1">
        <v>175907</v>
      </c>
      <c r="G129">
        <v>218</v>
      </c>
      <c r="I129" s="1">
        <v>6994</v>
      </c>
      <c r="J129">
        <v>8</v>
      </c>
    </row>
    <row r="130" spans="1:10" x14ac:dyDescent="0.2">
      <c r="A130">
        <v>1955</v>
      </c>
      <c r="C130" s="1">
        <v>185780</v>
      </c>
      <c r="D130">
        <v>112</v>
      </c>
      <c r="F130" s="1">
        <v>178655</v>
      </c>
      <c r="G130">
        <v>217</v>
      </c>
      <c r="I130" s="1">
        <v>7125</v>
      </c>
      <c r="J130">
        <v>8</v>
      </c>
    </row>
    <row r="131" spans="1:10" x14ac:dyDescent="0.2">
      <c r="A131">
        <v>1956</v>
      </c>
      <c r="C131" s="1">
        <v>189565</v>
      </c>
      <c r="D131">
        <v>112</v>
      </c>
      <c r="F131" s="1">
        <v>182190</v>
      </c>
      <c r="G131">
        <v>218</v>
      </c>
      <c r="I131" s="1">
        <v>7375</v>
      </c>
      <c r="J131">
        <v>9</v>
      </c>
    </row>
    <row r="132" spans="1:10" x14ac:dyDescent="0.2">
      <c r="A132">
        <v>1957</v>
      </c>
      <c r="C132" s="1">
        <v>195414</v>
      </c>
      <c r="D132">
        <v>113</v>
      </c>
      <c r="F132" s="1">
        <v>188113</v>
      </c>
      <c r="G132">
        <v>221</v>
      </c>
      <c r="I132" s="1">
        <v>7301</v>
      </c>
      <c r="J132">
        <v>8</v>
      </c>
    </row>
    <row r="133" spans="1:10" x14ac:dyDescent="0.2">
      <c r="A133">
        <v>1958</v>
      </c>
      <c r="C133" s="1">
        <v>205643</v>
      </c>
      <c r="D133">
        <v>117</v>
      </c>
      <c r="F133" s="1">
        <v>198208</v>
      </c>
      <c r="G133">
        <v>229</v>
      </c>
      <c r="I133" s="1">
        <v>7435</v>
      </c>
      <c r="J133">
        <v>8</v>
      </c>
    </row>
    <row r="134" spans="1:10" x14ac:dyDescent="0.2">
      <c r="A134">
        <v>1959</v>
      </c>
      <c r="C134" s="1">
        <v>208105</v>
      </c>
      <c r="D134">
        <v>117</v>
      </c>
      <c r="F134" s="1">
        <v>200469</v>
      </c>
      <c r="G134">
        <v>228</v>
      </c>
      <c r="I134" s="1">
        <v>7636</v>
      </c>
      <c r="J134">
        <v>8</v>
      </c>
    </row>
    <row r="135" spans="1:10" x14ac:dyDescent="0.2">
      <c r="A135">
        <v>1960</v>
      </c>
      <c r="C135" s="1">
        <v>212953</v>
      </c>
      <c r="D135">
        <v>117</v>
      </c>
      <c r="F135" s="1">
        <v>205265</v>
      </c>
      <c r="G135">
        <v>230</v>
      </c>
      <c r="I135" s="1">
        <v>7688</v>
      </c>
      <c r="J135">
        <v>8</v>
      </c>
    </row>
    <row r="136" spans="1:10" x14ac:dyDescent="0.2">
      <c r="A136">
        <v>1961</v>
      </c>
      <c r="C136" s="1">
        <v>220149</v>
      </c>
      <c r="D136">
        <v>119</v>
      </c>
      <c r="F136" s="1">
        <v>212268</v>
      </c>
      <c r="G136">
        <v>234</v>
      </c>
      <c r="I136" s="1">
        <v>7881</v>
      </c>
      <c r="J136">
        <v>8</v>
      </c>
    </row>
    <row r="137" spans="1:10" x14ac:dyDescent="0.2">
      <c r="A137">
        <v>1962</v>
      </c>
      <c r="C137" s="1">
        <v>218830</v>
      </c>
      <c r="D137">
        <v>117</v>
      </c>
      <c r="F137" s="1">
        <v>210823</v>
      </c>
      <c r="G137">
        <v>229</v>
      </c>
      <c r="I137" s="1">
        <v>8007</v>
      </c>
      <c r="J137">
        <v>8</v>
      </c>
    </row>
    <row r="138" spans="1:10" x14ac:dyDescent="0.2">
      <c r="A138">
        <v>1963</v>
      </c>
      <c r="C138" s="1">
        <v>217283</v>
      </c>
      <c r="D138">
        <v>114</v>
      </c>
      <c r="F138" s="1">
        <v>209538</v>
      </c>
      <c r="G138">
        <v>225</v>
      </c>
      <c r="I138" s="1">
        <v>7745</v>
      </c>
      <c r="J138">
        <v>8</v>
      </c>
    </row>
    <row r="139" spans="1:10" x14ac:dyDescent="0.2">
      <c r="A139">
        <v>1964</v>
      </c>
      <c r="C139" s="1">
        <v>214336</v>
      </c>
      <c r="D139">
        <v>111</v>
      </c>
      <c r="F139" s="1">
        <v>206632</v>
      </c>
      <c r="G139">
        <v>219</v>
      </c>
      <c r="I139" s="1">
        <v>7704</v>
      </c>
      <c r="J139">
        <v>8</v>
      </c>
    </row>
    <row r="140" spans="1:10" x14ac:dyDescent="0.2">
      <c r="A140">
        <v>1965</v>
      </c>
      <c r="C140" s="1">
        <v>210895</v>
      </c>
      <c r="D140">
        <v>108</v>
      </c>
      <c r="F140" s="1">
        <v>203327</v>
      </c>
      <c r="G140">
        <v>213</v>
      </c>
      <c r="I140" s="1">
        <v>7568</v>
      </c>
      <c r="J140">
        <v>8</v>
      </c>
    </row>
    <row r="141" spans="1:10" x14ac:dyDescent="0.2">
      <c r="A141">
        <v>1966</v>
      </c>
      <c r="C141" s="1">
        <v>199654</v>
      </c>
      <c r="D141">
        <v>102</v>
      </c>
      <c r="F141" s="1">
        <v>192703</v>
      </c>
      <c r="G141">
        <v>201</v>
      </c>
      <c r="I141" s="1">
        <v>6951</v>
      </c>
      <c r="J141">
        <v>7</v>
      </c>
    </row>
    <row r="142" spans="1:10" x14ac:dyDescent="0.2">
      <c r="A142">
        <v>1967</v>
      </c>
      <c r="C142" s="1">
        <v>194896</v>
      </c>
      <c r="D142">
        <v>98</v>
      </c>
      <c r="F142" s="1">
        <v>188661</v>
      </c>
      <c r="G142">
        <v>195</v>
      </c>
      <c r="I142" s="1">
        <v>6235</v>
      </c>
      <c r="J142">
        <v>6</v>
      </c>
    </row>
    <row r="143" spans="1:10" x14ac:dyDescent="0.2">
      <c r="A143">
        <v>1968</v>
      </c>
      <c r="C143" s="1">
        <v>187914</v>
      </c>
      <c r="D143">
        <v>94</v>
      </c>
      <c r="F143" s="1">
        <v>182102</v>
      </c>
      <c r="G143">
        <v>187</v>
      </c>
      <c r="I143" s="1">
        <v>5812</v>
      </c>
      <c r="J143">
        <v>6</v>
      </c>
    </row>
    <row r="144" spans="1:10" x14ac:dyDescent="0.2">
      <c r="A144">
        <v>1969</v>
      </c>
      <c r="C144" s="1">
        <v>196007</v>
      </c>
      <c r="D144">
        <v>97</v>
      </c>
      <c r="F144" s="1">
        <v>189413</v>
      </c>
      <c r="G144">
        <v>192</v>
      </c>
      <c r="I144" s="1">
        <v>6594</v>
      </c>
      <c r="J144">
        <v>6</v>
      </c>
    </row>
    <row r="145" spans="1:10" x14ac:dyDescent="0.2">
      <c r="A145">
        <v>1970</v>
      </c>
      <c r="C145" s="1">
        <v>196429</v>
      </c>
      <c r="D145">
        <v>96</v>
      </c>
      <c r="F145" s="1">
        <v>190794</v>
      </c>
      <c r="G145">
        <v>191</v>
      </c>
      <c r="I145" s="1">
        <v>5635</v>
      </c>
      <c r="J145">
        <v>5</v>
      </c>
    </row>
    <row r="146" spans="1:10" x14ac:dyDescent="0.2">
      <c r="A146">
        <v>1971</v>
      </c>
      <c r="C146" s="1">
        <v>198061</v>
      </c>
      <c r="D146">
        <v>95</v>
      </c>
      <c r="F146" s="1">
        <v>191732</v>
      </c>
      <c r="G146">
        <v>189</v>
      </c>
      <c r="I146" s="1">
        <v>6329</v>
      </c>
      <c r="J146">
        <v>6</v>
      </c>
    </row>
    <row r="147" spans="1:10" x14ac:dyDescent="0.2">
      <c r="A147">
        <v>1972</v>
      </c>
      <c r="C147" s="1">
        <v>196092</v>
      </c>
      <c r="D147">
        <v>93</v>
      </c>
      <c r="F147" s="1">
        <v>189823</v>
      </c>
      <c r="G147">
        <v>185</v>
      </c>
      <c r="I147" s="1">
        <v>6269</v>
      </c>
      <c r="J147">
        <v>6</v>
      </c>
    </row>
    <row r="148" spans="1:10" x14ac:dyDescent="0.2">
      <c r="A148">
        <v>1973</v>
      </c>
      <c r="C148" s="1">
        <v>204211</v>
      </c>
      <c r="D148">
        <v>96</v>
      </c>
      <c r="F148" s="1">
        <v>197523</v>
      </c>
      <c r="G148">
        <v>191</v>
      </c>
      <c r="I148" s="1">
        <v>6004</v>
      </c>
      <c r="J148">
        <v>6</v>
      </c>
    </row>
    <row r="149" spans="1:10" x14ac:dyDescent="0.2">
      <c r="A149">
        <v>1974</v>
      </c>
      <c r="C149" s="1">
        <v>218466</v>
      </c>
      <c r="D149">
        <v>102</v>
      </c>
      <c r="F149" s="1">
        <v>211077</v>
      </c>
      <c r="G149">
        <v>202</v>
      </c>
      <c r="I149" s="1">
        <v>7389</v>
      </c>
      <c r="J149">
        <v>7</v>
      </c>
    </row>
    <row r="150" spans="1:10" x14ac:dyDescent="0.2">
      <c r="A150">
        <v>1975</v>
      </c>
      <c r="C150" s="1">
        <v>240593</v>
      </c>
      <c r="D150">
        <v>111</v>
      </c>
      <c r="F150" s="1">
        <v>231918</v>
      </c>
      <c r="G150">
        <v>220</v>
      </c>
      <c r="I150" s="1">
        <v>8675</v>
      </c>
      <c r="J150">
        <v>8</v>
      </c>
    </row>
    <row r="151" spans="1:10" x14ac:dyDescent="0.2">
      <c r="A151">
        <v>1976</v>
      </c>
      <c r="C151" s="1">
        <v>262833</v>
      </c>
      <c r="D151">
        <v>120</v>
      </c>
      <c r="F151" s="1">
        <v>252794</v>
      </c>
      <c r="G151">
        <v>238</v>
      </c>
      <c r="I151" s="1">
        <v>10039</v>
      </c>
      <c r="J151">
        <v>9</v>
      </c>
    </row>
    <row r="152" spans="1:10" x14ac:dyDescent="0.2">
      <c r="A152">
        <v>1977</v>
      </c>
      <c r="B152" t="s">
        <v>398</v>
      </c>
      <c r="C152" s="1">
        <v>278141</v>
      </c>
      <c r="D152">
        <v>126</v>
      </c>
      <c r="F152" s="1">
        <v>267097</v>
      </c>
      <c r="G152">
        <v>249</v>
      </c>
      <c r="I152" s="1">
        <v>11044</v>
      </c>
      <c r="J152">
        <v>10</v>
      </c>
    </row>
    <row r="153" spans="1:10" x14ac:dyDescent="0.2">
      <c r="C153" s="1"/>
      <c r="F153" s="1"/>
      <c r="I153" s="1"/>
    </row>
    <row r="154" spans="1:10" x14ac:dyDescent="0.2">
      <c r="A154">
        <v>1977</v>
      </c>
      <c r="B154" t="s">
        <v>399</v>
      </c>
      <c r="C154" s="1">
        <v>285456</v>
      </c>
      <c r="D154">
        <v>129</v>
      </c>
      <c r="F154" s="1">
        <v>274244</v>
      </c>
      <c r="G154">
        <v>255</v>
      </c>
      <c r="I154" s="1">
        <v>11212</v>
      </c>
      <c r="J154">
        <v>10</v>
      </c>
    </row>
    <row r="155" spans="1:10" x14ac:dyDescent="0.2">
      <c r="A155">
        <v>1978</v>
      </c>
      <c r="C155" s="1">
        <v>294396</v>
      </c>
      <c r="D155">
        <v>132</v>
      </c>
      <c r="F155" s="1">
        <v>282813</v>
      </c>
      <c r="G155">
        <v>261</v>
      </c>
      <c r="I155" s="1">
        <v>11583</v>
      </c>
      <c r="J155">
        <v>10</v>
      </c>
    </row>
    <row r="156" spans="1:10" x14ac:dyDescent="0.2">
      <c r="A156">
        <v>1979</v>
      </c>
      <c r="C156" s="1">
        <v>301470</v>
      </c>
      <c r="D156">
        <v>133</v>
      </c>
      <c r="F156" s="1">
        <v>289465</v>
      </c>
      <c r="G156">
        <v>264</v>
      </c>
      <c r="I156" s="1">
        <v>12005</v>
      </c>
      <c r="J156">
        <v>10</v>
      </c>
    </row>
    <row r="157" spans="1:10" x14ac:dyDescent="0.2">
      <c r="A157">
        <v>1980</v>
      </c>
      <c r="C157" s="1">
        <v>315974</v>
      </c>
      <c r="D157">
        <v>139</v>
      </c>
      <c r="F157" s="1">
        <v>303643</v>
      </c>
      <c r="G157">
        <v>275</v>
      </c>
      <c r="I157" s="1">
        <v>12331</v>
      </c>
      <c r="J157">
        <v>11</v>
      </c>
    </row>
    <row r="158" spans="1:10" x14ac:dyDescent="0.2">
      <c r="A158">
        <v>1981</v>
      </c>
      <c r="C158" s="1">
        <v>353673</v>
      </c>
      <c r="D158">
        <v>154</v>
      </c>
      <c r="F158" s="1">
        <v>339375</v>
      </c>
      <c r="G158">
        <v>304</v>
      </c>
      <c r="I158" s="1">
        <v>14298</v>
      </c>
      <c r="J158">
        <v>12</v>
      </c>
    </row>
    <row r="159" spans="1:10" x14ac:dyDescent="0.2">
      <c r="A159">
        <v>1982</v>
      </c>
      <c r="C159" s="1">
        <v>395516</v>
      </c>
      <c r="D159">
        <v>171</v>
      </c>
      <c r="F159" s="1">
        <v>379075</v>
      </c>
      <c r="G159">
        <v>337</v>
      </c>
      <c r="I159" s="1">
        <v>16441</v>
      </c>
      <c r="J159">
        <v>14</v>
      </c>
    </row>
    <row r="160" spans="1:10" x14ac:dyDescent="0.2">
      <c r="A160">
        <v>1983</v>
      </c>
      <c r="C160" s="1">
        <v>419346</v>
      </c>
      <c r="D160">
        <v>179</v>
      </c>
      <c r="F160" s="1">
        <v>401870</v>
      </c>
      <c r="G160">
        <v>354</v>
      </c>
      <c r="I160" s="1">
        <v>17476</v>
      </c>
      <c r="J160">
        <v>15</v>
      </c>
    </row>
    <row r="161" spans="1:10" x14ac:dyDescent="0.2">
      <c r="A161">
        <v>1984</v>
      </c>
      <c r="C161" s="1">
        <v>443398</v>
      </c>
      <c r="D161">
        <v>188</v>
      </c>
      <c r="F161" s="1">
        <v>424193</v>
      </c>
      <c r="G161">
        <v>370</v>
      </c>
      <c r="I161" s="1">
        <v>19205</v>
      </c>
      <c r="J161">
        <v>16</v>
      </c>
    </row>
    <row r="162" spans="1:10" x14ac:dyDescent="0.2">
      <c r="A162">
        <v>1985</v>
      </c>
      <c r="C162" s="1">
        <v>480568</v>
      </c>
      <c r="D162">
        <v>202</v>
      </c>
      <c r="F162" s="1">
        <v>459223</v>
      </c>
      <c r="G162">
        <v>397</v>
      </c>
      <c r="I162" s="1">
        <v>21345</v>
      </c>
      <c r="J162">
        <v>17</v>
      </c>
    </row>
    <row r="163" spans="1:10" x14ac:dyDescent="0.2">
      <c r="A163">
        <v>1986</v>
      </c>
      <c r="C163" s="1">
        <v>522084</v>
      </c>
      <c r="D163">
        <v>217</v>
      </c>
      <c r="F163" s="1">
        <v>497540</v>
      </c>
      <c r="G163">
        <v>426</v>
      </c>
      <c r="I163" s="1">
        <v>24544</v>
      </c>
      <c r="J163">
        <v>20</v>
      </c>
    </row>
    <row r="164" spans="1:10" x14ac:dyDescent="0.2">
      <c r="A164">
        <v>1987</v>
      </c>
      <c r="C164" s="1">
        <v>560812</v>
      </c>
      <c r="D164">
        <v>231</v>
      </c>
      <c r="F164" s="1">
        <v>533990</v>
      </c>
      <c r="G164">
        <v>453</v>
      </c>
      <c r="I164" s="1">
        <v>26822</v>
      </c>
      <c r="J164">
        <v>22</v>
      </c>
    </row>
    <row r="165" spans="1:10" x14ac:dyDescent="0.2">
      <c r="A165">
        <v>1988</v>
      </c>
      <c r="C165" s="1">
        <v>603732</v>
      </c>
      <c r="D165">
        <v>247</v>
      </c>
      <c r="F165" s="1">
        <v>573587</v>
      </c>
      <c r="G165">
        <v>482</v>
      </c>
      <c r="I165" s="1">
        <v>30145</v>
      </c>
      <c r="J165">
        <v>24</v>
      </c>
    </row>
    <row r="166" spans="1:10" x14ac:dyDescent="0.2">
      <c r="A166">
        <v>1989</v>
      </c>
      <c r="C166" s="1">
        <v>680907</v>
      </c>
      <c r="D166">
        <v>276</v>
      </c>
      <c r="F166" s="1">
        <v>643643</v>
      </c>
      <c r="G166">
        <v>535</v>
      </c>
      <c r="I166" s="1">
        <v>37264</v>
      </c>
      <c r="J166">
        <v>29</v>
      </c>
    </row>
    <row r="167" spans="1:10" x14ac:dyDescent="0.2">
      <c r="A167">
        <v>1990</v>
      </c>
      <c r="C167" s="1">
        <v>739980</v>
      </c>
      <c r="D167">
        <v>297</v>
      </c>
      <c r="F167" s="1">
        <v>699416</v>
      </c>
      <c r="G167">
        <v>575</v>
      </c>
      <c r="I167" s="1">
        <v>40564</v>
      </c>
      <c r="J167">
        <v>32</v>
      </c>
    </row>
    <row r="168" spans="1:10" x14ac:dyDescent="0.2">
      <c r="A168">
        <v>1991</v>
      </c>
      <c r="C168" s="1">
        <v>789610</v>
      </c>
      <c r="D168">
        <v>313</v>
      </c>
      <c r="F168" s="1">
        <v>745808</v>
      </c>
      <c r="G168">
        <v>606</v>
      </c>
      <c r="I168" s="1">
        <v>43802</v>
      </c>
      <c r="J168">
        <v>34</v>
      </c>
    </row>
    <row r="169" spans="1:10" x14ac:dyDescent="0.2">
      <c r="A169">
        <v>1992</v>
      </c>
      <c r="C169" s="1">
        <v>846277</v>
      </c>
      <c r="D169">
        <v>332</v>
      </c>
      <c r="F169" s="1">
        <v>799776</v>
      </c>
      <c r="G169">
        <v>642</v>
      </c>
      <c r="I169" s="1">
        <v>46501</v>
      </c>
      <c r="J169">
        <v>36</v>
      </c>
    </row>
    <row r="170" spans="1:10" x14ac:dyDescent="0.2">
      <c r="A170">
        <v>1993</v>
      </c>
      <c r="C170" s="1">
        <v>932074</v>
      </c>
      <c r="D170">
        <v>359</v>
      </c>
      <c r="F170" s="1">
        <v>878037</v>
      </c>
      <c r="G170">
        <v>698</v>
      </c>
      <c r="I170" s="1">
        <v>54037</v>
      </c>
      <c r="J170">
        <v>41</v>
      </c>
    </row>
    <row r="171" spans="1:10" x14ac:dyDescent="0.2">
      <c r="A171">
        <v>1994</v>
      </c>
      <c r="C171" s="1">
        <v>1016691</v>
      </c>
      <c r="D171">
        <v>389</v>
      </c>
      <c r="F171" s="1">
        <v>956566</v>
      </c>
      <c r="G171">
        <v>753</v>
      </c>
      <c r="I171" s="1">
        <v>60125</v>
      </c>
      <c r="J171">
        <v>45</v>
      </c>
    </row>
    <row r="172" spans="1:10" x14ac:dyDescent="0.2">
      <c r="A172">
        <v>1995</v>
      </c>
      <c r="C172" s="1">
        <v>1085022</v>
      </c>
      <c r="D172">
        <v>411</v>
      </c>
      <c r="F172" s="1">
        <v>1021059</v>
      </c>
      <c r="G172">
        <v>789</v>
      </c>
      <c r="I172" s="1">
        <v>63963</v>
      </c>
      <c r="J172">
        <v>47</v>
      </c>
    </row>
    <row r="173" spans="1:10" x14ac:dyDescent="0.2">
      <c r="A173">
        <v>1996</v>
      </c>
      <c r="C173" s="1">
        <v>1137722</v>
      </c>
      <c r="D173">
        <v>427</v>
      </c>
      <c r="F173" s="1">
        <v>1068123</v>
      </c>
      <c r="G173">
        <v>819</v>
      </c>
      <c r="I173" s="1">
        <v>69599</v>
      </c>
      <c r="J173">
        <v>51</v>
      </c>
    </row>
    <row r="174" spans="1:10" x14ac:dyDescent="0.2">
      <c r="A174">
        <v>1997</v>
      </c>
      <c r="C174" s="1">
        <v>1194581</v>
      </c>
      <c r="D174">
        <v>444</v>
      </c>
      <c r="F174" s="1">
        <v>1120787</v>
      </c>
      <c r="G174">
        <v>853</v>
      </c>
      <c r="I174" s="1">
        <v>73794</v>
      </c>
      <c r="J174">
        <v>54</v>
      </c>
    </row>
    <row r="175" spans="1:10" x14ac:dyDescent="0.2">
      <c r="A175">
        <v>1998</v>
      </c>
      <c r="C175" s="1">
        <v>1245402</v>
      </c>
      <c r="D175">
        <v>461</v>
      </c>
      <c r="F175" s="1">
        <v>1167802</v>
      </c>
      <c r="G175">
        <v>885</v>
      </c>
      <c r="I175" s="1">
        <v>77600</v>
      </c>
      <c r="J175">
        <v>57</v>
      </c>
    </row>
    <row r="176" spans="1:10" x14ac:dyDescent="0.2">
      <c r="A176">
        <v>1999</v>
      </c>
      <c r="C176" s="1">
        <v>1304074</v>
      </c>
      <c r="D176">
        <v>463</v>
      </c>
      <c r="E176" t="s">
        <v>400</v>
      </c>
      <c r="F176" s="1">
        <v>1221611</v>
      </c>
      <c r="G176">
        <v>913</v>
      </c>
      <c r="I176" s="1">
        <v>82463</v>
      </c>
      <c r="J176">
        <v>59</v>
      </c>
    </row>
    <row r="177" spans="1:10" x14ac:dyDescent="0.2">
      <c r="A177">
        <v>2000</v>
      </c>
      <c r="C177" s="1">
        <v>1331278</v>
      </c>
      <c r="D177">
        <v>478</v>
      </c>
      <c r="E177" t="s">
        <v>400</v>
      </c>
      <c r="F177" s="1">
        <v>1246234</v>
      </c>
      <c r="G177">
        <v>915</v>
      </c>
      <c r="I177" s="1">
        <v>85044</v>
      </c>
      <c r="J177">
        <v>59</v>
      </c>
    </row>
    <row r="178" spans="1:10" x14ac:dyDescent="0.2">
      <c r="A178">
        <v>2001</v>
      </c>
      <c r="C178" s="1">
        <v>1345217</v>
      </c>
      <c r="D178">
        <v>470</v>
      </c>
      <c r="F178" s="1">
        <v>1260033</v>
      </c>
      <c r="G178">
        <v>896</v>
      </c>
      <c r="I178" s="1">
        <v>85184</v>
      </c>
      <c r="J178">
        <v>58</v>
      </c>
    </row>
    <row r="179" spans="1:10" x14ac:dyDescent="0.2">
      <c r="A179">
        <v>2002</v>
      </c>
      <c r="C179" s="1">
        <v>1380516</v>
      </c>
      <c r="D179">
        <v>476</v>
      </c>
      <c r="F179" s="1">
        <v>1291450</v>
      </c>
      <c r="G179">
        <v>906</v>
      </c>
      <c r="I179" s="1">
        <v>89066</v>
      </c>
      <c r="J179">
        <v>60</v>
      </c>
    </row>
    <row r="180" spans="1:10" x14ac:dyDescent="0.2">
      <c r="A180">
        <v>2003</v>
      </c>
      <c r="C180" s="1">
        <v>1408361</v>
      </c>
      <c r="D180">
        <v>482</v>
      </c>
      <c r="F180" s="1">
        <v>1315790</v>
      </c>
      <c r="G180">
        <v>915</v>
      </c>
      <c r="I180" s="1">
        <v>92751</v>
      </c>
      <c r="J180">
        <v>62</v>
      </c>
    </row>
    <row r="181" spans="1:10" x14ac:dyDescent="0.2">
      <c r="A181">
        <v>2004</v>
      </c>
      <c r="C181" s="1">
        <v>1433728</v>
      </c>
      <c r="D181">
        <v>486</v>
      </c>
      <c r="F181" s="1">
        <v>1337730</v>
      </c>
      <c r="G181">
        <v>920</v>
      </c>
      <c r="I181" s="1">
        <v>95998</v>
      </c>
      <c r="J181">
        <v>64</v>
      </c>
    </row>
    <row r="182" spans="1:10" x14ac:dyDescent="0.2">
      <c r="A182">
        <v>2005</v>
      </c>
      <c r="C182" s="1">
        <v>1462866</v>
      </c>
      <c r="D182">
        <v>491</v>
      </c>
      <c r="F182" s="1">
        <v>1364178</v>
      </c>
      <c r="G182">
        <v>929</v>
      </c>
      <c r="I182" s="1">
        <v>98688</v>
      </c>
      <c r="J182">
        <v>65</v>
      </c>
    </row>
    <row r="183" spans="1:10" x14ac:dyDescent="0.2">
      <c r="A183">
        <v>2006</v>
      </c>
      <c r="C183" s="1">
        <v>1504660</v>
      </c>
      <c r="D183">
        <v>501</v>
      </c>
      <c r="F183" s="1">
        <v>1401317</v>
      </c>
      <c r="G183">
        <v>943</v>
      </c>
      <c r="I183" s="1">
        <v>103343</v>
      </c>
      <c r="J183">
        <v>68</v>
      </c>
    </row>
    <row r="184" spans="1:10" x14ac:dyDescent="0.2">
      <c r="A184">
        <v>2007</v>
      </c>
      <c r="C184" s="1">
        <v>1532800</v>
      </c>
      <c r="D184">
        <v>506</v>
      </c>
      <c r="F184" s="1">
        <v>1427300</v>
      </c>
      <c r="G184">
        <v>955</v>
      </c>
      <c r="I184" s="1">
        <v>105786</v>
      </c>
      <c r="J184">
        <v>69</v>
      </c>
    </row>
    <row r="185" spans="1:10" x14ac:dyDescent="0.2">
      <c r="A185">
        <v>2008</v>
      </c>
      <c r="C185" s="1">
        <v>1547742</v>
      </c>
      <c r="D185">
        <v>504</v>
      </c>
      <c r="F185" s="1">
        <v>1441384</v>
      </c>
      <c r="G185">
        <v>952</v>
      </c>
      <c r="I185" s="1">
        <v>106358</v>
      </c>
      <c r="J185">
        <v>68</v>
      </c>
    </row>
    <row r="186" spans="1:10" x14ac:dyDescent="0.2">
      <c r="A186">
        <v>2009</v>
      </c>
      <c r="C186" s="1">
        <v>1550196</v>
      </c>
      <c r="D186">
        <v>502</v>
      </c>
      <c r="F186" s="1">
        <v>1444977</v>
      </c>
      <c r="G186">
        <v>949</v>
      </c>
      <c r="I186" s="1">
        <v>105219</v>
      </c>
      <c r="J186">
        <v>67</v>
      </c>
    </row>
    <row r="187" spans="1:10" x14ac:dyDescent="0.2">
      <c r="A187">
        <v>2010</v>
      </c>
      <c r="C187" s="1">
        <v>1543206</v>
      </c>
      <c r="D187">
        <v>497</v>
      </c>
      <c r="F187" s="1">
        <v>1438602</v>
      </c>
      <c r="G187">
        <v>938</v>
      </c>
      <c r="I187" s="1">
        <v>104604</v>
      </c>
      <c r="J187">
        <v>67</v>
      </c>
    </row>
    <row r="189" spans="1:10" x14ac:dyDescent="0.2">
      <c r="A189" t="s">
        <v>401</v>
      </c>
    </row>
    <row r="190" spans="1:10" x14ac:dyDescent="0.2">
      <c r="A190" t="s">
        <v>402</v>
      </c>
    </row>
    <row r="191" spans="1:10" x14ac:dyDescent="0.2">
      <c r="A191" t="s">
        <v>403</v>
      </c>
    </row>
    <row r="192" spans="1:10" x14ac:dyDescent="0.2">
      <c r="A192" t="s">
        <v>404</v>
      </c>
    </row>
    <row r="193" spans="1:1" x14ac:dyDescent="0.2">
      <c r="A193" t="s">
        <v>405</v>
      </c>
    </row>
    <row r="194" spans="1:1" x14ac:dyDescent="0.2">
      <c r="A194" t="s">
        <v>406</v>
      </c>
    </row>
    <row r="195" spans="1:1" x14ac:dyDescent="0.2">
      <c r="A195" t="s">
        <v>407</v>
      </c>
    </row>
    <row r="196" spans="1:1" x14ac:dyDescent="0.2">
      <c r="A196" t="s">
        <v>408</v>
      </c>
    </row>
    <row r="197" spans="1:1" x14ac:dyDescent="0.2">
      <c r="A197" t="s">
        <v>409</v>
      </c>
    </row>
    <row r="198" spans="1:1" x14ac:dyDescent="0.2">
      <c r="A198" t="s">
        <v>410</v>
      </c>
    </row>
    <row r="199" spans="1:1" x14ac:dyDescent="0.2">
      <c r="A199" t="s">
        <v>411</v>
      </c>
    </row>
    <row r="200" spans="1:1" x14ac:dyDescent="0.2">
      <c r="A200" t="s">
        <v>412</v>
      </c>
    </row>
    <row r="201" spans="1:1" x14ac:dyDescent="0.2">
      <c r="A201" t="s">
        <v>413</v>
      </c>
    </row>
    <row r="202" spans="1:1" x14ac:dyDescent="0.2">
      <c r="A202" t="s">
        <v>414</v>
      </c>
    </row>
    <row r="203" spans="1:1" x14ac:dyDescent="0.2">
      <c r="A203" t="s">
        <v>415</v>
      </c>
    </row>
    <row r="204" spans="1:1" x14ac:dyDescent="0.2">
      <c r="A204" t="s">
        <v>416</v>
      </c>
    </row>
    <row r="205" spans="1:1" x14ac:dyDescent="0.2">
      <c r="A205" t="s">
        <v>417</v>
      </c>
    </row>
    <row r="206" spans="1:1" x14ac:dyDescent="0.2">
      <c r="A206" t="s">
        <v>418</v>
      </c>
    </row>
    <row r="207" spans="1:1" x14ac:dyDescent="0.2">
      <c r="A207" t="s">
        <v>419</v>
      </c>
    </row>
    <row r="208" spans="1:1" x14ac:dyDescent="0.2">
      <c r="A208" t="s">
        <v>420</v>
      </c>
    </row>
    <row r="209" spans="1:1" x14ac:dyDescent="0.2">
      <c r="A209" t="s">
        <v>421</v>
      </c>
    </row>
    <row r="210" spans="1:1" x14ac:dyDescent="0.2">
      <c r="A210" t="s">
        <v>422</v>
      </c>
    </row>
    <row r="211" spans="1:1" x14ac:dyDescent="0.2">
      <c r="A211" t="s">
        <v>423</v>
      </c>
    </row>
    <row r="212" spans="1:1" x14ac:dyDescent="0.2">
      <c r="A212" t="s">
        <v>424</v>
      </c>
    </row>
    <row r="213" spans="1:1" x14ac:dyDescent="0.2">
      <c r="A213" t="s">
        <v>425</v>
      </c>
    </row>
    <row r="214" spans="1:1" x14ac:dyDescent="0.2">
      <c r="A214" t="s">
        <v>426</v>
      </c>
    </row>
    <row r="215" spans="1:1" x14ac:dyDescent="0.2">
      <c r="A215" t="s">
        <v>427</v>
      </c>
    </row>
    <row r="216" spans="1:1" x14ac:dyDescent="0.2">
      <c r="A216" t="s">
        <v>428</v>
      </c>
    </row>
    <row r="218" spans="1:1" x14ac:dyDescent="0.2">
      <c r="A218" t="s">
        <v>429</v>
      </c>
    </row>
    <row r="219" spans="1:1" x14ac:dyDescent="0.2">
      <c r="A219" t="s">
        <v>430</v>
      </c>
    </row>
    <row r="220" spans="1:1" x14ac:dyDescent="0.2">
      <c r="A220" t="s">
        <v>431</v>
      </c>
    </row>
    <row r="221" spans="1:1" x14ac:dyDescent="0.2">
      <c r="A221" t="s">
        <v>432</v>
      </c>
    </row>
    <row r="223" spans="1:1" x14ac:dyDescent="0.2">
      <c r="A223" t="s">
        <v>433</v>
      </c>
    </row>
    <row r="224" spans="1:1" x14ac:dyDescent="0.2">
      <c r="A224" t="s">
        <v>434</v>
      </c>
    </row>
    <row r="225" spans="1:13" x14ac:dyDescent="0.2">
      <c r="A225" t="s">
        <v>435</v>
      </c>
    </row>
    <row r="226" spans="1:13" x14ac:dyDescent="0.2">
      <c r="A226" t="s">
        <v>438</v>
      </c>
    </row>
    <row r="227" spans="1:13" x14ac:dyDescent="0.2">
      <c r="A227" t="s">
        <v>439</v>
      </c>
    </row>
    <row r="228" spans="1:13" x14ac:dyDescent="0.2">
      <c r="A228" t="s">
        <v>440</v>
      </c>
    </row>
    <row r="229" spans="1:13" x14ac:dyDescent="0.2">
      <c r="A229" t="s">
        <v>441</v>
      </c>
    </row>
    <row r="230" spans="1:13" x14ac:dyDescent="0.2">
      <c r="A230" t="s">
        <v>442</v>
      </c>
    </row>
    <row r="231" spans="1:13" x14ac:dyDescent="0.2">
      <c r="A231" t="s">
        <v>443</v>
      </c>
    </row>
    <row r="232" spans="1:13" x14ac:dyDescent="0.2">
      <c r="A232" t="s">
        <v>444</v>
      </c>
    </row>
    <row r="233" spans="1:13" x14ac:dyDescent="0.2">
      <c r="A233" t="s">
        <v>449</v>
      </c>
    </row>
    <row r="234" spans="1:13" x14ac:dyDescent="0.2">
      <c r="A234" t="s">
        <v>450</v>
      </c>
    </row>
    <row r="236" spans="1:13" x14ac:dyDescent="0.2">
      <c r="A236" t="s">
        <v>362</v>
      </c>
      <c r="M236" t="s">
        <v>362</v>
      </c>
    </row>
    <row r="237" spans="1:13" x14ac:dyDescent="0.2">
      <c r="A237" t="s">
        <v>459</v>
      </c>
      <c r="M237" t="s">
        <v>809</v>
      </c>
    </row>
    <row r="238" spans="1:13" x14ac:dyDescent="0.2">
      <c r="A238" t="s">
        <v>460</v>
      </c>
      <c r="M238" t="s">
        <v>810</v>
      </c>
    </row>
    <row r="239" spans="1:13" x14ac:dyDescent="0.2">
      <c r="A239" t="s">
        <v>461</v>
      </c>
      <c r="M239" t="s">
        <v>811</v>
      </c>
    </row>
    <row r="240" spans="1:13" x14ac:dyDescent="0.2">
      <c r="A240" t="s">
        <v>462</v>
      </c>
      <c r="M240" t="s">
        <v>462</v>
      </c>
    </row>
    <row r="241" spans="1:18" x14ac:dyDescent="0.2">
      <c r="A241" t="s">
        <v>463</v>
      </c>
      <c r="M241" t="s">
        <v>463</v>
      </c>
    </row>
    <row r="242" spans="1:18" x14ac:dyDescent="0.2">
      <c r="A242" t="s">
        <v>464</v>
      </c>
      <c r="M242" t="s">
        <v>812</v>
      </c>
    </row>
    <row r="243" spans="1:18" x14ac:dyDescent="0.2">
      <c r="A243" t="s">
        <v>465</v>
      </c>
      <c r="M243" t="s">
        <v>813</v>
      </c>
    </row>
    <row r="245" spans="1:18" x14ac:dyDescent="0.2">
      <c r="A245" t="s">
        <v>466</v>
      </c>
      <c r="M245" t="s">
        <v>814</v>
      </c>
    </row>
    <row r="246" spans="1:18" x14ac:dyDescent="0.2">
      <c r="A246" t="s">
        <v>467</v>
      </c>
    </row>
    <row r="247" spans="1:18" x14ac:dyDescent="0.2">
      <c r="N247" t="s">
        <v>468</v>
      </c>
    </row>
    <row r="248" spans="1:18" x14ac:dyDescent="0.2">
      <c r="B248" t="s">
        <v>468</v>
      </c>
      <c r="H248" t="s">
        <v>469</v>
      </c>
      <c r="N248" t="s">
        <v>470</v>
      </c>
      <c r="Q248" t="s">
        <v>471</v>
      </c>
    </row>
    <row r="249" spans="1:18" x14ac:dyDescent="0.2">
      <c r="B249" t="s">
        <v>470</v>
      </c>
      <c r="E249" t="s">
        <v>471</v>
      </c>
      <c r="H249" t="s">
        <v>472</v>
      </c>
      <c r="N249" t="s">
        <v>473</v>
      </c>
      <c r="O249" t="s">
        <v>474</v>
      </c>
      <c r="Q249" t="s">
        <v>475</v>
      </c>
    </row>
    <row r="250" spans="1:18" x14ac:dyDescent="0.2">
      <c r="B250" t="s">
        <v>473</v>
      </c>
      <c r="C250" t="s">
        <v>474</v>
      </c>
      <c r="E250" t="s">
        <v>475</v>
      </c>
      <c r="H250" t="s">
        <v>473</v>
      </c>
      <c r="I250" t="s">
        <v>474</v>
      </c>
      <c r="M250">
        <v>1990</v>
      </c>
      <c r="N250">
        <v>60000</v>
      </c>
      <c r="O250">
        <v>61555</v>
      </c>
      <c r="Q250">
        <v>8.6</v>
      </c>
      <c r="R250" t="s">
        <v>375</v>
      </c>
    </row>
    <row r="251" spans="1:18" x14ac:dyDescent="0.2">
      <c r="A251">
        <v>1990</v>
      </c>
      <c r="B251">
        <v>60000</v>
      </c>
      <c r="C251">
        <v>61555</v>
      </c>
      <c r="E251">
        <v>8.6</v>
      </c>
      <c r="F251" t="s">
        <v>375</v>
      </c>
      <c r="G251">
        <v>1989</v>
      </c>
      <c r="H251">
        <v>683382</v>
      </c>
      <c r="I251">
        <v>712364</v>
      </c>
      <c r="K251" s="13">
        <f t="shared" ref="K251:K260" si="0">I251/H251-1</f>
        <v>4.2409662531351477E-2</v>
      </c>
      <c r="M251">
        <v>1991</v>
      </c>
      <c r="N251">
        <v>49153</v>
      </c>
      <c r="O251">
        <v>51640</v>
      </c>
      <c r="Q251">
        <v>6.7</v>
      </c>
    </row>
    <row r="252" spans="1:18" x14ac:dyDescent="0.2">
      <c r="A252">
        <v>1991</v>
      </c>
      <c r="B252">
        <v>49153</v>
      </c>
      <c r="C252">
        <v>51640</v>
      </c>
      <c r="E252">
        <v>6.7</v>
      </c>
      <c r="G252">
        <v>1990</v>
      </c>
      <c r="H252">
        <v>743382</v>
      </c>
      <c r="I252">
        <v>773919</v>
      </c>
      <c r="K252" s="13">
        <f t="shared" si="0"/>
        <v>4.1078476476428039E-2</v>
      </c>
      <c r="M252">
        <v>1992</v>
      </c>
      <c r="N252">
        <v>58031</v>
      </c>
      <c r="O252">
        <v>56941</v>
      </c>
      <c r="Q252">
        <v>6.9</v>
      </c>
    </row>
    <row r="253" spans="1:18" x14ac:dyDescent="0.2">
      <c r="A253">
        <v>1992</v>
      </c>
      <c r="B253">
        <v>58031</v>
      </c>
      <c r="C253">
        <v>56941</v>
      </c>
      <c r="E253">
        <v>6.9</v>
      </c>
      <c r="G253">
        <v>1991</v>
      </c>
      <c r="H253">
        <v>792535</v>
      </c>
      <c r="I253">
        <v>825559</v>
      </c>
      <c r="K253" s="13">
        <f t="shared" si="0"/>
        <v>4.1668822197126865E-2</v>
      </c>
      <c r="M253">
        <v>1993</v>
      </c>
      <c r="N253">
        <v>58815</v>
      </c>
      <c r="O253">
        <v>64992</v>
      </c>
      <c r="Q253">
        <v>7.4</v>
      </c>
    </row>
    <row r="254" spans="1:18" x14ac:dyDescent="0.2">
      <c r="A254">
        <v>1993</v>
      </c>
      <c r="B254">
        <v>58815</v>
      </c>
      <c r="C254">
        <v>64992</v>
      </c>
      <c r="E254">
        <v>7.4</v>
      </c>
      <c r="G254">
        <v>1992</v>
      </c>
      <c r="H254">
        <v>850566</v>
      </c>
      <c r="I254">
        <v>882500</v>
      </c>
      <c r="K254" s="13">
        <f t="shared" si="0"/>
        <v>3.7544411603567474E-2</v>
      </c>
      <c r="M254">
        <v>1994</v>
      </c>
      <c r="N254">
        <v>80766</v>
      </c>
      <c r="O254">
        <v>84258</v>
      </c>
      <c r="Q254">
        <v>8.6999999999999993</v>
      </c>
    </row>
    <row r="255" spans="1:18" x14ac:dyDescent="0.2">
      <c r="A255">
        <v>1994</v>
      </c>
      <c r="B255">
        <v>80766</v>
      </c>
      <c r="C255">
        <v>84258</v>
      </c>
      <c r="E255">
        <v>8.6999999999999993</v>
      </c>
      <c r="G255" t="s">
        <v>476</v>
      </c>
      <c r="H255">
        <v>909381</v>
      </c>
      <c r="I255">
        <v>970444</v>
      </c>
      <c r="K255" s="13">
        <f t="shared" si="0"/>
        <v>6.7147873113689416E-2</v>
      </c>
      <c r="M255">
        <v>1995</v>
      </c>
      <c r="N255">
        <v>88395</v>
      </c>
      <c r="O255">
        <v>71172</v>
      </c>
      <c r="Q255">
        <v>6.7</v>
      </c>
    </row>
    <row r="256" spans="1:18" x14ac:dyDescent="0.2">
      <c r="A256">
        <v>1995</v>
      </c>
      <c r="B256">
        <v>88395</v>
      </c>
      <c r="C256">
        <v>71172</v>
      </c>
      <c r="E256">
        <v>6.7</v>
      </c>
      <c r="G256">
        <v>1994</v>
      </c>
      <c r="H256">
        <v>990147</v>
      </c>
      <c r="I256">
        <v>1054702</v>
      </c>
      <c r="K256" s="13">
        <f t="shared" si="0"/>
        <v>6.5197389882512446E-2</v>
      </c>
      <c r="M256">
        <v>1996</v>
      </c>
      <c r="N256">
        <v>49222</v>
      </c>
      <c r="O256">
        <v>57494</v>
      </c>
      <c r="Q256">
        <v>5.0999999999999996</v>
      </c>
    </row>
    <row r="257" spans="1:18" x14ac:dyDescent="0.2">
      <c r="A257">
        <v>1996</v>
      </c>
      <c r="B257">
        <v>49222</v>
      </c>
      <c r="C257">
        <v>57494</v>
      </c>
      <c r="E257">
        <v>5.0999999999999996</v>
      </c>
      <c r="G257">
        <v>1995</v>
      </c>
      <c r="H257">
        <v>1078542</v>
      </c>
      <c r="I257">
        <v>1125874</v>
      </c>
      <c r="K257" s="13">
        <f t="shared" si="0"/>
        <v>4.3885170906649895E-2</v>
      </c>
      <c r="M257">
        <v>1997</v>
      </c>
      <c r="N257">
        <v>48800</v>
      </c>
      <c r="O257">
        <v>58785</v>
      </c>
      <c r="Q257">
        <v>5</v>
      </c>
    </row>
    <row r="258" spans="1:18" x14ac:dyDescent="0.2">
      <c r="A258">
        <v>1997</v>
      </c>
      <c r="B258">
        <v>48800</v>
      </c>
      <c r="C258">
        <v>58785</v>
      </c>
      <c r="E258">
        <v>5</v>
      </c>
      <c r="G258">
        <v>1996</v>
      </c>
      <c r="H258">
        <v>1127764</v>
      </c>
      <c r="I258">
        <v>1183368</v>
      </c>
      <c r="K258" s="13">
        <f t="shared" si="0"/>
        <v>4.9304641751288347E-2</v>
      </c>
      <c r="M258">
        <v>1998</v>
      </c>
      <c r="N258">
        <v>47905</v>
      </c>
      <c r="O258">
        <v>58420</v>
      </c>
      <c r="Q258">
        <v>4.7</v>
      </c>
    </row>
    <row r="259" spans="1:18" x14ac:dyDescent="0.2">
      <c r="A259">
        <v>1998</v>
      </c>
      <c r="B259">
        <v>47905</v>
      </c>
      <c r="C259">
        <v>58420</v>
      </c>
      <c r="E259">
        <v>4.7</v>
      </c>
      <c r="G259">
        <v>1997</v>
      </c>
      <c r="H259">
        <v>1176564</v>
      </c>
      <c r="I259">
        <v>1242153</v>
      </c>
      <c r="K259" s="13">
        <f t="shared" si="0"/>
        <v>5.5746223749834289E-2</v>
      </c>
      <c r="M259">
        <v>1999</v>
      </c>
      <c r="N259">
        <v>36957</v>
      </c>
      <c r="O259">
        <v>43796</v>
      </c>
      <c r="Q259">
        <v>3.4</v>
      </c>
    </row>
    <row r="260" spans="1:18" x14ac:dyDescent="0.2">
      <c r="A260">
        <v>1999</v>
      </c>
      <c r="B260">
        <v>36957</v>
      </c>
      <c r="C260">
        <v>43796</v>
      </c>
      <c r="E260">
        <v>3.4</v>
      </c>
      <c r="G260">
        <v>1998</v>
      </c>
      <c r="H260">
        <v>1224469</v>
      </c>
      <c r="I260">
        <v>1300573</v>
      </c>
      <c r="K260" s="13">
        <f t="shared" si="0"/>
        <v>6.2152655559266856E-2</v>
      </c>
      <c r="M260">
        <v>2000</v>
      </c>
      <c r="N260">
        <v>25182</v>
      </c>
      <c r="O260">
        <v>18191</v>
      </c>
      <c r="Q260">
        <v>1.3</v>
      </c>
    </row>
    <row r="262" spans="1:18" x14ac:dyDescent="0.2">
      <c r="A262" t="s">
        <v>477</v>
      </c>
      <c r="G262" t="s">
        <v>478</v>
      </c>
      <c r="H262">
        <v>1261426</v>
      </c>
      <c r="I262">
        <v>1344369</v>
      </c>
      <c r="M262" t="s">
        <v>477</v>
      </c>
    </row>
    <row r="263" spans="1:18" x14ac:dyDescent="0.2">
      <c r="A263" t="s">
        <v>479</v>
      </c>
      <c r="G263" t="s">
        <v>480</v>
      </c>
      <c r="H263">
        <v>1284894</v>
      </c>
      <c r="I263">
        <v>1366721</v>
      </c>
      <c r="M263" t="s">
        <v>479</v>
      </c>
    </row>
    <row r="264" spans="1:18" x14ac:dyDescent="0.2">
      <c r="A264" t="s">
        <v>481</v>
      </c>
      <c r="B264">
        <v>60168</v>
      </c>
      <c r="C264">
        <v>65867</v>
      </c>
      <c r="E264">
        <v>6.5</v>
      </c>
      <c r="F264" t="s">
        <v>375</v>
      </c>
      <c r="M264" t="s">
        <v>815</v>
      </c>
      <c r="N264">
        <v>56897</v>
      </c>
      <c r="O264">
        <v>60799</v>
      </c>
      <c r="Q264">
        <v>6</v>
      </c>
      <c r="R264" t="s">
        <v>375</v>
      </c>
    </row>
    <row r="266" spans="1:18" x14ac:dyDescent="0.2">
      <c r="A266" t="s">
        <v>482</v>
      </c>
      <c r="G266" t="s">
        <v>818</v>
      </c>
      <c r="M266" t="s">
        <v>482</v>
      </c>
    </row>
    <row r="267" spans="1:18" x14ac:dyDescent="0.2">
      <c r="A267" t="s">
        <v>483</v>
      </c>
      <c r="M267" t="s">
        <v>483</v>
      </c>
    </row>
    <row r="268" spans="1:18" x14ac:dyDescent="0.2">
      <c r="A268" t="s">
        <v>484</v>
      </c>
      <c r="M268" t="s">
        <v>484</v>
      </c>
    </row>
    <row r="269" spans="1:18" x14ac:dyDescent="0.2">
      <c r="A269" t="s">
        <v>485</v>
      </c>
      <c r="M269" t="s">
        <v>816</v>
      </c>
    </row>
    <row r="270" spans="1:18" x14ac:dyDescent="0.2">
      <c r="A270" t="s">
        <v>486</v>
      </c>
      <c r="M270" t="s">
        <v>817</v>
      </c>
    </row>
    <row r="271" spans="1:18" x14ac:dyDescent="0.2">
      <c r="A271" t="s">
        <v>487</v>
      </c>
    </row>
    <row r="272" spans="1:18" x14ac:dyDescent="0.2">
      <c r="A272" t="s">
        <v>488</v>
      </c>
    </row>
    <row r="275" spans="1:9" x14ac:dyDescent="0.2">
      <c r="A275" t="s">
        <v>362</v>
      </c>
    </row>
    <row r="276" spans="1:9" x14ac:dyDescent="0.2">
      <c r="A276" t="s">
        <v>829</v>
      </c>
    </row>
    <row r="277" spans="1:9" x14ac:dyDescent="0.2">
      <c r="A277" t="s">
        <v>830</v>
      </c>
    </row>
    <row r="278" spans="1:9" x14ac:dyDescent="0.2">
      <c r="A278" t="s">
        <v>811</v>
      </c>
    </row>
    <row r="279" spans="1:9" x14ac:dyDescent="0.2">
      <c r="A279" t="s">
        <v>462</v>
      </c>
    </row>
    <row r="280" spans="1:9" x14ac:dyDescent="0.2">
      <c r="A280" t="s">
        <v>463</v>
      </c>
    </row>
    <row r="281" spans="1:9" x14ac:dyDescent="0.2">
      <c r="A281" t="s">
        <v>812</v>
      </c>
    </row>
    <row r="282" spans="1:9" x14ac:dyDescent="0.2">
      <c r="A282" t="s">
        <v>813</v>
      </c>
    </row>
    <row r="284" spans="1:9" x14ac:dyDescent="0.2">
      <c r="A284" t="s">
        <v>831</v>
      </c>
    </row>
    <row r="286" spans="1:9" x14ac:dyDescent="0.2">
      <c r="C286" t="s">
        <v>832</v>
      </c>
      <c r="E286" t="s">
        <v>877</v>
      </c>
      <c r="I286" t="s">
        <v>878</v>
      </c>
    </row>
    <row r="287" spans="1:9" x14ac:dyDescent="0.2">
      <c r="B287" t="s">
        <v>879</v>
      </c>
      <c r="C287" s="16">
        <v>41274</v>
      </c>
      <c r="E287" t="s">
        <v>880</v>
      </c>
      <c r="G287" t="s">
        <v>881</v>
      </c>
      <c r="I287" t="s">
        <v>882</v>
      </c>
    </row>
    <row r="288" spans="1:9" x14ac:dyDescent="0.2">
      <c r="A288" t="s">
        <v>1017</v>
      </c>
      <c r="B288" t="s">
        <v>361</v>
      </c>
      <c r="C288" t="s">
        <v>9</v>
      </c>
      <c r="D288" t="s">
        <v>10</v>
      </c>
      <c r="E288" t="s">
        <v>883</v>
      </c>
      <c r="G288" t="s">
        <v>884</v>
      </c>
    </row>
    <row r="290" spans="1:9" x14ac:dyDescent="0.2">
      <c r="A290">
        <v>1990</v>
      </c>
      <c r="B290">
        <v>1148702</v>
      </c>
      <c r="C290">
        <v>58838</v>
      </c>
      <c r="D290">
        <v>684544</v>
      </c>
      <c r="E290">
        <v>405320</v>
      </c>
      <c r="G290">
        <v>458</v>
      </c>
      <c r="I290">
        <v>250689</v>
      </c>
    </row>
    <row r="292" spans="1:9" x14ac:dyDescent="0.2">
      <c r="A292">
        <v>1995</v>
      </c>
      <c r="B292">
        <v>1585586</v>
      </c>
      <c r="C292">
        <v>89538</v>
      </c>
      <c r="D292">
        <v>989004</v>
      </c>
      <c r="E292">
        <v>507044</v>
      </c>
      <c r="G292">
        <v>601</v>
      </c>
      <c r="I292">
        <v>266495</v>
      </c>
    </row>
    <row r="293" spans="1:9" x14ac:dyDescent="0.2">
      <c r="A293">
        <v>1996</v>
      </c>
      <c r="B293">
        <v>1646020</v>
      </c>
      <c r="C293">
        <v>95088</v>
      </c>
      <c r="D293">
        <v>1032440</v>
      </c>
      <c r="E293">
        <v>518492</v>
      </c>
      <c r="G293">
        <v>618</v>
      </c>
      <c r="I293">
        <v>268924</v>
      </c>
    </row>
    <row r="294" spans="1:9" x14ac:dyDescent="0.2">
      <c r="A294">
        <v>1997</v>
      </c>
      <c r="B294">
        <v>1743643</v>
      </c>
      <c r="C294">
        <v>101755</v>
      </c>
      <c r="D294">
        <v>1074809</v>
      </c>
      <c r="E294">
        <v>567079</v>
      </c>
      <c r="G294">
        <v>648</v>
      </c>
      <c r="I294">
        <v>271628</v>
      </c>
    </row>
    <row r="295" spans="1:9" x14ac:dyDescent="0.2">
      <c r="A295">
        <v>1998</v>
      </c>
      <c r="B295">
        <v>1816931</v>
      </c>
      <c r="C295">
        <v>110793</v>
      </c>
      <c r="D295">
        <v>1113676</v>
      </c>
      <c r="E295">
        <v>592462</v>
      </c>
      <c r="G295">
        <v>669</v>
      </c>
      <c r="I295">
        <v>274051</v>
      </c>
    </row>
    <row r="296" spans="1:9" x14ac:dyDescent="0.2">
      <c r="A296" t="s">
        <v>885</v>
      </c>
      <c r="B296">
        <v>1893115</v>
      </c>
      <c r="C296">
        <v>125682</v>
      </c>
      <c r="D296">
        <v>1161490</v>
      </c>
      <c r="E296">
        <v>605943</v>
      </c>
      <c r="G296">
        <v>691</v>
      </c>
      <c r="I296">
        <v>274051</v>
      </c>
    </row>
    <row r="297" spans="1:9" x14ac:dyDescent="0.2">
      <c r="A297">
        <v>2000</v>
      </c>
      <c r="B297">
        <v>1933503</v>
      </c>
      <c r="C297">
        <v>133921</v>
      </c>
      <c r="D297">
        <v>1178433</v>
      </c>
      <c r="E297">
        <v>621149</v>
      </c>
      <c r="G297">
        <v>699</v>
      </c>
      <c r="I297">
        <v>276578</v>
      </c>
    </row>
    <row r="299" spans="1:9" x14ac:dyDescent="0.2">
      <c r="A299" t="s">
        <v>886</v>
      </c>
    </row>
    <row r="300" spans="1:9" x14ac:dyDescent="0.2">
      <c r="A300" t="s">
        <v>887</v>
      </c>
      <c r="B300" s="10">
        <v>2.1000000000000001E-2</v>
      </c>
      <c r="C300" s="10">
        <v>6.6000000000000003E-2</v>
      </c>
      <c r="D300" s="10">
        <v>1.4999999999999999E-2</v>
      </c>
      <c r="E300" s="10">
        <v>2.5000000000000001E-2</v>
      </c>
    </row>
    <row r="301" spans="1:9" x14ac:dyDescent="0.2">
      <c r="A301" t="s">
        <v>888</v>
      </c>
    </row>
    <row r="302" spans="1:9" x14ac:dyDescent="0.2">
      <c r="A302" t="s">
        <v>889</v>
      </c>
      <c r="B302" s="10">
        <v>5.2999999999999999E-2</v>
      </c>
      <c r="C302" s="10">
        <v>8.5999999999999993E-2</v>
      </c>
      <c r="D302" s="10">
        <v>5.6000000000000001E-2</v>
      </c>
      <c r="E302" s="10">
        <v>4.3999999999999997E-2</v>
      </c>
    </row>
    <row r="304" spans="1:9" x14ac:dyDescent="0.2">
      <c r="A304" t="s">
        <v>890</v>
      </c>
    </row>
    <row r="305" spans="1:11" x14ac:dyDescent="0.2">
      <c r="A305" t="s">
        <v>891</v>
      </c>
    </row>
    <row r="306" spans="1:11" x14ac:dyDescent="0.2">
      <c r="A306" t="s">
        <v>892</v>
      </c>
    </row>
    <row r="307" spans="1:11" x14ac:dyDescent="0.2">
      <c r="A307" t="s">
        <v>893</v>
      </c>
    </row>
    <row r="308" spans="1:11" x14ac:dyDescent="0.2">
      <c r="A308" t="s">
        <v>894</v>
      </c>
    </row>
    <row r="309" spans="1:11" x14ac:dyDescent="0.2">
      <c r="A309" t="s">
        <v>895</v>
      </c>
    </row>
    <row r="315" spans="1:11" x14ac:dyDescent="0.2">
      <c r="A315" t="s">
        <v>362</v>
      </c>
      <c r="K315" t="s">
        <v>362</v>
      </c>
    </row>
    <row r="316" spans="1:11" x14ac:dyDescent="0.2">
      <c r="A316" t="s">
        <v>802</v>
      </c>
      <c r="K316" t="s">
        <v>505</v>
      </c>
    </row>
    <row r="317" spans="1:11" x14ac:dyDescent="0.2">
      <c r="A317" t="s">
        <v>803</v>
      </c>
      <c r="K317" t="s">
        <v>506</v>
      </c>
    </row>
    <row r="318" spans="1:11" x14ac:dyDescent="0.2">
      <c r="A318" t="s">
        <v>507</v>
      </c>
      <c r="K318" t="s">
        <v>507</v>
      </c>
    </row>
    <row r="319" spans="1:11" x14ac:dyDescent="0.2">
      <c r="A319" t="s">
        <v>508</v>
      </c>
      <c r="K319" t="s">
        <v>508</v>
      </c>
    </row>
    <row r="320" spans="1:11" x14ac:dyDescent="0.2">
      <c r="A320" t="s">
        <v>509</v>
      </c>
      <c r="K320" t="s">
        <v>509</v>
      </c>
    </row>
    <row r="321" spans="1:22" x14ac:dyDescent="0.2">
      <c r="A321" t="s">
        <v>510</v>
      </c>
      <c r="K321" t="s">
        <v>510</v>
      </c>
    </row>
    <row r="322" spans="1:22" x14ac:dyDescent="0.2">
      <c r="A322" t="s">
        <v>511</v>
      </c>
      <c r="K322" t="s">
        <v>511</v>
      </c>
    </row>
    <row r="324" spans="1:22" x14ac:dyDescent="0.2">
      <c r="A324" t="s">
        <v>804</v>
      </c>
      <c r="K324" t="s">
        <v>512</v>
      </c>
    </row>
    <row r="325" spans="1:22" x14ac:dyDescent="0.2">
      <c r="A325" t="s">
        <v>1017</v>
      </c>
      <c r="B325" t="s">
        <v>473</v>
      </c>
      <c r="C325" t="s">
        <v>474</v>
      </c>
      <c r="D325" t="s">
        <v>805</v>
      </c>
    </row>
    <row r="326" spans="1:22" x14ac:dyDescent="0.2">
      <c r="A326">
        <v>1995</v>
      </c>
      <c r="B326" s="1">
        <v>88395</v>
      </c>
      <c r="C326" s="1">
        <v>71172</v>
      </c>
      <c r="D326">
        <v>6.7</v>
      </c>
      <c r="E326" t="s">
        <v>375</v>
      </c>
      <c r="N326" t="s">
        <v>793</v>
      </c>
    </row>
    <row r="327" spans="1:22" x14ac:dyDescent="0.2">
      <c r="A327">
        <v>1996</v>
      </c>
      <c r="B327" s="1">
        <v>49222</v>
      </c>
      <c r="C327" s="1">
        <v>57494</v>
      </c>
      <c r="D327">
        <v>5.0999999999999996</v>
      </c>
      <c r="K327" t="s">
        <v>1017</v>
      </c>
      <c r="L327" t="s">
        <v>794</v>
      </c>
      <c r="N327" t="s">
        <v>9</v>
      </c>
      <c r="P327" t="s">
        <v>10</v>
      </c>
      <c r="R327" t="s">
        <v>795</v>
      </c>
      <c r="T327" t="s">
        <v>796</v>
      </c>
      <c r="V327" t="s">
        <v>828</v>
      </c>
    </row>
    <row r="328" spans="1:22" x14ac:dyDescent="0.2">
      <c r="A328">
        <v>1997</v>
      </c>
      <c r="B328" s="1">
        <v>48800</v>
      </c>
      <c r="C328" s="1">
        <v>58785</v>
      </c>
      <c r="D328">
        <v>5</v>
      </c>
      <c r="K328">
        <v>1995</v>
      </c>
      <c r="L328" s="1">
        <v>1585586</v>
      </c>
      <c r="N328" s="1">
        <v>89538</v>
      </c>
      <c r="P328" s="1">
        <v>989004</v>
      </c>
      <c r="R328" s="1">
        <v>507044</v>
      </c>
      <c r="T328">
        <v>601</v>
      </c>
    </row>
    <row r="329" spans="1:22" x14ac:dyDescent="0.2">
      <c r="A329">
        <v>1998</v>
      </c>
      <c r="B329" s="1">
        <v>47905</v>
      </c>
      <c r="C329" s="1">
        <v>58420</v>
      </c>
      <c r="D329">
        <v>4.7</v>
      </c>
      <c r="K329">
        <v>2000</v>
      </c>
      <c r="L329" s="1">
        <v>1937482</v>
      </c>
      <c r="N329" s="1">
        <v>133921</v>
      </c>
      <c r="P329" s="1">
        <v>1176269</v>
      </c>
      <c r="R329" s="1">
        <v>621149</v>
      </c>
      <c r="T329">
        <v>684</v>
      </c>
      <c r="V329">
        <v>6143</v>
      </c>
    </row>
    <row r="330" spans="1:22" x14ac:dyDescent="0.2">
      <c r="A330">
        <v>1999</v>
      </c>
      <c r="B330" s="1">
        <v>36957</v>
      </c>
      <c r="C330" s="1">
        <v>43796</v>
      </c>
      <c r="D330">
        <v>3.4</v>
      </c>
      <c r="K330">
        <v>2001</v>
      </c>
      <c r="L330" s="1">
        <v>1961247</v>
      </c>
      <c r="N330" s="1">
        <v>143337</v>
      </c>
      <c r="P330" s="1">
        <v>1180155</v>
      </c>
      <c r="R330" s="1">
        <v>631240</v>
      </c>
      <c r="T330">
        <v>685</v>
      </c>
      <c r="V330">
        <v>6515</v>
      </c>
    </row>
    <row r="331" spans="1:22" x14ac:dyDescent="0.2">
      <c r="A331">
        <v>2000</v>
      </c>
      <c r="B331" s="1">
        <v>25182</v>
      </c>
      <c r="C331" s="1">
        <v>18191</v>
      </c>
      <c r="D331">
        <v>1.3</v>
      </c>
      <c r="K331">
        <v>2002</v>
      </c>
      <c r="L331" s="1">
        <v>2033022</v>
      </c>
      <c r="N331" s="1">
        <v>151618</v>
      </c>
      <c r="P331" s="1">
        <v>1209331</v>
      </c>
      <c r="R331" s="1">
        <v>665475</v>
      </c>
      <c r="T331">
        <v>701</v>
      </c>
      <c r="V331">
        <v>6598</v>
      </c>
    </row>
    <row r="332" spans="1:22" x14ac:dyDescent="0.2">
      <c r="A332">
        <v>2001</v>
      </c>
      <c r="B332" s="1">
        <v>14647</v>
      </c>
      <c r="C332" s="1">
        <v>15521</v>
      </c>
      <c r="D332">
        <v>1.1000000000000001</v>
      </c>
      <c r="K332">
        <v>2003</v>
      </c>
      <c r="L332" s="1">
        <v>2081580</v>
      </c>
      <c r="N332" s="1">
        <v>161673</v>
      </c>
      <c r="P332" s="1">
        <v>1222135</v>
      </c>
      <c r="R332" s="1">
        <v>691301</v>
      </c>
      <c r="T332">
        <v>712</v>
      </c>
      <c r="V332">
        <v>6471</v>
      </c>
    </row>
    <row r="333" spans="1:22" x14ac:dyDescent="0.2">
      <c r="A333">
        <v>2002</v>
      </c>
      <c r="B333" s="1">
        <v>37457</v>
      </c>
      <c r="C333" s="1">
        <v>36112</v>
      </c>
      <c r="D333">
        <v>2.6</v>
      </c>
      <c r="K333">
        <v>2004</v>
      </c>
      <c r="L333" s="1">
        <v>2135335</v>
      </c>
      <c r="N333" s="1">
        <v>170535</v>
      </c>
      <c r="P333" s="1">
        <v>1243745</v>
      </c>
      <c r="R333" s="1">
        <v>713990</v>
      </c>
      <c r="T333">
        <v>723</v>
      </c>
      <c r="V333">
        <v>7065</v>
      </c>
    </row>
    <row r="334" spans="1:22" x14ac:dyDescent="0.2">
      <c r="A334">
        <v>2003</v>
      </c>
      <c r="B334" s="1">
        <v>29330</v>
      </c>
      <c r="C334" s="1">
        <v>28457</v>
      </c>
      <c r="D334">
        <v>2</v>
      </c>
      <c r="K334">
        <v>2005</v>
      </c>
      <c r="L334" s="1">
        <v>2193798</v>
      </c>
      <c r="N334" s="1">
        <v>179220</v>
      </c>
      <c r="P334" s="1">
        <v>1259905</v>
      </c>
      <c r="R334" s="1">
        <v>747529</v>
      </c>
      <c r="T334">
        <v>737</v>
      </c>
      <c r="V334">
        <v>7144</v>
      </c>
    </row>
    <row r="335" spans="1:22" x14ac:dyDescent="0.2">
      <c r="A335">
        <v>2004</v>
      </c>
      <c r="B335" s="1">
        <v>30472</v>
      </c>
      <c r="C335" s="1">
        <v>28499</v>
      </c>
      <c r="D335">
        <v>1.9</v>
      </c>
    </row>
    <row r="336" spans="1:22" x14ac:dyDescent="0.2">
      <c r="A336">
        <v>2005</v>
      </c>
      <c r="B336" s="1">
        <v>24845</v>
      </c>
      <c r="C336" s="1">
        <v>28824</v>
      </c>
      <c r="D336">
        <v>1.9</v>
      </c>
      <c r="K336" t="s">
        <v>797</v>
      </c>
      <c r="L336">
        <v>2.7</v>
      </c>
      <c r="M336" t="s">
        <v>375</v>
      </c>
      <c r="N336">
        <v>5.0999999999999996</v>
      </c>
      <c r="O336" t="s">
        <v>375</v>
      </c>
      <c r="P336">
        <v>1.3</v>
      </c>
      <c r="Q336" t="s">
        <v>375</v>
      </c>
      <c r="R336">
        <v>4.7</v>
      </c>
      <c r="S336" t="s">
        <v>375</v>
      </c>
    </row>
    <row r="337" spans="1:19" x14ac:dyDescent="0.2">
      <c r="A337" t="s">
        <v>806</v>
      </c>
      <c r="B337" s="1">
        <v>43321</v>
      </c>
      <c r="C337" s="1">
        <v>44527</v>
      </c>
      <c r="D337">
        <v>3.1</v>
      </c>
      <c r="E337" t="s">
        <v>375</v>
      </c>
      <c r="K337" t="s">
        <v>798</v>
      </c>
      <c r="L337">
        <v>3.3</v>
      </c>
      <c r="M337" t="s">
        <v>375</v>
      </c>
      <c r="N337">
        <v>7.2</v>
      </c>
      <c r="O337" t="s">
        <v>375</v>
      </c>
      <c r="P337">
        <v>2.5</v>
      </c>
      <c r="Q337" t="s">
        <v>375</v>
      </c>
      <c r="R337">
        <v>4</v>
      </c>
      <c r="S337" t="s">
        <v>375</v>
      </c>
    </row>
    <row r="338" spans="1:19" x14ac:dyDescent="0.2">
      <c r="A338" t="s">
        <v>807</v>
      </c>
    </row>
    <row r="339" spans="1:19" x14ac:dyDescent="0.2">
      <c r="A339" t="s">
        <v>808</v>
      </c>
      <c r="K339" t="s">
        <v>799</v>
      </c>
    </row>
    <row r="340" spans="1:19" x14ac:dyDescent="0.2">
      <c r="K340" t="s">
        <v>800</v>
      </c>
    </row>
    <row r="341" spans="1:19" x14ac:dyDescent="0.2">
      <c r="K341" t="s">
        <v>801</v>
      </c>
    </row>
    <row r="342" spans="1:19" x14ac:dyDescent="0.2">
      <c r="A342" t="s">
        <v>362</v>
      </c>
    </row>
    <row r="343" spans="1:19" x14ac:dyDescent="0.2">
      <c r="A343" t="s">
        <v>491</v>
      </c>
      <c r="L343" s="1"/>
    </row>
    <row r="344" spans="1:19" x14ac:dyDescent="0.2">
      <c r="A344" t="s">
        <v>492</v>
      </c>
    </row>
    <row r="345" spans="1:19" x14ac:dyDescent="0.2">
      <c r="A345" t="s">
        <v>365</v>
      </c>
    </row>
    <row r="346" spans="1:19" x14ac:dyDescent="0.2">
      <c r="A346" t="s">
        <v>366</v>
      </c>
    </row>
    <row r="347" spans="1:19" x14ac:dyDescent="0.2">
      <c r="A347" t="s">
        <v>367</v>
      </c>
    </row>
    <row r="348" spans="1:19" x14ac:dyDescent="0.2">
      <c r="A348" t="s">
        <v>368</v>
      </c>
    </row>
    <row r="349" spans="1:19" x14ac:dyDescent="0.2">
      <c r="A349" t="s">
        <v>369</v>
      </c>
    </row>
    <row r="351" spans="1:19" x14ac:dyDescent="0.2">
      <c r="A351" t="s">
        <v>492</v>
      </c>
    </row>
    <row r="352" spans="1:19" x14ac:dyDescent="0.2">
      <c r="B352" t="s">
        <v>493</v>
      </c>
    </row>
    <row r="353" spans="1:10" x14ac:dyDescent="0.2">
      <c r="A353" t="s">
        <v>1017</v>
      </c>
      <c r="B353" t="s">
        <v>1020</v>
      </c>
      <c r="D353" t="s">
        <v>9</v>
      </c>
      <c r="F353" t="s">
        <v>10</v>
      </c>
      <c r="H353" t="s">
        <v>494</v>
      </c>
    </row>
    <row r="354" spans="1:10" x14ac:dyDescent="0.2">
      <c r="A354">
        <v>1999</v>
      </c>
      <c r="B354">
        <v>71208</v>
      </c>
      <c r="D354">
        <v>3828</v>
      </c>
      <c r="F354">
        <v>67380</v>
      </c>
      <c r="J354" t="s">
        <v>912</v>
      </c>
    </row>
    <row r="355" spans="1:10" x14ac:dyDescent="0.2">
      <c r="A355">
        <v>2000</v>
      </c>
      <c r="B355" s="1">
        <v>87369</v>
      </c>
      <c r="D355" s="1">
        <v>15524</v>
      </c>
      <c r="F355" s="1">
        <v>71845</v>
      </c>
      <c r="H355">
        <v>6.3</v>
      </c>
      <c r="I355" t="s">
        <v>375</v>
      </c>
    </row>
    <row r="356" spans="1:10" x14ac:dyDescent="0.2">
      <c r="A356">
        <v>2001</v>
      </c>
      <c r="B356" s="1">
        <v>91828</v>
      </c>
      <c r="D356" s="1">
        <v>19251</v>
      </c>
      <c r="F356" s="1">
        <v>72577</v>
      </c>
      <c r="H356">
        <v>6.5</v>
      </c>
    </row>
    <row r="357" spans="1:10" x14ac:dyDescent="0.2">
      <c r="A357">
        <v>2002</v>
      </c>
      <c r="B357" s="1">
        <v>93912</v>
      </c>
      <c r="D357" s="1">
        <v>20274</v>
      </c>
      <c r="F357" s="1">
        <v>73638</v>
      </c>
      <c r="H357">
        <v>6.5</v>
      </c>
    </row>
    <row r="358" spans="1:10" x14ac:dyDescent="0.2">
      <c r="A358">
        <v>2003</v>
      </c>
      <c r="B358" s="1">
        <v>95707</v>
      </c>
      <c r="D358" s="1">
        <v>21865</v>
      </c>
      <c r="F358" s="1">
        <v>73842</v>
      </c>
      <c r="H358">
        <v>6.5</v>
      </c>
    </row>
    <row r="359" spans="1:10" x14ac:dyDescent="0.2">
      <c r="A359">
        <v>2004</v>
      </c>
      <c r="B359" s="1">
        <v>98628</v>
      </c>
      <c r="D359" s="1">
        <v>24768</v>
      </c>
      <c r="F359" s="1">
        <v>73860</v>
      </c>
      <c r="H359">
        <v>6.6</v>
      </c>
    </row>
    <row r="360" spans="1:10" x14ac:dyDescent="0.2">
      <c r="A360">
        <v>2005</v>
      </c>
      <c r="B360" s="1">
        <v>107940</v>
      </c>
      <c r="D360" s="1">
        <v>27046</v>
      </c>
      <c r="F360" s="1">
        <v>80894</v>
      </c>
      <c r="H360">
        <v>7.1</v>
      </c>
    </row>
    <row r="361" spans="1:10" x14ac:dyDescent="0.2">
      <c r="A361">
        <v>2006</v>
      </c>
      <c r="B361" s="1">
        <v>113697</v>
      </c>
      <c r="D361" s="1">
        <v>27726</v>
      </c>
      <c r="F361" s="1">
        <v>85971</v>
      </c>
      <c r="H361">
        <v>7.2</v>
      </c>
    </row>
    <row r="362" spans="1:10" x14ac:dyDescent="0.2">
      <c r="A362">
        <v>2007</v>
      </c>
      <c r="B362" s="1">
        <v>123942</v>
      </c>
      <c r="D362" s="1">
        <v>31310</v>
      </c>
      <c r="F362" s="1">
        <v>92632</v>
      </c>
      <c r="H362">
        <v>7.8</v>
      </c>
    </row>
    <row r="363" spans="1:10" x14ac:dyDescent="0.2">
      <c r="A363">
        <v>2008</v>
      </c>
      <c r="B363" s="1">
        <v>129482</v>
      </c>
      <c r="D363" s="1">
        <v>33162</v>
      </c>
      <c r="F363" s="1">
        <v>96320</v>
      </c>
      <c r="H363">
        <v>8</v>
      </c>
    </row>
    <row r="364" spans="1:10" x14ac:dyDescent="0.2">
      <c r="A364">
        <v>2009</v>
      </c>
      <c r="B364" s="1">
        <v>129333</v>
      </c>
      <c r="D364" s="1">
        <v>34087</v>
      </c>
      <c r="F364" s="1">
        <v>95246</v>
      </c>
      <c r="H364">
        <v>8</v>
      </c>
    </row>
    <row r="365" spans="1:10" x14ac:dyDescent="0.2">
      <c r="A365">
        <v>2010</v>
      </c>
      <c r="B365" s="1">
        <v>128195</v>
      </c>
      <c r="D365" s="1">
        <v>33830</v>
      </c>
      <c r="F365" s="1">
        <v>94365</v>
      </c>
      <c r="H365">
        <v>8</v>
      </c>
    </row>
    <row r="366" spans="1:10" x14ac:dyDescent="0.2">
      <c r="A366" t="s">
        <v>495</v>
      </c>
      <c r="B366">
        <v>4.5</v>
      </c>
      <c r="C366" t="s">
        <v>375</v>
      </c>
      <c r="D366">
        <v>9.1</v>
      </c>
      <c r="E366" t="s">
        <v>375</v>
      </c>
      <c r="F366">
        <v>3.2</v>
      </c>
      <c r="G366" t="s">
        <v>375</v>
      </c>
      <c r="H366" t="s">
        <v>496</v>
      </c>
    </row>
    <row r="367" spans="1:10" x14ac:dyDescent="0.2">
      <c r="A367" t="s">
        <v>497</v>
      </c>
      <c r="B367">
        <v>-0.9</v>
      </c>
      <c r="D367">
        <v>-0.8</v>
      </c>
      <c r="F367">
        <v>-0.9</v>
      </c>
      <c r="H367" t="s">
        <v>496</v>
      </c>
    </row>
    <row r="368" spans="1:10" x14ac:dyDescent="0.2">
      <c r="A368" t="s">
        <v>498</v>
      </c>
    </row>
    <row r="369" spans="1:14" x14ac:dyDescent="0.2">
      <c r="A369" t="s">
        <v>381</v>
      </c>
    </row>
    <row r="373" spans="1:14" x14ac:dyDescent="0.2">
      <c r="A373" t="s">
        <v>362</v>
      </c>
    </row>
    <row r="374" spans="1:14" x14ac:dyDescent="0.2">
      <c r="A374" t="s">
        <v>499</v>
      </c>
    </row>
    <row r="375" spans="1:14" x14ac:dyDescent="0.2">
      <c r="A375" t="s">
        <v>500</v>
      </c>
    </row>
    <row r="376" spans="1:14" x14ac:dyDescent="0.2">
      <c r="A376" t="s">
        <v>365</v>
      </c>
    </row>
    <row r="377" spans="1:14" x14ac:dyDescent="0.2">
      <c r="A377" t="s">
        <v>366</v>
      </c>
    </row>
    <row r="378" spans="1:14" x14ac:dyDescent="0.2">
      <c r="A378" t="s">
        <v>367</v>
      </c>
    </row>
    <row r="379" spans="1:14" x14ac:dyDescent="0.2">
      <c r="A379" t="s">
        <v>368</v>
      </c>
    </row>
    <row r="380" spans="1:14" x14ac:dyDescent="0.2">
      <c r="A380" t="s">
        <v>369</v>
      </c>
    </row>
    <row r="382" spans="1:14" x14ac:dyDescent="0.2">
      <c r="A382" t="s">
        <v>500</v>
      </c>
    </row>
    <row r="383" spans="1:14" x14ac:dyDescent="0.2">
      <c r="B383" t="s">
        <v>501</v>
      </c>
      <c r="K383" t="s">
        <v>913</v>
      </c>
    </row>
    <row r="384" spans="1:14" x14ac:dyDescent="0.2">
      <c r="A384" t="s">
        <v>1017</v>
      </c>
      <c r="B384" t="s">
        <v>1020</v>
      </c>
      <c r="D384" t="s">
        <v>9</v>
      </c>
      <c r="F384" t="s">
        <v>10</v>
      </c>
      <c r="H384" t="s">
        <v>494</v>
      </c>
      <c r="L384" t="s">
        <v>920</v>
      </c>
      <c r="M384" t="s">
        <v>1016</v>
      </c>
      <c r="N384" t="s">
        <v>925</v>
      </c>
    </row>
    <row r="385" spans="1:14" x14ac:dyDescent="0.2">
      <c r="A385">
        <v>1999</v>
      </c>
      <c r="B385">
        <v>63635</v>
      </c>
      <c r="D385">
        <v>0</v>
      </c>
      <c r="F385">
        <v>63635</v>
      </c>
      <c r="G385" t="s">
        <v>912</v>
      </c>
      <c r="K385">
        <v>1999</v>
      </c>
      <c r="L385">
        <f>M385+N385</f>
        <v>6952</v>
      </c>
      <c r="M385">
        <v>0</v>
      </c>
      <c r="N385">
        <v>6952</v>
      </c>
    </row>
    <row r="386" spans="1:14" x14ac:dyDescent="0.2">
      <c r="A386">
        <v>2000</v>
      </c>
      <c r="B386" s="1">
        <v>63140</v>
      </c>
      <c r="D386" s="1">
        <v>2438</v>
      </c>
      <c r="F386" s="1">
        <v>60702</v>
      </c>
      <c r="H386">
        <v>4.5</v>
      </c>
      <c r="I386" t="s">
        <v>375</v>
      </c>
      <c r="K386">
        <v>2000</v>
      </c>
      <c r="L386">
        <f>M386+N386</f>
        <v>7243</v>
      </c>
      <c r="M386">
        <v>1249</v>
      </c>
      <c r="N386">
        <v>5994</v>
      </c>
    </row>
    <row r="387" spans="1:14" x14ac:dyDescent="0.2">
      <c r="A387">
        <v>2001</v>
      </c>
      <c r="B387" s="1">
        <v>70681</v>
      </c>
      <c r="D387" s="1">
        <v>2921</v>
      </c>
      <c r="F387" s="1">
        <v>67760</v>
      </c>
      <c r="H387">
        <v>5</v>
      </c>
      <c r="K387">
        <v>2001</v>
      </c>
      <c r="L387">
        <f>M387+N387</f>
        <v>6111</v>
      </c>
      <c r="M387">
        <v>1194</v>
      </c>
      <c r="N387">
        <v>4917</v>
      </c>
    </row>
    <row r="388" spans="1:14" x14ac:dyDescent="0.2">
      <c r="A388">
        <v>2002</v>
      </c>
      <c r="B388" s="1">
        <v>72550</v>
      </c>
      <c r="D388" s="1">
        <v>3377</v>
      </c>
      <c r="F388" s="1">
        <v>69173</v>
      </c>
      <c r="H388">
        <v>5</v>
      </c>
      <c r="K388" t="s">
        <v>833</v>
      </c>
    </row>
    <row r="389" spans="1:14" x14ac:dyDescent="0.2">
      <c r="A389">
        <v>2003</v>
      </c>
      <c r="B389" s="1">
        <v>73440</v>
      </c>
      <c r="D389" s="1">
        <v>3278</v>
      </c>
      <c r="F389" s="1">
        <v>70162</v>
      </c>
      <c r="H389">
        <v>5</v>
      </c>
    </row>
    <row r="390" spans="1:14" x14ac:dyDescent="0.2">
      <c r="A390">
        <v>2004</v>
      </c>
      <c r="B390" s="1">
        <v>74445</v>
      </c>
      <c r="D390" s="1">
        <v>1199</v>
      </c>
      <c r="F390" s="1">
        <v>73246</v>
      </c>
      <c r="H390">
        <v>5</v>
      </c>
    </row>
    <row r="391" spans="1:14" x14ac:dyDescent="0.2">
      <c r="A391">
        <v>2005</v>
      </c>
      <c r="B391" s="1">
        <v>73164</v>
      </c>
      <c r="D391" s="1">
        <v>1044</v>
      </c>
      <c r="F391" s="1">
        <v>72120</v>
      </c>
      <c r="H391">
        <v>4.8</v>
      </c>
    </row>
    <row r="392" spans="1:14" x14ac:dyDescent="0.2">
      <c r="A392">
        <v>2006</v>
      </c>
      <c r="B392" s="1">
        <v>77912</v>
      </c>
      <c r="D392" s="1">
        <v>2010</v>
      </c>
      <c r="F392" s="1">
        <v>75902</v>
      </c>
      <c r="H392">
        <v>5</v>
      </c>
    </row>
    <row r="393" spans="1:14" x14ac:dyDescent="0.2">
      <c r="A393">
        <v>2007</v>
      </c>
      <c r="B393" s="1">
        <v>80621</v>
      </c>
      <c r="D393" s="1">
        <v>2144</v>
      </c>
      <c r="F393" s="1">
        <v>78477</v>
      </c>
      <c r="H393">
        <v>5</v>
      </c>
    </row>
    <row r="394" spans="1:14" x14ac:dyDescent="0.2">
      <c r="A394">
        <v>2008</v>
      </c>
      <c r="B394" s="1">
        <v>83497</v>
      </c>
      <c r="D394" s="1">
        <v>2738</v>
      </c>
      <c r="F394" s="1">
        <v>80759</v>
      </c>
      <c r="H394">
        <v>5.2</v>
      </c>
    </row>
    <row r="395" spans="1:14" x14ac:dyDescent="0.2">
      <c r="A395">
        <v>2009</v>
      </c>
      <c r="B395" s="1">
        <v>85875</v>
      </c>
      <c r="D395" s="1">
        <v>2896</v>
      </c>
      <c r="F395" s="1">
        <v>82979</v>
      </c>
      <c r="H395">
        <v>5.3</v>
      </c>
    </row>
    <row r="396" spans="1:14" x14ac:dyDescent="0.2">
      <c r="A396">
        <v>2010</v>
      </c>
      <c r="B396" s="1">
        <v>83436</v>
      </c>
      <c r="D396" s="1">
        <v>2661</v>
      </c>
      <c r="F396" s="1">
        <v>80775</v>
      </c>
      <c r="H396">
        <v>5.2</v>
      </c>
    </row>
    <row r="397" spans="1:14" x14ac:dyDescent="0.2">
      <c r="A397" t="s">
        <v>502</v>
      </c>
      <c r="B397">
        <v>3.5</v>
      </c>
      <c r="C397" t="s">
        <v>375</v>
      </c>
      <c r="D397">
        <v>1.9</v>
      </c>
      <c r="E397" t="s">
        <v>375</v>
      </c>
      <c r="F397">
        <v>3.5</v>
      </c>
      <c r="G397" t="s">
        <v>375</v>
      </c>
      <c r="H397" t="s">
        <v>496</v>
      </c>
    </row>
    <row r="398" spans="1:14" x14ac:dyDescent="0.2">
      <c r="A398" t="s">
        <v>503</v>
      </c>
      <c r="B398">
        <v>-2.8</v>
      </c>
      <c r="D398">
        <v>-8.1</v>
      </c>
      <c r="F398">
        <v>-2.7</v>
      </c>
      <c r="H398" t="s">
        <v>496</v>
      </c>
    </row>
    <row r="399" spans="1:14" x14ac:dyDescent="0.2">
      <c r="A399" t="s">
        <v>504</v>
      </c>
    </row>
    <row r="400" spans="1:14" x14ac:dyDescent="0.2">
      <c r="A400" t="s">
        <v>381</v>
      </c>
    </row>
    <row r="405" spans="1:14" x14ac:dyDescent="0.2">
      <c r="A405" t="s">
        <v>361</v>
      </c>
    </row>
    <row r="406" spans="1:14" x14ac:dyDescent="0.2">
      <c r="B406" t="s">
        <v>900</v>
      </c>
      <c r="E406" t="s">
        <v>901</v>
      </c>
      <c r="H406" t="s">
        <v>902</v>
      </c>
      <c r="K406" t="s">
        <v>903</v>
      </c>
    </row>
    <row r="407" spans="1:14" x14ac:dyDescent="0.2">
      <c r="A407" t="s">
        <v>35</v>
      </c>
      <c r="B407" t="s">
        <v>915</v>
      </c>
      <c r="C407" t="s">
        <v>916</v>
      </c>
      <c r="D407" t="s">
        <v>920</v>
      </c>
      <c r="E407" t="s">
        <v>915</v>
      </c>
      <c r="F407" t="s">
        <v>916</v>
      </c>
      <c r="G407" t="s">
        <v>920</v>
      </c>
      <c r="H407" t="s">
        <v>915</v>
      </c>
      <c r="I407" t="s">
        <v>916</v>
      </c>
      <c r="J407" t="s">
        <v>920</v>
      </c>
      <c r="K407" t="s">
        <v>915</v>
      </c>
      <c r="L407" t="s">
        <v>916</v>
      </c>
      <c r="M407" t="s">
        <v>920</v>
      </c>
    </row>
    <row r="408" spans="1:14" x14ac:dyDescent="0.2">
      <c r="A408">
        <v>1974</v>
      </c>
      <c r="B408" s="1">
        <v>21367</v>
      </c>
      <c r="C408" s="1">
        <v>994</v>
      </c>
      <c r="D408" s="1">
        <f>B408+C408</f>
        <v>22361</v>
      </c>
      <c r="E408" s="1">
        <v>0</v>
      </c>
      <c r="F408" s="1">
        <v>0</v>
      </c>
      <c r="G408" s="1">
        <f>E408+F408</f>
        <v>0</v>
      </c>
      <c r="H408" s="1">
        <v>189514</v>
      </c>
      <c r="I408" s="1">
        <v>6330</v>
      </c>
      <c r="J408" s="1">
        <f>H408+I408</f>
        <v>195844</v>
      </c>
      <c r="K408" s="1">
        <v>10749</v>
      </c>
      <c r="L408" s="1">
        <v>767</v>
      </c>
      <c r="M408" s="1">
        <f>K408+L408</f>
        <v>11516</v>
      </c>
      <c r="N408" t="s">
        <v>904</v>
      </c>
    </row>
    <row r="409" spans="1:14" x14ac:dyDescent="0.2">
      <c r="A409">
        <v>1975</v>
      </c>
      <c r="B409" s="1">
        <v>23026</v>
      </c>
      <c r="C409" s="1">
        <v>1105</v>
      </c>
      <c r="D409" s="1">
        <f>B409+C409</f>
        <v>24131</v>
      </c>
      <c r="E409" s="1">
        <v>0</v>
      </c>
      <c r="F409" s="1">
        <v>0</v>
      </c>
      <c r="G409" s="1">
        <f>E409+F409</f>
        <v>0</v>
      </c>
      <c r="H409" s="1">
        <v>210874</v>
      </c>
      <c r="I409" s="1">
        <v>7745</v>
      </c>
      <c r="J409" s="1">
        <f>H409+I409</f>
        <v>218619</v>
      </c>
      <c r="K409" s="1">
        <f>221123-H409</f>
        <v>10249</v>
      </c>
      <c r="L409" s="1">
        <f>8562-I409</f>
        <v>817</v>
      </c>
      <c r="M409" s="1">
        <f>K409+L409</f>
        <v>11066</v>
      </c>
      <c r="N409" t="s">
        <v>905</v>
      </c>
    </row>
    <row r="410" spans="1:14" x14ac:dyDescent="0.2">
      <c r="A410">
        <v>1976</v>
      </c>
      <c r="B410" s="1">
        <v>25429</v>
      </c>
      <c r="C410" s="1">
        <v>1370</v>
      </c>
      <c r="D410" s="1">
        <f>B410+C410</f>
        <v>26799</v>
      </c>
      <c r="E410" s="1">
        <v>0</v>
      </c>
      <c r="F410" s="1">
        <v>0</v>
      </c>
      <c r="G410" s="1">
        <f>E410+F410</f>
        <v>0</v>
      </c>
      <c r="H410" s="1">
        <v>227879</v>
      </c>
      <c r="I410" s="1">
        <v>8613</v>
      </c>
      <c r="J410" s="1">
        <f>H410+I410</f>
        <v>236492</v>
      </c>
      <c r="K410" s="1">
        <f>239696-H410</f>
        <v>11817</v>
      </c>
      <c r="L410" s="1">
        <f>9712-I410</f>
        <v>1099</v>
      </c>
      <c r="M410" s="1">
        <f>K410+L410</f>
        <v>12916</v>
      </c>
      <c r="N410" t="s">
        <v>841</v>
      </c>
    </row>
    <row r="411" spans="1:14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t="s">
        <v>842</v>
      </c>
    </row>
    <row r="412" spans="1:14" x14ac:dyDescent="0.2">
      <c r="A412">
        <v>1984</v>
      </c>
      <c r="B412" s="1">
        <v>23416</v>
      </c>
      <c r="C412" s="1">
        <v>1389</v>
      </c>
      <c r="D412" s="1">
        <f>B412+C412</f>
        <v>24805</v>
      </c>
      <c r="E412" s="1">
        <f>29188-B412</f>
        <v>5772</v>
      </c>
      <c r="F412" s="1">
        <f>1687-C412</f>
        <v>298</v>
      </c>
      <c r="G412" s="1">
        <f>E412+F412</f>
        <v>6070</v>
      </c>
      <c r="H412" s="1">
        <v>387558</v>
      </c>
      <c r="I412" s="1">
        <v>16687</v>
      </c>
      <c r="J412" s="1">
        <f>H412+I412</f>
        <v>404245</v>
      </c>
      <c r="K412" s="1">
        <f>399303-H412</f>
        <v>11745</v>
      </c>
      <c r="L412" s="1">
        <f>18086-I412</f>
        <v>1399</v>
      </c>
      <c r="M412" s="1">
        <f>K412+L412</f>
        <v>13144</v>
      </c>
    </row>
    <row r="413" spans="1:14" x14ac:dyDescent="0.2">
      <c r="A413">
        <v>1985</v>
      </c>
      <c r="B413" s="1">
        <v>27308</v>
      </c>
      <c r="C413" s="1">
        <v>1907</v>
      </c>
      <c r="D413" s="1">
        <f>B413+C413</f>
        <v>29215</v>
      </c>
      <c r="E413" s="1">
        <f>33644-B413</f>
        <v>6336</v>
      </c>
      <c r="F413" s="1">
        <f>2137-C413</f>
        <v>230</v>
      </c>
      <c r="G413" s="1">
        <f>E413+F413</f>
        <v>6566</v>
      </c>
      <c r="H413" s="1">
        <v>417350</v>
      </c>
      <c r="I413" s="1">
        <v>18239</v>
      </c>
      <c r="J413" s="1">
        <f>H413+I413</f>
        <v>435589</v>
      </c>
      <c r="K413" s="1">
        <f>431639-H413</f>
        <v>14289</v>
      </c>
      <c r="L413" s="1">
        <f>19939-I413</f>
        <v>1700</v>
      </c>
      <c r="M413" s="1">
        <f>K413+L413</f>
        <v>15989</v>
      </c>
    </row>
    <row r="414" spans="1:14" x14ac:dyDescent="0.2">
      <c r="C414" s="1"/>
      <c r="D414" s="1"/>
      <c r="F414" s="1"/>
      <c r="G414" s="1"/>
      <c r="I414" s="1"/>
      <c r="J414" s="1"/>
      <c r="L414" s="1"/>
      <c r="M414" s="1"/>
    </row>
    <row r="415" spans="1:14" x14ac:dyDescent="0.2">
      <c r="A415" t="s">
        <v>361</v>
      </c>
      <c r="B415" s="1" t="s">
        <v>907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4" x14ac:dyDescent="0.2">
      <c r="B416" t="s">
        <v>900</v>
      </c>
      <c r="C416" t="s">
        <v>901</v>
      </c>
      <c r="D416" t="s">
        <v>902</v>
      </c>
      <c r="E416" t="s">
        <v>903</v>
      </c>
      <c r="F416" s="1"/>
      <c r="G416" s="1"/>
      <c r="H416" s="1"/>
      <c r="I416" s="1"/>
      <c r="J416" s="1"/>
      <c r="K416" s="1"/>
      <c r="L416" s="1"/>
      <c r="M416" s="1"/>
    </row>
    <row r="417" spans="1:14" x14ac:dyDescent="0.2">
      <c r="A417">
        <v>1977</v>
      </c>
      <c r="B417" s="1">
        <v>28650</v>
      </c>
      <c r="C417" s="1">
        <f>30920-B417</f>
        <v>2270</v>
      </c>
      <c r="D417" s="1">
        <v>247507</v>
      </c>
      <c r="E417" s="1">
        <f>258643-D417</f>
        <v>11136</v>
      </c>
      <c r="F417" s="1"/>
      <c r="G417" s="1"/>
      <c r="H417" s="1"/>
      <c r="I417" s="1"/>
      <c r="J417" s="1"/>
      <c r="K417" s="1"/>
      <c r="L417" s="1"/>
      <c r="M417" s="1"/>
      <c r="N417" t="s">
        <v>169</v>
      </c>
    </row>
    <row r="418" spans="1:14" x14ac:dyDescent="0.2">
      <c r="A418">
        <v>1978</v>
      </c>
      <c r="B418" s="1">
        <v>23973</v>
      </c>
      <c r="C418" s="1">
        <f>26285-B418</f>
        <v>2312</v>
      </c>
      <c r="D418" s="1">
        <v>259278</v>
      </c>
      <c r="E418" s="1">
        <f>268944-D418</f>
        <v>9666</v>
      </c>
      <c r="F418" s="1"/>
      <c r="G418" s="1"/>
      <c r="J418" s="1"/>
      <c r="L418" s="1"/>
      <c r="M418" s="1"/>
    </row>
    <row r="419" spans="1:14" x14ac:dyDescent="0.2">
      <c r="A419">
        <v>1979</v>
      </c>
      <c r="B419" s="1">
        <v>20315</v>
      </c>
      <c r="C419" s="1">
        <f>23356-B419</f>
        <v>3041</v>
      </c>
      <c r="D419" s="1">
        <v>271295</v>
      </c>
      <c r="E419" s="1">
        <f>281233-D419</f>
        <v>9938</v>
      </c>
      <c r="F419" s="1"/>
      <c r="G419" s="1"/>
      <c r="J419" s="1"/>
      <c r="L419" s="1"/>
      <c r="M419" s="1"/>
    </row>
    <row r="420" spans="1:14" x14ac:dyDescent="0.2">
      <c r="A420">
        <v>1980</v>
      </c>
      <c r="B420" s="1">
        <v>19025</v>
      </c>
      <c r="C420" s="1">
        <f>23779-B420</f>
        <v>4754</v>
      </c>
      <c r="D420" s="1">
        <v>284190</v>
      </c>
      <c r="E420" s="1">
        <f>294715-D420</f>
        <v>10525</v>
      </c>
      <c r="F420" s="1"/>
      <c r="G420" s="1"/>
      <c r="J420" s="1"/>
      <c r="L420" s="1"/>
      <c r="M420" s="1"/>
    </row>
    <row r="421" spans="1:14" x14ac:dyDescent="0.2">
      <c r="A421">
        <v>1981</v>
      </c>
      <c r="B421" s="1"/>
      <c r="C421" s="1"/>
      <c r="D421" s="1"/>
      <c r="E421" s="1"/>
      <c r="F421" s="1"/>
      <c r="G421" s="1"/>
      <c r="J421" s="1"/>
      <c r="L421" s="1"/>
      <c r="M421" s="1"/>
    </row>
    <row r="422" spans="1:14" x14ac:dyDescent="0.2">
      <c r="A422">
        <v>1982</v>
      </c>
      <c r="B422" s="1">
        <v>21630</v>
      </c>
      <c r="C422" s="1">
        <f>27311-B422</f>
        <v>5681</v>
      </c>
      <c r="D422" s="1">
        <v>363713</v>
      </c>
      <c r="E422" s="1">
        <f>375603-D422</f>
        <v>11890</v>
      </c>
      <c r="F422" s="1"/>
      <c r="G422" s="1"/>
      <c r="J422" s="1"/>
      <c r="L422" s="1"/>
      <c r="M422" s="1"/>
    </row>
    <row r="423" spans="1:14" x14ac:dyDescent="0.2">
      <c r="A423">
        <v>1983</v>
      </c>
      <c r="B423" s="1">
        <v>23836</v>
      </c>
      <c r="C423" s="1">
        <f>28945-B423</f>
        <v>5109</v>
      </c>
      <c r="D423" s="1">
        <v>382404</v>
      </c>
      <c r="E423" s="1">
        <f>395710-D423</f>
        <v>13306</v>
      </c>
      <c r="F423" s="1"/>
      <c r="G423" s="1"/>
      <c r="J423" s="1"/>
      <c r="L423" s="1"/>
      <c r="M423" s="1"/>
    </row>
    <row r="424" spans="1:14" x14ac:dyDescent="0.2">
      <c r="B424" s="1"/>
      <c r="C424" s="1"/>
      <c r="D424" s="1"/>
      <c r="E424" s="1"/>
      <c r="F424" s="1"/>
      <c r="G424" s="1"/>
      <c r="J424" s="1"/>
      <c r="L424" s="1"/>
      <c r="M424" s="1"/>
    </row>
    <row r="425" spans="1:14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4" x14ac:dyDescent="0.2">
      <c r="A426" t="s">
        <v>906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4" x14ac:dyDescent="0.2">
      <c r="B427" t="s">
        <v>900</v>
      </c>
      <c r="E427" t="s">
        <v>901</v>
      </c>
      <c r="H427" t="s">
        <v>902</v>
      </c>
      <c r="K427" t="s">
        <v>903</v>
      </c>
    </row>
    <row r="428" spans="1:14" x14ac:dyDescent="0.2">
      <c r="B428" t="s">
        <v>915</v>
      </c>
      <c r="C428" t="s">
        <v>916</v>
      </c>
      <c r="D428" t="s">
        <v>920</v>
      </c>
      <c r="E428" t="s">
        <v>915</v>
      </c>
      <c r="F428" t="s">
        <v>916</v>
      </c>
      <c r="G428" t="s">
        <v>920</v>
      </c>
      <c r="H428" t="s">
        <v>915</v>
      </c>
      <c r="I428" t="s">
        <v>916</v>
      </c>
      <c r="J428" t="s">
        <v>920</v>
      </c>
      <c r="K428" t="s">
        <v>915</v>
      </c>
      <c r="L428" t="s">
        <v>916</v>
      </c>
      <c r="M428" t="s">
        <v>920</v>
      </c>
    </row>
    <row r="429" spans="1:14" x14ac:dyDescent="0.2">
      <c r="A429">
        <v>1977</v>
      </c>
      <c r="B429" s="1">
        <v>26956</v>
      </c>
      <c r="C429" s="1">
        <v>1694</v>
      </c>
      <c r="D429" s="1">
        <f>B429+C429</f>
        <v>28650</v>
      </c>
      <c r="E429" s="1">
        <f>30185-B429</f>
        <v>3229</v>
      </c>
      <c r="F429" s="1">
        <f>1903-C429</f>
        <v>209</v>
      </c>
      <c r="G429" s="1">
        <f>E429+F429</f>
        <v>3438</v>
      </c>
      <c r="H429" s="1">
        <v>247288</v>
      </c>
      <c r="I429" s="1">
        <v>9518</v>
      </c>
      <c r="J429" s="1">
        <f>H429+I429</f>
        <v>256806</v>
      </c>
      <c r="K429" s="1">
        <f>257560-H429</f>
        <v>10272</v>
      </c>
      <c r="L429" s="1">
        <f>10376-I429</f>
        <v>858</v>
      </c>
      <c r="M429" s="1">
        <f>K429+L429</f>
        <v>11130</v>
      </c>
    </row>
    <row r="430" spans="1:14" x14ac:dyDescent="0.2">
      <c r="A430">
        <v>1978</v>
      </c>
      <c r="B430" s="1">
        <v>24806</v>
      </c>
      <c r="C430" s="1">
        <v>1585</v>
      </c>
      <c r="D430" s="1">
        <f>B430+C430</f>
        <v>26391</v>
      </c>
      <c r="E430" s="1">
        <f>27975-B430</f>
        <v>3169</v>
      </c>
      <c r="F430" s="1">
        <f>1828-C430</f>
        <v>243</v>
      </c>
      <c r="G430" s="1">
        <f>E430+F430</f>
        <v>3412</v>
      </c>
      <c r="H430" s="1">
        <v>257187</v>
      </c>
      <c r="I430" s="1">
        <v>9968</v>
      </c>
      <c r="J430" s="1">
        <f>H430+I430</f>
        <v>267155</v>
      </c>
      <c r="K430" s="1">
        <f>265907-H430</f>
        <v>8720</v>
      </c>
      <c r="L430" s="1">
        <f>10892-I430</f>
        <v>924</v>
      </c>
      <c r="M430" s="1">
        <f>K430+L430</f>
        <v>9644</v>
      </c>
    </row>
    <row r="431" spans="1:14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4" spans="1:8" x14ac:dyDescent="0.2">
      <c r="A434" t="s">
        <v>906</v>
      </c>
    </row>
    <row r="435" spans="1:8" x14ac:dyDescent="0.2">
      <c r="B435" t="s">
        <v>1016</v>
      </c>
      <c r="D435" t="s">
        <v>925</v>
      </c>
    </row>
    <row r="436" spans="1:8" x14ac:dyDescent="0.2">
      <c r="B436" t="s">
        <v>920</v>
      </c>
      <c r="C436" t="s">
        <v>1015</v>
      </c>
      <c r="D436" t="s">
        <v>920</v>
      </c>
      <c r="E436" t="s">
        <v>1015</v>
      </c>
    </row>
    <row r="437" spans="1:8" x14ac:dyDescent="0.2">
      <c r="A437">
        <v>1992</v>
      </c>
      <c r="B437" s="1">
        <v>80259</v>
      </c>
      <c r="C437" s="1">
        <v>65706</v>
      </c>
      <c r="D437" s="1">
        <v>803397</v>
      </c>
      <c r="E437" s="1">
        <v>781565</v>
      </c>
      <c r="H437" t="s">
        <v>862</v>
      </c>
    </row>
    <row r="438" spans="1:8" x14ac:dyDescent="0.2">
      <c r="A438">
        <v>1993</v>
      </c>
      <c r="B438" s="1">
        <v>89587</v>
      </c>
      <c r="C438" s="1">
        <v>74399</v>
      </c>
      <c r="D438" s="1">
        <v>880857</v>
      </c>
      <c r="E438" s="1">
        <v>857867</v>
      </c>
      <c r="H438" t="s">
        <v>861</v>
      </c>
    </row>
    <row r="440" spans="1:8" x14ac:dyDescent="0.2">
      <c r="A440">
        <v>1999</v>
      </c>
      <c r="B440" s="1">
        <v>135246</v>
      </c>
      <c r="C440" s="1">
        <v>114275</v>
      </c>
      <c r="D440" s="1">
        <v>1228455</v>
      </c>
      <c r="E440" s="1">
        <v>1189799</v>
      </c>
    </row>
    <row r="441" spans="1:8" x14ac:dyDescent="0.2">
      <c r="A441">
        <v>2009</v>
      </c>
      <c r="B441" s="1">
        <v>208118</v>
      </c>
      <c r="C441" s="1">
        <v>187886</v>
      </c>
      <c r="D441" s="1">
        <v>1405622</v>
      </c>
      <c r="E441" s="1">
        <v>1360835</v>
      </c>
    </row>
    <row r="444" spans="1:8" x14ac:dyDescent="0.2">
      <c r="A444" t="s">
        <v>389</v>
      </c>
    </row>
    <row r="445" spans="1:8" x14ac:dyDescent="0.2">
      <c r="A445" t="s">
        <v>843</v>
      </c>
    </row>
    <row r="447" spans="1:8" x14ac:dyDescent="0.2">
      <c r="A447" t="s">
        <v>844</v>
      </c>
    </row>
    <row r="449" spans="1:10" x14ac:dyDescent="0.2">
      <c r="A449" t="s">
        <v>845</v>
      </c>
    </row>
    <row r="451" spans="1:10" x14ac:dyDescent="0.2">
      <c r="A451" t="s">
        <v>846</v>
      </c>
    </row>
    <row r="453" spans="1:10" x14ac:dyDescent="0.2">
      <c r="C453" t="s">
        <v>847</v>
      </c>
      <c r="D453" t="s">
        <v>848</v>
      </c>
    </row>
    <row r="454" spans="1:10" x14ac:dyDescent="0.2">
      <c r="C454" t="s">
        <v>849</v>
      </c>
      <c r="E454" t="s">
        <v>850</v>
      </c>
    </row>
    <row r="455" spans="1:10" x14ac:dyDescent="0.2">
      <c r="C455" t="s">
        <v>1115</v>
      </c>
      <c r="F455" t="s">
        <v>471</v>
      </c>
    </row>
    <row r="456" spans="1:10" x14ac:dyDescent="0.2">
      <c r="C456" t="s">
        <v>851</v>
      </c>
      <c r="D456" t="s">
        <v>1020</v>
      </c>
      <c r="E456" t="s">
        <v>397</v>
      </c>
      <c r="F456" t="s">
        <v>852</v>
      </c>
    </row>
    <row r="458" spans="1:10" x14ac:dyDescent="0.2">
      <c r="A458">
        <v>1970</v>
      </c>
      <c r="C458" s="1">
        <v>21266</v>
      </c>
      <c r="D458" s="1">
        <v>20686</v>
      </c>
      <c r="E458" s="1">
        <v>3384</v>
      </c>
      <c r="F458">
        <v>16.3</v>
      </c>
      <c r="G458" t="s">
        <v>375</v>
      </c>
      <c r="H458" s="13"/>
      <c r="J458" t="s">
        <v>863</v>
      </c>
    </row>
    <row r="459" spans="1:10" x14ac:dyDescent="0.2">
      <c r="A459">
        <v>1971</v>
      </c>
      <c r="C459" s="1">
        <v>20891</v>
      </c>
      <c r="D459" s="1">
        <v>20529</v>
      </c>
      <c r="E459" s="1">
        <v>3495</v>
      </c>
      <c r="F459">
        <v>17</v>
      </c>
      <c r="H459" s="13"/>
      <c r="J459" t="s">
        <v>873</v>
      </c>
    </row>
    <row r="460" spans="1:10" x14ac:dyDescent="0.2">
      <c r="A460">
        <v>1972</v>
      </c>
      <c r="C460" s="1">
        <v>22090</v>
      </c>
      <c r="D460" s="1">
        <v>20729</v>
      </c>
      <c r="E460" s="1">
        <v>3523</v>
      </c>
      <c r="F460">
        <v>16.899999999999999</v>
      </c>
      <c r="H460" s="13"/>
    </row>
    <row r="461" spans="1:10" x14ac:dyDescent="0.2">
      <c r="A461">
        <v>1973</v>
      </c>
      <c r="C461" s="1">
        <v>23336</v>
      </c>
      <c r="D461" s="1">
        <v>22038</v>
      </c>
      <c r="E461" s="1">
        <v>5652</v>
      </c>
      <c r="F461">
        <v>25.6</v>
      </c>
      <c r="H461" s="13"/>
    </row>
    <row r="462" spans="1:10" x14ac:dyDescent="0.2">
      <c r="A462">
        <v>1974</v>
      </c>
      <c r="B462" s="1"/>
      <c r="C462" s="1">
        <v>23690</v>
      </c>
      <c r="D462" s="1">
        <v>21769</v>
      </c>
      <c r="E462" s="1">
        <v>6203</v>
      </c>
      <c r="F462">
        <v>28.4</v>
      </c>
      <c r="H462" s="13"/>
    </row>
    <row r="463" spans="1:10" x14ac:dyDescent="0.2">
      <c r="A463">
        <v>1975</v>
      </c>
      <c r="B463" s="1"/>
      <c r="C463" s="1">
        <v>23566</v>
      </c>
      <c r="D463" s="1">
        <v>20692</v>
      </c>
      <c r="E463" s="1">
        <v>5540</v>
      </c>
      <c r="F463">
        <v>26.7</v>
      </c>
      <c r="H463" s="13"/>
    </row>
    <row r="464" spans="1:10" x14ac:dyDescent="0.2">
      <c r="A464">
        <v>1976</v>
      </c>
      <c r="B464" s="1"/>
      <c r="C464" s="1">
        <v>27033</v>
      </c>
      <c r="D464" s="1">
        <v>24135</v>
      </c>
      <c r="E464" s="1">
        <v>6425</v>
      </c>
      <c r="F464">
        <v>26.6</v>
      </c>
      <c r="H464" s="13"/>
    </row>
    <row r="465" spans="1:12" x14ac:dyDescent="0.2">
      <c r="A465">
        <v>1977</v>
      </c>
      <c r="C465" s="1">
        <v>29877</v>
      </c>
      <c r="D465" s="1">
        <v>25673</v>
      </c>
      <c r="E465" s="1">
        <v>6743</v>
      </c>
      <c r="F465">
        <v>26.2</v>
      </c>
      <c r="H465" s="13"/>
      <c r="J465" s="1"/>
      <c r="K465" s="1"/>
      <c r="L465" s="1"/>
    </row>
    <row r="466" spans="1:12" x14ac:dyDescent="0.2">
      <c r="A466">
        <v>1978</v>
      </c>
      <c r="C466" s="1">
        <v>27674</v>
      </c>
      <c r="D466" s="1">
        <v>23501</v>
      </c>
      <c r="E466" s="1">
        <v>5981</v>
      </c>
      <c r="F466">
        <v>25.4</v>
      </c>
      <c r="H466" s="13"/>
      <c r="J466" s="1"/>
      <c r="K466" s="1"/>
      <c r="L466" s="1"/>
    </row>
    <row r="467" spans="1:12" x14ac:dyDescent="0.2">
      <c r="A467">
        <v>1979</v>
      </c>
      <c r="C467" s="1">
        <v>24810</v>
      </c>
      <c r="D467" s="1">
        <v>21539</v>
      </c>
      <c r="E467" s="1">
        <v>5468</v>
      </c>
      <c r="F467">
        <v>25.3</v>
      </c>
      <c r="H467" s="13"/>
      <c r="J467" s="1"/>
      <c r="K467" s="1"/>
      <c r="L467" s="1"/>
    </row>
    <row r="468" spans="1:12" x14ac:dyDescent="0.2">
      <c r="A468">
        <v>1980</v>
      </c>
      <c r="C468" s="1">
        <v>24252</v>
      </c>
      <c r="D468" s="1">
        <v>19023</v>
      </c>
      <c r="E468" s="1">
        <v>4749</v>
      </c>
      <c r="F468">
        <v>24.9</v>
      </c>
      <c r="H468" s="13"/>
      <c r="J468" s="1"/>
      <c r="K468" s="1"/>
      <c r="L468" s="1"/>
    </row>
    <row r="469" spans="1:12" x14ac:dyDescent="0.2">
      <c r="A469">
        <v>1981</v>
      </c>
      <c r="C469" s="1">
        <v>26195</v>
      </c>
      <c r="D469" s="1">
        <v>19765</v>
      </c>
      <c r="E469" s="1">
        <v>5076</v>
      </c>
      <c r="F469">
        <v>25.6</v>
      </c>
      <c r="H469" s="13"/>
      <c r="J469" s="1"/>
      <c r="K469" s="1"/>
      <c r="L469" s="1"/>
    </row>
    <row r="470" spans="1:12" x14ac:dyDescent="0.2">
      <c r="A470">
        <v>1982</v>
      </c>
      <c r="C470" s="1">
        <v>28133</v>
      </c>
      <c r="D470" s="1">
        <v>20938</v>
      </c>
      <c r="E470" s="1">
        <v>5518</v>
      </c>
      <c r="F470">
        <v>26.3</v>
      </c>
      <c r="H470" s="13"/>
      <c r="J470" s="1"/>
      <c r="K470" s="1"/>
      <c r="L470" s="1"/>
    </row>
    <row r="471" spans="1:12" x14ac:dyDescent="0.2">
      <c r="A471">
        <v>1983</v>
      </c>
      <c r="C471" s="1">
        <v>30214</v>
      </c>
      <c r="D471" s="1">
        <v>26027</v>
      </c>
      <c r="E471" s="1">
        <v>7201</v>
      </c>
      <c r="F471">
        <v>27.6</v>
      </c>
      <c r="H471" s="13"/>
      <c r="J471" s="1"/>
      <c r="K471" s="1"/>
      <c r="L471" s="1"/>
    </row>
    <row r="472" spans="1:12" x14ac:dyDescent="0.2">
      <c r="A472">
        <v>1984</v>
      </c>
      <c r="C472" s="1">
        <v>32317</v>
      </c>
      <c r="D472" s="1">
        <v>27622</v>
      </c>
      <c r="E472" s="1">
        <v>8152</v>
      </c>
      <c r="F472">
        <v>29.5</v>
      </c>
      <c r="H472" s="13"/>
    </row>
    <row r="473" spans="1:12" x14ac:dyDescent="0.2">
      <c r="A473">
        <v>1985</v>
      </c>
      <c r="C473" s="1">
        <v>36042</v>
      </c>
      <c r="D473" s="1">
        <v>27623</v>
      </c>
      <c r="E473" s="1">
        <v>9491</v>
      </c>
      <c r="F473">
        <v>34.299999999999997</v>
      </c>
      <c r="H473" s="13"/>
    </row>
    <row r="474" spans="1:12" x14ac:dyDescent="0.2">
      <c r="A474">
        <v>1986</v>
      </c>
      <c r="C474" s="1">
        <v>37542</v>
      </c>
      <c r="D474" s="1">
        <v>30104</v>
      </c>
      <c r="E474" s="1">
        <v>11344</v>
      </c>
      <c r="F474">
        <v>37.700000000000003</v>
      </c>
      <c r="H474" s="13"/>
    </row>
    <row r="475" spans="1:12" x14ac:dyDescent="0.2">
      <c r="A475">
        <v>1987</v>
      </c>
      <c r="C475" s="1">
        <v>41609</v>
      </c>
      <c r="D475" s="1">
        <v>33246</v>
      </c>
      <c r="E475" s="1">
        <v>13897</v>
      </c>
      <c r="F475">
        <v>41.8</v>
      </c>
      <c r="H475" s="13"/>
    </row>
    <row r="476" spans="1:12" x14ac:dyDescent="0.2">
      <c r="A476">
        <v>1988</v>
      </c>
      <c r="C476" s="1">
        <v>41342</v>
      </c>
      <c r="D476" s="1">
        <v>33758</v>
      </c>
      <c r="E476" s="1">
        <v>15087</v>
      </c>
      <c r="F476">
        <v>44.7</v>
      </c>
      <c r="H476" s="13"/>
    </row>
    <row r="477" spans="1:12" x14ac:dyDescent="0.2">
      <c r="A477">
        <v>1989</v>
      </c>
      <c r="C477" s="1">
        <v>47568</v>
      </c>
      <c r="D477" s="1">
        <v>37758</v>
      </c>
      <c r="E477" s="1">
        <v>18852</v>
      </c>
      <c r="F477">
        <v>49.9</v>
      </c>
      <c r="H477" s="13"/>
    </row>
    <row r="478" spans="1:12" x14ac:dyDescent="0.2">
      <c r="A478">
        <v>1990</v>
      </c>
      <c r="C478" s="1">
        <v>54613</v>
      </c>
      <c r="D478" s="1">
        <v>46575</v>
      </c>
      <c r="E478" s="1">
        <v>24297</v>
      </c>
      <c r="F478">
        <v>52.2</v>
      </c>
      <c r="H478" s="13"/>
    </row>
    <row r="479" spans="1:12" x14ac:dyDescent="0.2">
      <c r="A479">
        <v>1991</v>
      </c>
      <c r="C479" s="1">
        <v>61026</v>
      </c>
      <c r="D479" s="1">
        <v>52176</v>
      </c>
      <c r="E479" s="1">
        <v>29667</v>
      </c>
      <c r="F479">
        <v>56.9</v>
      </c>
      <c r="H479" s="13"/>
    </row>
    <row r="480" spans="1:12" x14ac:dyDescent="0.2">
      <c r="A480">
        <v>1992</v>
      </c>
      <c r="C480" s="1">
        <v>67768</v>
      </c>
      <c r="D480" s="1">
        <v>59516</v>
      </c>
      <c r="E480" s="1">
        <v>35398</v>
      </c>
      <c r="F480">
        <v>59.5</v>
      </c>
      <c r="H480" s="13"/>
    </row>
    <row r="481" spans="1:8" x14ac:dyDescent="0.2">
      <c r="A481">
        <v>1993</v>
      </c>
      <c r="C481" s="1">
        <v>76531</v>
      </c>
      <c r="D481" s="1">
        <v>68183</v>
      </c>
      <c r="E481" s="1">
        <v>41393</v>
      </c>
      <c r="F481">
        <v>60.7</v>
      </c>
      <c r="H481" s="13"/>
    </row>
    <row r="482" spans="1:8" x14ac:dyDescent="0.2">
      <c r="A482">
        <v>1994</v>
      </c>
      <c r="C482" s="1">
        <v>82269</v>
      </c>
      <c r="D482" s="1">
        <v>73958</v>
      </c>
      <c r="E482" s="1">
        <v>45367</v>
      </c>
      <c r="F482">
        <v>61.3</v>
      </c>
      <c r="H482" s="13"/>
    </row>
    <row r="483" spans="1:8" x14ac:dyDescent="0.2">
      <c r="A483">
        <v>1995</v>
      </c>
      <c r="C483" s="1">
        <v>85865</v>
      </c>
      <c r="D483" s="1">
        <v>76947</v>
      </c>
      <c r="E483" s="1">
        <v>46669</v>
      </c>
      <c r="F483">
        <v>60.7</v>
      </c>
      <c r="H483" s="13"/>
    </row>
    <row r="484" spans="1:8" x14ac:dyDescent="0.2">
      <c r="A484">
        <v>1996</v>
      </c>
      <c r="C484" s="1">
        <v>89672</v>
      </c>
      <c r="D484" s="1">
        <v>80872</v>
      </c>
      <c r="E484" s="1">
        <v>49096</v>
      </c>
      <c r="F484">
        <v>60.7</v>
      </c>
      <c r="H484" s="13"/>
    </row>
    <row r="485" spans="1:8" x14ac:dyDescent="0.2">
      <c r="A485">
        <v>1997</v>
      </c>
      <c r="C485" s="1">
        <v>95513</v>
      </c>
      <c r="D485" s="1">
        <v>87294</v>
      </c>
      <c r="E485" s="1">
        <v>52059</v>
      </c>
      <c r="F485">
        <v>59.6</v>
      </c>
      <c r="H485" s="13"/>
    </row>
    <row r="486" spans="1:8" x14ac:dyDescent="0.2">
      <c r="A486">
        <v>1998</v>
      </c>
      <c r="C486" s="1">
        <v>104507</v>
      </c>
      <c r="D486" s="1">
        <v>95323</v>
      </c>
      <c r="E486" s="1">
        <v>55984</v>
      </c>
      <c r="F486">
        <v>58.7</v>
      </c>
      <c r="H486" s="13"/>
    </row>
    <row r="487" spans="1:8" x14ac:dyDescent="0.2">
      <c r="A487">
        <v>1999</v>
      </c>
      <c r="C487" s="1">
        <v>115024</v>
      </c>
      <c r="D487" s="1">
        <v>104500</v>
      </c>
      <c r="E487" s="1">
        <v>60399</v>
      </c>
      <c r="F487">
        <v>57.8</v>
      </c>
      <c r="H487" s="13"/>
    </row>
    <row r="488" spans="1:8" x14ac:dyDescent="0.2">
      <c r="A488">
        <v>2000</v>
      </c>
      <c r="C488" s="1">
        <v>123141</v>
      </c>
      <c r="D488" s="1">
        <v>112329</v>
      </c>
      <c r="E488" s="1">
        <v>63898</v>
      </c>
      <c r="F488">
        <v>56.9</v>
      </c>
      <c r="H488" s="13"/>
    </row>
    <row r="489" spans="1:8" x14ac:dyDescent="0.2">
      <c r="A489">
        <v>2001</v>
      </c>
      <c r="C489" s="1">
        <v>131419</v>
      </c>
      <c r="D489" s="1">
        <v>120829</v>
      </c>
      <c r="E489" s="1">
        <v>67037</v>
      </c>
      <c r="F489">
        <v>55.5</v>
      </c>
      <c r="H489" s="13"/>
    </row>
    <row r="490" spans="1:8" x14ac:dyDescent="0.2">
      <c r="A490">
        <v>2002</v>
      </c>
      <c r="C490" s="1">
        <v>139183</v>
      </c>
      <c r="D490" s="1">
        <v>128090</v>
      </c>
      <c r="E490" s="1">
        <v>70009</v>
      </c>
      <c r="F490">
        <v>54.7</v>
      </c>
      <c r="H490" s="13"/>
    </row>
    <row r="491" spans="1:8" x14ac:dyDescent="0.2">
      <c r="A491">
        <v>2003</v>
      </c>
      <c r="C491" s="1">
        <v>148731</v>
      </c>
      <c r="D491" s="1">
        <v>137536</v>
      </c>
      <c r="E491" s="1">
        <v>75801</v>
      </c>
      <c r="F491">
        <v>55.1</v>
      </c>
      <c r="H491" s="13"/>
    </row>
    <row r="492" spans="1:8" x14ac:dyDescent="0.2">
      <c r="A492">
        <v>2004</v>
      </c>
      <c r="B492" t="s">
        <v>398</v>
      </c>
      <c r="C492" s="1">
        <v>154706</v>
      </c>
      <c r="D492" s="1">
        <v>143864</v>
      </c>
      <c r="E492" s="1">
        <v>77867</v>
      </c>
      <c r="F492">
        <v>54.1</v>
      </c>
      <c r="H492" s="13"/>
    </row>
    <row r="494" spans="1:8" x14ac:dyDescent="0.2">
      <c r="A494" t="s">
        <v>853</v>
      </c>
    </row>
    <row r="495" spans="1:8" x14ac:dyDescent="0.2">
      <c r="A495" t="s">
        <v>854</v>
      </c>
    </row>
    <row r="496" spans="1:8" x14ac:dyDescent="0.2">
      <c r="A496" t="s">
        <v>855</v>
      </c>
    </row>
    <row r="497" spans="1:1" x14ac:dyDescent="0.2">
      <c r="A497" t="s">
        <v>856</v>
      </c>
    </row>
    <row r="499" spans="1:1" x14ac:dyDescent="0.2">
      <c r="A499" t="s">
        <v>859</v>
      </c>
    </row>
    <row r="501" spans="1:1" x14ac:dyDescent="0.2">
      <c r="A501" s="18" t="s">
        <v>1204</v>
      </c>
    </row>
    <row r="502" spans="1:1" x14ac:dyDescent="0.2">
      <c r="A502" s="17" t="s">
        <v>1205</v>
      </c>
    </row>
    <row r="503" spans="1:1" x14ac:dyDescent="0.2">
      <c r="A503" t="s">
        <v>860</v>
      </c>
    </row>
    <row r="507" spans="1:1" x14ac:dyDescent="0.2">
      <c r="A507" t="s">
        <v>362</v>
      </c>
    </row>
    <row r="508" spans="1:1" x14ac:dyDescent="0.2">
      <c r="A508" t="s">
        <v>1191</v>
      </c>
    </row>
    <row r="509" spans="1:1" x14ac:dyDescent="0.2">
      <c r="A509" t="s">
        <v>1192</v>
      </c>
    </row>
    <row r="510" spans="1:1" x14ac:dyDescent="0.2">
      <c r="A510" t="s">
        <v>1193</v>
      </c>
    </row>
    <row r="511" spans="1:1" x14ac:dyDescent="0.2">
      <c r="A511" t="s">
        <v>366</v>
      </c>
    </row>
    <row r="512" spans="1:1" x14ac:dyDescent="0.2">
      <c r="A512" t="s">
        <v>1182</v>
      </c>
    </row>
    <row r="513" spans="1:11" x14ac:dyDescent="0.2">
      <c r="A513" t="s">
        <v>368</v>
      </c>
    </row>
    <row r="514" spans="1:11" x14ac:dyDescent="0.2">
      <c r="A514" t="s">
        <v>1183</v>
      </c>
    </row>
    <row r="516" spans="1:11" x14ac:dyDescent="0.2">
      <c r="A516" t="s">
        <v>1192</v>
      </c>
    </row>
    <row r="517" spans="1:11" x14ac:dyDescent="0.2">
      <c r="A517" t="s">
        <v>1017</v>
      </c>
      <c r="C517" t="s">
        <v>1020</v>
      </c>
      <c r="E517" t="s">
        <v>1185</v>
      </c>
      <c r="G517" t="s">
        <v>10</v>
      </c>
      <c r="I517" t="s">
        <v>20</v>
      </c>
      <c r="K517" t="s">
        <v>21</v>
      </c>
    </row>
    <row r="518" spans="1:11" x14ac:dyDescent="0.2">
      <c r="A518">
        <v>2000</v>
      </c>
      <c r="C518" s="1">
        <v>1334174</v>
      </c>
      <c r="E518" s="1">
        <v>125044</v>
      </c>
      <c r="G518" s="1">
        <v>1209130</v>
      </c>
      <c r="I518" s="1">
        <v>1249130</v>
      </c>
      <c r="K518" s="1">
        <v>85044</v>
      </c>
    </row>
    <row r="519" spans="1:11" x14ac:dyDescent="0.2">
      <c r="A519">
        <v>2001</v>
      </c>
      <c r="C519" s="1">
        <v>1345217</v>
      </c>
      <c r="E519" s="1">
        <v>136509</v>
      </c>
      <c r="G519" s="1">
        <v>1208708</v>
      </c>
      <c r="I519" s="1">
        <v>1260033</v>
      </c>
      <c r="K519" s="1">
        <v>85184</v>
      </c>
    </row>
    <row r="520" spans="1:11" x14ac:dyDescent="0.2">
      <c r="A520">
        <v>2002</v>
      </c>
      <c r="C520" s="1">
        <v>1380516</v>
      </c>
      <c r="E520" s="1">
        <v>143040</v>
      </c>
      <c r="G520" s="1">
        <v>1237476</v>
      </c>
      <c r="I520" s="1">
        <v>1291450</v>
      </c>
      <c r="K520" s="1">
        <v>89066</v>
      </c>
    </row>
    <row r="521" spans="1:11" x14ac:dyDescent="0.2">
      <c r="A521">
        <v>2003</v>
      </c>
      <c r="C521" s="1">
        <v>1408361</v>
      </c>
      <c r="E521" s="1">
        <v>151919</v>
      </c>
      <c r="G521" s="1">
        <v>1256442</v>
      </c>
      <c r="I521" s="1">
        <v>1315790</v>
      </c>
      <c r="K521" s="1">
        <v>92571</v>
      </c>
    </row>
    <row r="522" spans="1:11" x14ac:dyDescent="0.2">
      <c r="A522">
        <v>2004</v>
      </c>
      <c r="C522" s="1">
        <v>1433728</v>
      </c>
      <c r="E522" s="1">
        <v>159137</v>
      </c>
      <c r="G522" s="1">
        <v>1274591</v>
      </c>
      <c r="I522" s="1">
        <v>1337730</v>
      </c>
      <c r="K522" s="1">
        <v>95998</v>
      </c>
    </row>
    <row r="523" spans="1:11" x14ac:dyDescent="0.2">
      <c r="A523">
        <v>2005</v>
      </c>
      <c r="C523" s="1">
        <v>1462866</v>
      </c>
      <c r="E523" s="1">
        <v>166173</v>
      </c>
      <c r="G523" s="1">
        <v>1296693</v>
      </c>
      <c r="I523" s="1">
        <v>1364178</v>
      </c>
      <c r="K523" s="1">
        <v>98688</v>
      </c>
    </row>
    <row r="524" spans="1:11" x14ac:dyDescent="0.2">
      <c r="A524">
        <v>2006</v>
      </c>
      <c r="C524" s="1">
        <v>1504598</v>
      </c>
      <c r="E524" s="1">
        <v>173533</v>
      </c>
      <c r="G524" s="1">
        <v>1331065</v>
      </c>
      <c r="I524" s="1">
        <v>1401261</v>
      </c>
      <c r="K524" s="1">
        <v>103337</v>
      </c>
    </row>
    <row r="525" spans="1:11" x14ac:dyDescent="0.2">
      <c r="A525">
        <v>2007</v>
      </c>
      <c r="C525" s="1">
        <v>1532851</v>
      </c>
      <c r="E525" s="1">
        <v>179204</v>
      </c>
      <c r="G525" s="1">
        <v>1353647</v>
      </c>
      <c r="I525" s="1">
        <v>1427088</v>
      </c>
      <c r="K525" s="1">
        <v>105763</v>
      </c>
    </row>
    <row r="526" spans="1:11" x14ac:dyDescent="0.2">
      <c r="A526">
        <v>2008</v>
      </c>
      <c r="C526" s="1">
        <v>1547742</v>
      </c>
      <c r="E526" s="1">
        <v>182333</v>
      </c>
      <c r="G526" s="1">
        <v>1365409</v>
      </c>
      <c r="I526" s="1">
        <v>1441384</v>
      </c>
      <c r="K526" s="1">
        <v>106358</v>
      </c>
    </row>
    <row r="527" spans="1:11" x14ac:dyDescent="0.2">
      <c r="A527">
        <v>2009</v>
      </c>
      <c r="C527" s="1">
        <v>1553574</v>
      </c>
      <c r="E527" s="1">
        <v>187886</v>
      </c>
      <c r="G527" s="1">
        <v>1365688</v>
      </c>
      <c r="I527" s="1">
        <v>1448239</v>
      </c>
      <c r="K527" s="1">
        <v>105335</v>
      </c>
    </row>
    <row r="528" spans="1:11" x14ac:dyDescent="0.2">
      <c r="A528">
        <v>2010</v>
      </c>
      <c r="C528" s="1">
        <v>1552669</v>
      </c>
      <c r="E528" s="1">
        <v>190641</v>
      </c>
      <c r="G528" s="1">
        <v>1362028</v>
      </c>
      <c r="I528" s="1">
        <v>1447766</v>
      </c>
      <c r="K528" s="1">
        <v>104903</v>
      </c>
    </row>
    <row r="529" spans="1:12" x14ac:dyDescent="0.2">
      <c r="A529">
        <v>2011</v>
      </c>
      <c r="C529" s="1">
        <v>1537415</v>
      </c>
      <c r="E529" s="1">
        <v>197050</v>
      </c>
      <c r="G529" s="1">
        <v>1340365</v>
      </c>
      <c r="I529" s="1">
        <v>1433741</v>
      </c>
      <c r="K529" s="1">
        <v>103674</v>
      </c>
    </row>
    <row r="530" spans="1:12" x14ac:dyDescent="0.2">
      <c r="A530" t="s">
        <v>373</v>
      </c>
    </row>
    <row r="531" spans="1:12" x14ac:dyDescent="0.2">
      <c r="B531" t="s">
        <v>1186</v>
      </c>
      <c r="C531">
        <v>1.4</v>
      </c>
      <c r="D531" t="s">
        <v>375</v>
      </c>
      <c r="E531">
        <v>3.8</v>
      </c>
      <c r="F531" t="s">
        <v>375</v>
      </c>
      <c r="G531">
        <v>1.1000000000000001</v>
      </c>
      <c r="H531" t="s">
        <v>375</v>
      </c>
      <c r="I531">
        <v>1.3</v>
      </c>
      <c r="J531" t="s">
        <v>375</v>
      </c>
      <c r="K531">
        <v>1.9</v>
      </c>
      <c r="L531" t="s">
        <v>375</v>
      </c>
    </row>
    <row r="532" spans="1:12" x14ac:dyDescent="0.2">
      <c r="B532" t="s">
        <v>1187</v>
      </c>
      <c r="C532">
        <v>-1</v>
      </c>
      <c r="E532">
        <v>3.4</v>
      </c>
      <c r="G532">
        <v>-1.6</v>
      </c>
      <c r="I532">
        <v>-1</v>
      </c>
      <c r="K532">
        <v>-1.2</v>
      </c>
    </row>
    <row r="533" spans="1:12" x14ac:dyDescent="0.2">
      <c r="A533" t="s">
        <v>1194</v>
      </c>
    </row>
    <row r="534" spans="1:12" x14ac:dyDescent="0.2">
      <c r="A534" t="s">
        <v>1189</v>
      </c>
    </row>
    <row r="535" spans="1:12" x14ac:dyDescent="0.2">
      <c r="A535" t="s">
        <v>1190</v>
      </c>
    </row>
  </sheetData>
  <mergeCells count="1">
    <mergeCell ref="A1:H1"/>
  </mergeCells>
  <phoneticPr fontId="3" type="noConversion"/>
  <hyperlinks>
    <hyperlink ref="A502" r:id="rId1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sex-race 2006</vt:lpstr>
      <vt:lpstr>fed-state from 1925</vt:lpstr>
      <vt:lpstr>jails from 1983</vt:lpstr>
      <vt:lpstr>fs sentenced</vt:lpstr>
      <vt:lpstr>fs jurisdiction</vt:lpstr>
      <vt:lpstr>fs 1925-2001 source</vt:lpstr>
      <vt:lpstr>federal 1896-1940</vt:lpstr>
      <vt:lpstr>fs sources from 1925</vt:lpstr>
      <vt:lpstr>jail sources from 1980</vt:lpstr>
      <vt:lpstr>1970-2010</vt:lpstr>
      <vt:lpstr>1940-1960</vt:lpstr>
      <vt:lpstr>1933</vt:lpstr>
      <vt:lpstr>1933 county&amp;city</vt:lpstr>
      <vt:lpstr>1917-23</vt:lpstr>
      <vt:lpstr>1910</vt:lpstr>
      <vt:lpstr>1904</vt:lpstr>
      <vt:lpstr>1904 jails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2014-10-19T21:51:17Z</dcterms:created>
  <dcterms:modified xsi:type="dcterms:W3CDTF">2014-10-19T21:51:26Z</dcterms:modified>
</cp:coreProperties>
</file>