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00" yWindow="0" windowWidth="25600" windowHeight="14500" tabRatio="500" firstSheet="1" activeTab="1"/>
  </bookViews>
  <sheets>
    <sheet name="COVID.calc.groepsimmuniteit (3)" sheetId="6" r:id="rId1"/>
    <sheet name="COVID prognose methode 2" sheetId="5" r:id="rId2"/>
    <sheet name="COVID prognose methode 1" sheetId="2" r:id="rId3"/>
    <sheet name="Diamond Princes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5" l="1"/>
  <c r="E58" i="5"/>
  <c r="E59" i="5"/>
  <c r="E60" i="5"/>
  <c r="E61" i="5"/>
  <c r="E65" i="5"/>
  <c r="G47" i="5"/>
  <c r="G52" i="5"/>
  <c r="O8" i="4"/>
  <c r="O9" i="4"/>
  <c r="O10" i="4"/>
  <c r="O11" i="4"/>
  <c r="O12" i="4"/>
  <c r="O13" i="4"/>
  <c r="O14" i="4"/>
  <c r="O15" i="4"/>
  <c r="O16" i="4"/>
  <c r="O7" i="4"/>
  <c r="F62" i="5"/>
  <c r="F63" i="5"/>
  <c r="F64" i="5"/>
  <c r="F65" i="5"/>
  <c r="D14" i="4"/>
  <c r="D15" i="4"/>
  <c r="K38" i="2"/>
  <c r="K39" i="2"/>
  <c r="K40" i="2"/>
  <c r="K41" i="2"/>
  <c r="K42" i="2"/>
  <c r="K43" i="2"/>
  <c r="K44" i="2"/>
  <c r="K45" i="2"/>
  <c r="K46" i="2"/>
  <c r="K47" i="2"/>
  <c r="J47" i="2"/>
  <c r="L47" i="2"/>
  <c r="E38" i="2"/>
  <c r="E39" i="2"/>
  <c r="E40" i="2"/>
  <c r="E41" i="2"/>
  <c r="E42" i="2"/>
  <c r="E43" i="2"/>
  <c r="E44" i="2"/>
  <c r="E45" i="2"/>
  <c r="D46" i="2"/>
  <c r="E46" i="2"/>
  <c r="E47" i="2"/>
  <c r="D47" i="2"/>
  <c r="F47" i="2"/>
  <c r="B55" i="2"/>
  <c r="D16" i="2"/>
  <c r="F43" i="5"/>
  <c r="G43" i="5"/>
  <c r="G44" i="5"/>
  <c r="G45" i="5"/>
  <c r="G46" i="5"/>
  <c r="D10" i="5"/>
  <c r="F58" i="5"/>
  <c r="F59" i="5"/>
  <c r="F60" i="5"/>
  <c r="F61" i="5"/>
  <c r="J44" i="5"/>
  <c r="J45" i="5"/>
  <c r="J46" i="5"/>
  <c r="J47" i="5"/>
  <c r="J49" i="5"/>
  <c r="J50" i="5"/>
  <c r="J51" i="5"/>
  <c r="I44" i="5"/>
  <c r="I45" i="5"/>
  <c r="I46" i="5"/>
  <c r="I47" i="5"/>
  <c r="I49" i="5"/>
  <c r="I50" i="5"/>
  <c r="I51" i="5"/>
  <c r="H44" i="5"/>
  <c r="H45" i="5"/>
  <c r="H46" i="5"/>
  <c r="H47" i="5"/>
  <c r="H49" i="5"/>
  <c r="H50" i="5"/>
  <c r="H51" i="5"/>
  <c r="K44" i="5"/>
  <c r="K45" i="5"/>
  <c r="K46" i="5"/>
  <c r="K47" i="5"/>
  <c r="K49" i="5"/>
  <c r="K50" i="5"/>
  <c r="K51" i="5"/>
  <c r="L44" i="5"/>
  <c r="L45" i="5"/>
  <c r="L46" i="5"/>
  <c r="L47" i="5"/>
  <c r="L49" i="5"/>
  <c r="L50" i="5"/>
  <c r="L51" i="5"/>
  <c r="M46" i="5"/>
  <c r="M47" i="5"/>
  <c r="M49" i="5"/>
  <c r="M50" i="5"/>
  <c r="M51" i="5"/>
  <c r="M44" i="5"/>
  <c r="M45" i="5"/>
  <c r="F51" i="5"/>
  <c r="F52" i="5"/>
  <c r="Y45" i="6"/>
  <c r="Y46" i="6"/>
  <c r="Z38" i="6"/>
  <c r="Z39" i="6"/>
  <c r="Z40" i="6"/>
  <c r="Z41" i="6"/>
  <c r="Z42" i="6"/>
  <c r="Z43" i="6"/>
  <c r="Z44" i="6"/>
  <c r="Z45" i="6"/>
  <c r="Z37" i="6"/>
  <c r="AA37" i="6"/>
  <c r="AA38" i="6"/>
  <c r="AA39" i="6"/>
  <c r="AA40" i="6"/>
  <c r="AA41" i="6"/>
  <c r="AA42" i="6"/>
  <c r="AA43" i="6"/>
  <c r="AA44" i="6"/>
  <c r="AA45" i="6"/>
  <c r="AA46" i="6"/>
  <c r="Z46" i="6"/>
  <c r="AB46" i="6"/>
  <c r="AB38" i="6"/>
  <c r="AB39" i="6"/>
  <c r="AB40" i="6"/>
  <c r="AB41" i="6"/>
  <c r="AB42" i="6"/>
  <c r="AB43" i="6"/>
  <c r="AB44" i="6"/>
  <c r="AB45" i="6"/>
  <c r="AB37" i="6"/>
  <c r="K50" i="6"/>
  <c r="K51" i="6"/>
  <c r="K52" i="6"/>
  <c r="K53" i="6"/>
  <c r="K54" i="6"/>
  <c r="K55" i="6"/>
  <c r="K56" i="6"/>
  <c r="K57" i="6"/>
  <c r="K58" i="6"/>
  <c r="K59" i="6"/>
  <c r="J59" i="6"/>
  <c r="L59" i="6"/>
  <c r="E36" i="6"/>
  <c r="E37" i="6"/>
  <c r="E38" i="6"/>
  <c r="E39" i="6"/>
  <c r="E40" i="6"/>
  <c r="E41" i="6"/>
  <c r="E42" i="6"/>
  <c r="E43" i="6"/>
  <c r="D44" i="6"/>
  <c r="E44" i="6"/>
  <c r="E45" i="6"/>
  <c r="D45" i="6"/>
  <c r="F45" i="6"/>
  <c r="B67" i="6"/>
  <c r="B66" i="6"/>
  <c r="B65" i="6"/>
  <c r="L58" i="6"/>
  <c r="L57" i="6"/>
  <c r="L56" i="6"/>
  <c r="L55" i="6"/>
  <c r="L54" i="6"/>
  <c r="L53" i="6"/>
  <c r="L52" i="6"/>
  <c r="L51" i="6"/>
  <c r="L50" i="6"/>
  <c r="K36" i="6"/>
  <c r="K37" i="6"/>
  <c r="K38" i="6"/>
  <c r="K39" i="6"/>
  <c r="K40" i="6"/>
  <c r="D9" i="6"/>
  <c r="J41" i="6"/>
  <c r="K41" i="6"/>
  <c r="K42" i="6"/>
  <c r="K43" i="6"/>
  <c r="K44" i="6"/>
  <c r="K45" i="6"/>
  <c r="J45" i="6"/>
  <c r="L45" i="6"/>
  <c r="T44" i="6"/>
  <c r="U44" i="6"/>
  <c r="L44" i="6"/>
  <c r="F44" i="6"/>
  <c r="T43" i="6"/>
  <c r="U43" i="6"/>
  <c r="L43" i="6"/>
  <c r="F43" i="6"/>
  <c r="T42" i="6"/>
  <c r="U42" i="6"/>
  <c r="L42" i="6"/>
  <c r="F42" i="6"/>
  <c r="T41" i="6"/>
  <c r="U41" i="6"/>
  <c r="L41" i="6"/>
  <c r="F41" i="6"/>
  <c r="T40" i="6"/>
  <c r="U40" i="6"/>
  <c r="L40" i="6"/>
  <c r="F40" i="6"/>
  <c r="T39" i="6"/>
  <c r="U39" i="6"/>
  <c r="L39" i="6"/>
  <c r="F39" i="6"/>
  <c r="T38" i="6"/>
  <c r="U38" i="6"/>
  <c r="L38" i="6"/>
  <c r="F38" i="6"/>
  <c r="T37" i="6"/>
  <c r="U37" i="6"/>
  <c r="L37" i="6"/>
  <c r="F37" i="6"/>
  <c r="T36" i="6"/>
  <c r="U36" i="6"/>
  <c r="L36" i="6"/>
  <c r="F36" i="6"/>
  <c r="D23" i="6"/>
  <c r="D25" i="6"/>
  <c r="D11" i="6"/>
  <c r="D14" i="6"/>
  <c r="D15" i="6"/>
  <c r="D17" i="6"/>
  <c r="D20" i="6"/>
  <c r="G58" i="5"/>
  <c r="G59" i="5"/>
  <c r="G60" i="5"/>
  <c r="G61" i="5"/>
  <c r="G63" i="5"/>
  <c r="G64" i="5"/>
  <c r="G65" i="5"/>
  <c r="D65" i="5"/>
  <c r="D66" i="5"/>
  <c r="D8" i="4"/>
  <c r="D9" i="4"/>
  <c r="D10" i="4"/>
  <c r="D11" i="4"/>
  <c r="D12" i="4"/>
  <c r="D13" i="4"/>
  <c r="D7" i="4"/>
  <c r="D27" i="2"/>
  <c r="J15" i="4"/>
  <c r="J7" i="4"/>
  <c r="D11" i="2"/>
  <c r="D13" i="2"/>
  <c r="D17" i="2"/>
  <c r="D19" i="2"/>
  <c r="D22" i="2"/>
  <c r="J8" i="4"/>
  <c r="J9" i="4"/>
  <c r="J10" i="4"/>
  <c r="J11" i="4"/>
  <c r="J12" i="4"/>
  <c r="J13" i="4"/>
  <c r="J14" i="4"/>
  <c r="E8" i="4"/>
  <c r="H8" i="4"/>
  <c r="I8" i="4"/>
  <c r="E9" i="4"/>
  <c r="H9" i="4"/>
  <c r="I9" i="4"/>
  <c r="E10" i="4"/>
  <c r="H10" i="4"/>
  <c r="I10" i="4"/>
  <c r="E11" i="4"/>
  <c r="H11" i="4"/>
  <c r="I11" i="4"/>
  <c r="E12" i="4"/>
  <c r="H12" i="4"/>
  <c r="I12" i="4"/>
  <c r="E13" i="4"/>
  <c r="H13" i="4"/>
  <c r="I13" i="4"/>
  <c r="E14" i="4"/>
  <c r="H14" i="4"/>
  <c r="I14" i="4"/>
  <c r="E15" i="4"/>
  <c r="H15" i="4"/>
  <c r="I15" i="4"/>
  <c r="E7" i="4"/>
  <c r="I7" i="4"/>
  <c r="H7" i="4"/>
  <c r="L38" i="2"/>
  <c r="L39" i="2"/>
  <c r="L40" i="2"/>
  <c r="L41" i="2"/>
  <c r="L42" i="2"/>
  <c r="L43" i="2"/>
  <c r="L44" i="2"/>
  <c r="L45" i="2"/>
  <c r="L46" i="2"/>
  <c r="D25" i="2"/>
  <c r="D26" i="2"/>
  <c r="D28" i="2"/>
  <c r="F38" i="2"/>
  <c r="F39" i="2"/>
  <c r="F40" i="2"/>
  <c r="F41" i="2"/>
  <c r="F42" i="2"/>
  <c r="F43" i="2"/>
  <c r="F44" i="2"/>
  <c r="F45" i="2"/>
  <c r="F46" i="2"/>
  <c r="B53" i="2"/>
  <c r="B54" i="2"/>
  <c r="D18" i="5"/>
  <c r="D13" i="5"/>
  <c r="D29" i="5"/>
  <c r="H43" i="5"/>
  <c r="K43" i="5"/>
  <c r="I43" i="5"/>
  <c r="L43" i="5"/>
  <c r="J43" i="5"/>
  <c r="M43" i="5"/>
  <c r="E57" i="5"/>
  <c r="F57" i="5"/>
  <c r="G57" i="5"/>
  <c r="H48" i="5"/>
  <c r="K48" i="5"/>
  <c r="I48" i="5"/>
  <c r="L48" i="5"/>
  <c r="J48" i="5"/>
  <c r="M48" i="5"/>
  <c r="G62" i="5"/>
  <c r="G10" i="5"/>
  <c r="J52" i="5"/>
  <c r="M52" i="5"/>
  <c r="D19" i="5"/>
  <c r="D20" i="5"/>
  <c r="I52" i="5"/>
  <c r="L52" i="5"/>
  <c r="D14" i="5"/>
  <c r="D15" i="5"/>
  <c r="H52" i="5"/>
  <c r="K52" i="5"/>
  <c r="D23" i="5"/>
  <c r="D26" i="5"/>
  <c r="E66" i="5"/>
  <c r="F66" i="5"/>
  <c r="G66" i="5"/>
  <c r="D30" i="5"/>
  <c r="D31" i="5"/>
</calcChain>
</file>

<file path=xl/connections.xml><?xml version="1.0" encoding="utf-8"?>
<connections xmlns="http://schemas.openxmlformats.org/spreadsheetml/2006/main">
  <connection id="1" name="3.2.1-verdeling-persoonlijk-inkomen_sup_1)__sup_,-2017_.csv" type="6" refreshedVersion="0" background="1" saveData="1">
    <textPr fileType="mac" sourceFile="macOS:Users:cwverhey:Downloads:3.2.1-verdeling-persoonlijk-inkomen_sup_1)__sup_,-2017_.csv" decimal="," thousands="." tab="0" comma="1">
      <textFields count="4">
        <textField/>
        <textField/>
        <textField/>
        <textField/>
      </textFields>
    </textPr>
  </connection>
  <connection id="2" name="3.2.2-personen-met-een-topinkomen_sup_1)__sup_.csv" type="6" refreshedVersion="0" background="1" saveData="1">
    <textPr fileType="mac" sourceFile="macOS:Users:cwverhey:Downloads:3.2.2-personen-met-een-topinkomen_sup_1)__sup_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<sst xmlns="http://schemas.openxmlformats.org/spreadsheetml/2006/main" count="408" uniqueCount="151">
  <si>
    <t>=</t>
  </si>
  <si>
    <t>/</t>
  </si>
  <si>
    <t>Totaal</t>
  </si>
  <si>
    <t>80+</t>
  </si>
  <si>
    <t>70-79</t>
  </si>
  <si>
    <t>60-69</t>
  </si>
  <si>
    <t>50-59</t>
  </si>
  <si>
    <t>40-49</t>
  </si>
  <si>
    <t>30-39</t>
  </si>
  <si>
    <t>➡</t>
  </si>
  <si>
    <t>20-29</t>
  </si>
  <si>
    <t>10-19</t>
  </si>
  <si>
    <t>0-9</t>
  </si>
  <si>
    <t>gemiddeld CFR</t>
  </si>
  <si>
    <t>inwoners</t>
  </si>
  <si>
    <t>CFR</t>
  </si>
  <si>
    <t>Leeftijdsgroep</t>
  </si>
  <si>
    <t>dagen</t>
  </si>
  <si>
    <t>benodigde tijd</t>
  </si>
  <si>
    <t>https://nos.nl/artikel/2327182-acht-nieuwe-coronadoden-162-mensen-opgenomen-in-ziekenhuis.html</t>
  </si>
  <si>
    <t>bedden</t>
  </si>
  <si>
    <t>IC-bedden beschikbaar</t>
  </si>
  <si>
    <t>https://www.euronews.com/2020/03/12/coronavirus-italy-doctors-forced-to-prioritise-icu-care-for-patients-with-best-chance-of-s</t>
  </si>
  <si>
    <t>x</t>
  </si>
  <si>
    <t>personen</t>
  </si>
  <si>
    <t>IC-patiënten</t>
  </si>
  <si>
    <t>https://www.nejm.org/doi/full/10.1056/NEJMoa2002032</t>
  </si>
  <si>
    <t>te besmetten</t>
  </si>
  <si>
    <t>https://nos.nl/nieuwsuur/artikel/2327338-50-tot-60-procent-nederlanders-moet-corona-krijgen-voor-groepsimmuniteit.html</t>
  </si>
  <si>
    <t>nodig voor groepsimmuniteit</t>
  </si>
  <si>
    <t>https://www.cbs.nl/en-gb/visualisaties/population-counter</t>
  </si>
  <si>
    <t>NL totaal</t>
  </si>
  <si>
    <t>Bij optimale condities: de jongste patienten, exact 100% IC-bezetting.</t>
  </si>
  <si>
    <t>ascertainment rate</t>
  </si>
  <si>
    <r>
      <t xml:space="preserve">Cellen met ster </t>
    </r>
    <r>
      <rPr>
        <sz val="11"/>
        <color theme="1"/>
        <rFont val="STIXGeneral-Regular"/>
      </rPr>
      <t>⭐</t>
    </r>
    <r>
      <rPr>
        <sz val="11"/>
        <color theme="1"/>
        <rFont val="Helvetica Neue Light"/>
      </rPr>
      <t xml:space="preserve"> lenen zich voor handmatige aanpassing van parameters.</t>
    </r>
  </si>
  <si>
    <t>relatieve kwetsbaarheid besmette populatie</t>
  </si>
  <si>
    <t>gemiddelde CFR besmette populatie</t>
  </si>
  <si>
    <t>sterfte</t>
  </si>
  <si>
    <t>https://www.medrxiv.org/content/10.1101/2020.03.05.20031773v2.full.pdf</t>
  </si>
  <si>
    <t>CFR's:</t>
  </si>
  <si>
    <t>https://www.medrxiv.org/content/10.1101/2020.03.04.20031104v1.full.pdf</t>
  </si>
  <si>
    <t>Demografie NL:</t>
  </si>
  <si>
    <t>https://opendata.cbs.nl/statline/#/CBS/nl/dataset/84646NED/table?ts=1584394178496</t>
  </si>
  <si>
    <t>https://www.medrxiv.org/content/10.1101/2020.01.23.20018549v2.full.pdf</t>
  </si>
  <si>
    <t>symptomatic</t>
  </si>
  <si>
    <t>asymptomatic</t>
  </si>
  <si>
    <t>bronnen / opmerkingen per parameter</t>
  </si>
  <si>
    <t>IC-gebruik naar leeftijd is helaas niet bekend. Daarom schaal ik de gemiddelde IC-behoeftigheid (algemene IC load) met de relatieve CFR voor de besmette populatie:</t>
  </si>
  <si>
    <t>Besmette populatie</t>
  </si>
  <si>
    <t>gemiddelde verblijfduur IC</t>
  </si>
  <si>
    <t>Sterfte en tijd voordat groepsimmuniteit bereikt kan worden zonder tekort aan IC-bedden</t>
  </si>
  <si>
    <t>IC load bij doorsnee populatie</t>
  </si>
  <si>
    <t>ascertainment rate bij gebruike IC load</t>
  </si>
  <si>
    <t>https://doi.org/10.3390/jcm9020419</t>
  </si>
  <si>
    <t>9,2% (95%CI: 5,0-20,0), alternatief: 5.0% (3,6–7,4)</t>
  </si>
  <si>
    <t>cel D9</t>
  </si>
  <si>
    <t>cel D15</t>
  </si>
  <si>
    <t>cel B53; kies een populatiesamenstelling in cel J36:J44</t>
  </si>
  <si>
    <t>bovengrens 95%CI bij 55 IC-patiënten uit 1099 cases:</t>
  </si>
  <si>
    <t>cel D12</t>
  </si>
  <si>
    <t>cel L45</t>
  </si>
  <si>
    <t>Volledige populatie*</t>
  </si>
  <si>
    <t>sterfte/asc.**</t>
  </si>
  <si>
    <t>** De sterfte wanneer alle besmette personen symptomatisch en een gediagnosticeerde case zouden worden. Dit lijkt in realiteit voor ± 5% van de besmette personen te gelden (zie daarvoor het ascertainmentpercentage in D12).</t>
  </si>
  <si>
    <t>* Inwoneraantallen 2019.</t>
  </si>
  <si>
    <t>Relatieve kwetsbaarheid van de gekozen patientengroep t.o.v. gehele populatie</t>
  </si>
  <si>
    <t>IFR</t>
  </si>
  <si>
    <t>Sterfte</t>
  </si>
  <si>
    <t>ZKH-opname en IC-opname</t>
  </si>
  <si>
    <t>IC-kans per symptomatische patient</t>
  </si>
  <si>
    <t>opnamekans per symptomatische patient</t>
  </si>
  <si>
    <t>IC-kans per opgenomen patient</t>
  </si>
  <si>
    <t>Sterfte - Volledige populatie</t>
  </si>
  <si>
    <t xml:space="preserve"> ➡ </t>
  </si>
  <si>
    <t>https://www.medrxiv.org/content/10.1101/2020.03.09.20033357v1.full.pdf</t>
  </si>
  <si>
    <t>https://www.imperial.ac.uk/media/imperial-college/medicine/sph/ide/gida-fellowships/Imperial-College-COVID19-NPI-modelling-16-03-2020.pdf</t>
  </si>
  <si>
    <t>IFR's:</t>
  </si>
  <si>
    <t>Infection Fatality Risk per leeftijdsgroep</t>
  </si>
  <si>
    <t>Case Fatality Risk per leeftijdsgroep</t>
  </si>
  <si>
    <t>Sterfte - Besmette populatie</t>
  </si>
  <si>
    <t>cel L46</t>
  </si>
  <si>
    <t>IFR besmette populatie</t>
  </si>
  <si>
    <t>gemiddeld IFR</t>
  </si>
  <si>
    <t>gemiddelde IFR</t>
  </si>
  <si>
    <t>50% inwoners</t>
  </si>
  <si>
    <t>IC-patienten</t>
  </si>
  <si>
    <t>95%CI high</t>
  </si>
  <si>
    <t>age group</t>
  </si>
  <si>
    <t>error bar low</t>
  </si>
  <si>
    <t>error bar high</t>
  </si>
  <si>
    <t>95% CI middle</t>
  </si>
  <si>
    <t>besmettingen</t>
  </si>
  <si>
    <t>inwoners NL</t>
  </si>
  <si>
    <t>ZKH-opnames</t>
  </si>
  <si>
    <t>Totaal¹</t>
  </si>
  <si>
    <t>¹ Inwoneraantallen 2019</t>
  </si>
  <si>
    <t>Ziekenhuisopnames en IC-opnames</t>
  </si>
  <si>
    <t>CBS Statline¹</t>
  </si>
  <si>
    <t>² CAF = Case Ascertainment Fraction</t>
  </si>
  <si>
    <t>⁴ per besmet persoon</t>
  </si>
  <si>
    <t>⁵ IFR = Infection Fatality Risk</t>
  </si>
  <si>
    <t>IFR⁵</t>
  </si>
  <si>
    <t>opname/case³</t>
  </si>
  <si>
    <t>IC / opname</t>
  </si>
  <si>
    <t>³ aantal opnames per geïdentificeerde, symptomatische case</t>
  </si>
  <si>
    <t>CAF²</t>
  </si>
  <si>
    <t>IFR is hoger dan de IC-kans; onwaarschijnlijk dat dat in realiteit ook zo is.</t>
  </si>
  <si>
    <t>Oorzaken: grotere credible intervals bij jonge groepen, overschatting ascertainment in de CAF</t>
  </si>
  <si>
    <t>symptomatisch</t>
  </si>
  <si>
    <t>IC-patienten⁴</t>
  </si>
  <si>
    <t>ZKH-opnames⁴</t>
  </si>
  <si>
    <t>symptomatisch⁴</t>
  </si>
  <si>
    <t>opnamekans gekozen populatie</t>
  </si>
  <si>
    <t>opgenomen patiënten</t>
  </si>
  <si>
    <t>IC-kans gekozen populatie</t>
  </si>
  <si>
    <t>patienten op IC</t>
  </si>
  <si>
    <t>Sterfte en tijd voordat groepsimmuniteit bereikt zou kunnen worden zonder tekort aan IC-bedden</t>
  </si>
  <si>
    <t>Risico's per leeftijdsgroep</t>
  </si>
  <si>
    <t>Diamond Princess doesn't seem suitable for an age-dependant IFR; not enough cases</t>
  </si>
  <si>
    <t>inwoners totaal</t>
  </si>
  <si>
    <t>cel D10</t>
  </si>
  <si>
    <t>cel L52</t>
  </si>
  <si>
    <t>cel M52</t>
  </si>
  <si>
    <t>cel J52</t>
  </si>
  <si>
    <t>cel G66</t>
  </si>
  <si>
    <t>IFR gekozen populatie</t>
  </si>
  <si>
    <t>ascertainment rate in studie IC load</t>
  </si>
  <si>
    <t>Figure 3 C in Verity et al. (Imperial College)</t>
  </si>
  <si>
    <t>Table 1 in Ferguson et al. (Imperial College)</t>
  </si>
  <si>
    <t>Alternatieve bronnen</t>
  </si>
  <si>
    <t>https://www.researchsquare.com/article/rs-17453/v1</t>
  </si>
  <si>
    <t>sCFR was 0.5% (0.1%-1.3%), 0.5% (0.2%-1.1%) and 2.7% (1.5%-4.7%) for those aged 15-44, 45-64 and &gt;64 years</t>
  </si>
  <si>
    <t>Wu et al. Estimating clinical severity of COVID-19 from the transmission dynamics in Wuhan, China</t>
  </si>
  <si>
    <t>Imperial College</t>
  </si>
  <si>
    <t>Diamond Princess</t>
  </si>
  <si>
    <t>CAF's, IFR voor 0-19j:</t>
  </si>
  <si>
    <t>IFR's 20j+, opname- en IC-kansen:</t>
  </si>
  <si>
    <t>CAF = symptomatic / infected</t>
  </si>
  <si>
    <t>infected = sum</t>
  </si>
  <si>
    <t>95%CI low (Clopper Pearson method)</t>
  </si>
  <si>
    <t>https://www.rijksoverheid.nl/binaries/rijksoverheid/documenten/kamerstukken/2020/03/20/kamerbrief-covid-19-update-stand-van-zaken/COVID-19+-+Update+stand+van+zaken.pdf</t>
  </si>
  <si>
    <t>China, jan 29 = bovengrens 95%CI bij 55 IC-patiënten uit 1099 cases:</t>
  </si>
  <si>
    <t>Wuhan tot jan 29-31 = 9,2% (95%CI: 5,0-20,0), alternatief: Wuhan jan 1-22 = 5.0% (3,6–7,4)</t>
  </si>
  <si>
    <t>cases</t>
  </si>
  <si>
    <t>totaal</t>
  </si>
  <si>
    <t>80-89</t>
  </si>
  <si>
    <t>Iceland 29 March</t>
  </si>
  <si>
    <t>90+</t>
  </si>
  <si>
    <t>infected</t>
  </si>
  <si>
    <t>Deze rekenmethode neemt aan dat IC-belasting per leeftijd vergelijkbaar is met sterftekans per leeftijd. Dat is niet realistisch gebleken: hoogste leeftijdsgroepen belanden minder op IC. Daarom wordt in de tweede methode de IC-kans apart onderzocht.</t>
  </si>
  <si>
    <t>Automatisch wordt een zo jong mogelijke besmette populatie gekozen in cel G43:G51. Deze cellen zijn ook handmatig aan te passen.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</si>
</sst>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%"/>
    <numFmt numFmtId="165" formatCode="0.0%"/>
    <numFmt numFmtId="166" formatCode="0.000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Helvetica Neue Light"/>
    </font>
    <font>
      <b/>
      <sz val="11"/>
      <color theme="1"/>
      <name val="Helvetica Neue Light"/>
    </font>
    <font>
      <sz val="11"/>
      <color theme="0" tint="-0.34998626667073579"/>
      <name val="Helvetica Neue Light"/>
    </font>
    <font>
      <sz val="11"/>
      <color rgb="FF000000"/>
      <name val="Helvetica Neue Light"/>
    </font>
    <font>
      <sz val="48"/>
      <color theme="1"/>
      <name val="Helvetica Neue Light"/>
    </font>
    <font>
      <b/>
      <sz val="14"/>
      <color theme="1"/>
      <name val="Helvetica Neue Light"/>
    </font>
    <font>
      <u/>
      <sz val="12"/>
      <color theme="10"/>
      <name val="Calibri"/>
      <family val="2"/>
      <scheme val="minor"/>
    </font>
    <font>
      <u/>
      <sz val="11"/>
      <color theme="10"/>
      <name val="Helvetica Neue Light"/>
    </font>
    <font>
      <sz val="11"/>
      <name val="Helvetica Neue Light"/>
    </font>
    <font>
      <b/>
      <sz val="11"/>
      <name val="Helvetica Neue Light"/>
    </font>
    <font>
      <sz val="11"/>
      <color theme="1"/>
      <name val="STIXGeneral-Regula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48"/>
      <color rgb="FF000000"/>
      <name val="Helvetica Neue Light"/>
    </font>
    <font>
      <sz val="11"/>
      <color theme="0" tint="-0.499984740745262"/>
      <name val="Helvetica Neue Light"/>
    </font>
    <font>
      <b/>
      <sz val="12"/>
      <color theme="1"/>
      <name val="Helvetica Neue Light"/>
    </font>
    <font>
      <i/>
      <sz val="11"/>
      <color theme="1"/>
      <name val="Helvetica Neue Light"/>
    </font>
    <font>
      <b/>
      <sz val="11"/>
      <color rgb="FFFF0000"/>
      <name val="Helvetica Neue Light"/>
    </font>
  </fonts>
  <fills count="8">
    <fill>
      <patternFill patternType="none"/>
    </fill>
    <fill>
      <patternFill patternType="gray125"/>
    </fill>
    <fill>
      <patternFill patternType="solid">
        <fgColor rgb="FFCFF3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rgb="FFDFEAF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/>
      <top/>
      <bottom/>
      <diagonal/>
    </border>
  </borders>
  <cellStyleXfs count="189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10" fontId="3" fillId="2" borderId="0" xfId="0" applyNumberFormat="1" applyFont="1" applyFill="1"/>
    <xf numFmtId="10" fontId="2" fillId="3" borderId="1" xfId="0" applyNumberFormat="1" applyFont="1" applyFill="1" applyBorder="1"/>
    <xf numFmtId="0" fontId="3" fillId="0" borderId="0" xfId="0" applyFont="1"/>
    <xf numFmtId="10" fontId="2" fillId="3" borderId="2" xfId="0" applyNumberFormat="1" applyFont="1" applyFill="1" applyBorder="1"/>
    <xf numFmtId="1" fontId="2" fillId="0" borderId="2" xfId="0" applyNumberFormat="1" applyFont="1" applyBorder="1"/>
    <xf numFmtId="0" fontId="2" fillId="0" borderId="4" xfId="0" applyFont="1" applyBorder="1"/>
    <xf numFmtId="0" fontId="2" fillId="0" borderId="3" xfId="0" applyFont="1" applyBorder="1"/>
    <xf numFmtId="1" fontId="2" fillId="0" borderId="5" xfId="0" applyNumberFormat="1" applyFont="1" applyBorder="1"/>
    <xf numFmtId="10" fontId="5" fillId="0" borderId="5" xfId="0" applyNumberFormat="1" applyFont="1" applyBorder="1"/>
    <xf numFmtId="43" fontId="2" fillId="0" borderId="0" xfId="1" applyFont="1" applyAlignment="1">
      <alignment horizontal="center" vertical="center"/>
    </xf>
    <xf numFmtId="10" fontId="4" fillId="0" borderId="5" xfId="0" applyNumberFormat="1" applyFont="1" applyBorder="1"/>
    <xf numFmtId="0" fontId="2" fillId="0" borderId="6" xfId="0" applyFont="1" applyBorder="1"/>
    <xf numFmtId="49" fontId="2" fillId="0" borderId="0" xfId="0" applyNumberFormat="1" applyFont="1" applyAlignment="1">
      <alignment horizontal="left"/>
    </xf>
    <xf numFmtId="0" fontId="5" fillId="4" borderId="6" xfId="0" applyFont="1" applyFill="1" applyBorder="1" applyProtection="1">
      <protection locked="0"/>
    </xf>
    <xf numFmtId="0" fontId="5" fillId="0" borderId="6" xfId="0" applyFont="1" applyBorder="1"/>
    <xf numFmtId="10" fontId="2" fillId="0" borderId="5" xfId="0" applyNumberFormat="1" applyFont="1" applyBorder="1"/>
    <xf numFmtId="49" fontId="2" fillId="0" borderId="0" xfId="0" applyNumberFormat="1" applyFont="1"/>
    <xf numFmtId="0" fontId="2" fillId="0" borderId="0" xfId="0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right"/>
    </xf>
    <xf numFmtId="0" fontId="3" fillId="0" borderId="7" xfId="0" applyFont="1" applyFill="1" applyBorder="1"/>
    <xf numFmtId="1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Protection="1">
      <protection locked="0"/>
    </xf>
    <xf numFmtId="1" fontId="2" fillId="0" borderId="0" xfId="0" applyNumberFormat="1" applyFont="1" applyBorder="1"/>
    <xf numFmtId="0" fontId="3" fillId="0" borderId="4" xfId="0" applyFont="1" applyBorder="1"/>
    <xf numFmtId="1" fontId="3" fillId="0" borderId="4" xfId="0" applyNumberFormat="1" applyFont="1" applyBorder="1"/>
    <xf numFmtId="1" fontId="2" fillId="0" borderId="0" xfId="0" applyNumberFormat="1" applyFont="1"/>
    <xf numFmtId="0" fontId="3" fillId="0" borderId="0" xfId="0" applyFont="1" applyBorder="1" applyAlignment="1">
      <alignment horizontal="right"/>
    </xf>
    <xf numFmtId="10" fontId="10" fillId="0" borderId="0" xfId="0" applyNumberFormat="1" applyFont="1" applyFill="1" applyProtection="1">
      <protection locked="0"/>
    </xf>
    <xf numFmtId="10" fontId="2" fillId="0" borderId="0" xfId="0" applyNumberFormat="1" applyFont="1" applyProtection="1">
      <protection locked="0"/>
    </xf>
    <xf numFmtId="9" fontId="2" fillId="0" borderId="0" xfId="0" applyNumberFormat="1" applyFont="1" applyProtection="1">
      <protection locked="0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" fontId="2" fillId="0" borderId="3" xfId="0" applyNumberFormat="1" applyFont="1" applyFill="1" applyBorder="1"/>
    <xf numFmtId="0" fontId="2" fillId="0" borderId="2" xfId="0" applyFont="1" applyBorder="1" applyAlignment="1">
      <alignment horizontal="right"/>
    </xf>
    <xf numFmtId="1" fontId="3" fillId="0" borderId="0" xfId="0" applyNumberFormat="1" applyFont="1" applyBorder="1"/>
    <xf numFmtId="0" fontId="3" fillId="0" borderId="0" xfId="0" applyFont="1" applyFill="1" applyBorder="1"/>
    <xf numFmtId="0" fontId="3" fillId="0" borderId="0" xfId="0" applyFont="1" applyBorder="1"/>
    <xf numFmtId="10" fontId="2" fillId="0" borderId="0" xfId="0" applyNumberFormat="1" applyFont="1" applyProtection="1"/>
    <xf numFmtId="10" fontId="4" fillId="0" borderId="5" xfId="0" applyNumberFormat="1" applyFont="1" applyBorder="1" applyAlignment="1">
      <alignment horizontal="right"/>
    </xf>
    <xf numFmtId="0" fontId="3" fillId="0" borderId="7" xfId="0" applyFont="1" applyBorder="1"/>
    <xf numFmtId="1" fontId="11" fillId="5" borderId="4" xfId="0" applyNumberFormat="1" applyFont="1" applyFill="1" applyBorder="1"/>
    <xf numFmtId="10" fontId="2" fillId="6" borderId="2" xfId="0" applyNumberFormat="1" applyFont="1" applyFill="1" applyBorder="1"/>
    <xf numFmtId="10" fontId="2" fillId="6" borderId="0" xfId="0" applyNumberFormat="1" applyFont="1" applyFill="1" applyBorder="1"/>
    <xf numFmtId="49" fontId="0" fillId="0" borderId="0" xfId="0" applyNumberFormat="1"/>
    <xf numFmtId="0" fontId="8" fillId="0" borderId="0" xfId="2"/>
    <xf numFmtId="0" fontId="2" fillId="0" borderId="0" xfId="0" quotePrefix="1" applyFont="1"/>
    <xf numFmtId="0" fontId="9" fillId="0" borderId="0" xfId="2" applyFont="1" applyProtection="1">
      <protection locked="0"/>
    </xf>
    <xf numFmtId="0" fontId="2" fillId="0" borderId="0" xfId="0" applyFont="1" applyProtection="1"/>
    <xf numFmtId="0" fontId="3" fillId="0" borderId="0" xfId="0" applyFont="1" applyProtection="1"/>
    <xf numFmtId="0" fontId="9" fillId="0" borderId="0" xfId="2" applyFont="1" applyProtection="1"/>
    <xf numFmtId="0" fontId="2" fillId="0" borderId="0" xfId="0" applyFont="1" applyFill="1" applyBorder="1" applyProtection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2" fillId="0" borderId="5" xfId="0" applyNumberFormat="1" applyFont="1" applyBorder="1"/>
    <xf numFmtId="0" fontId="2" fillId="0" borderId="0" xfId="0" applyFont="1" applyBorder="1" applyAlignment="1">
      <alignment horizontal="left"/>
    </xf>
    <xf numFmtId="165" fontId="2" fillId="0" borderId="5" xfId="0" applyNumberFormat="1" applyFont="1" applyBorder="1"/>
    <xf numFmtId="165" fontId="5" fillId="4" borderId="6" xfId="0" applyNumberFormat="1" applyFont="1" applyFill="1" applyBorder="1" applyProtection="1">
      <protection locked="0"/>
    </xf>
    <xf numFmtId="165" fontId="5" fillId="0" borderId="5" xfId="0" applyNumberFormat="1" applyFont="1" applyBorder="1"/>
    <xf numFmtId="10" fontId="2" fillId="0" borderId="2" xfId="0" applyNumberFormat="1" applyFont="1" applyFill="1" applyBorder="1"/>
    <xf numFmtId="10" fontId="2" fillId="7" borderId="0" xfId="0" applyNumberFormat="1" applyFont="1" applyFill="1" applyProtection="1">
      <protection locked="0"/>
    </xf>
    <xf numFmtId="10" fontId="2" fillId="7" borderId="2" xfId="0" applyNumberFormat="1" applyFont="1" applyFill="1" applyBorder="1"/>
    <xf numFmtId="1" fontId="2" fillId="0" borderId="5" xfId="0" applyNumberFormat="1" applyFont="1" applyBorder="1" applyProtection="1">
      <protection locked="0"/>
    </xf>
    <xf numFmtId="1" fontId="2" fillId="0" borderId="3" xfId="0" applyNumberFormat="1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/>
    <xf numFmtId="1" fontId="3" fillId="0" borderId="2" xfId="0" applyNumberFormat="1" applyFont="1" applyBorder="1"/>
    <xf numFmtId="1" fontId="5" fillId="0" borderId="0" xfId="0" applyNumberFormat="1" applyFont="1" applyBorder="1"/>
    <xf numFmtId="1" fontId="3" fillId="0" borderId="3" xfId="0" applyNumberFormat="1" applyFont="1" applyBorder="1"/>
    <xf numFmtId="0" fontId="3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6" xfId="0" applyBorder="1"/>
    <xf numFmtId="164" fontId="2" fillId="0" borderId="0" xfId="0" applyNumberFormat="1" applyFont="1" applyBorder="1"/>
    <xf numFmtId="10" fontId="2" fillId="0" borderId="0" xfId="0" applyNumberFormat="1" applyFont="1" applyBorder="1"/>
    <xf numFmtId="10" fontId="5" fillId="0" borderId="0" xfId="0" applyNumberFormat="1" applyFont="1" applyBorder="1"/>
    <xf numFmtId="0" fontId="2" fillId="0" borderId="4" xfId="0" applyFont="1" applyBorder="1" applyAlignment="1">
      <alignment horizontal="right"/>
    </xf>
    <xf numFmtId="49" fontId="2" fillId="0" borderId="0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3" fontId="2" fillId="0" borderId="6" xfId="0" applyNumberFormat="1" applyFont="1" applyBorder="1"/>
    <xf numFmtId="3" fontId="2" fillId="0" borderId="0" xfId="0" applyNumberFormat="1" applyFont="1"/>
    <xf numFmtId="3" fontId="2" fillId="0" borderId="0" xfId="0" applyNumberFormat="1" applyFont="1" applyBorder="1"/>
    <xf numFmtId="3" fontId="3" fillId="0" borderId="4" xfId="0" applyNumberFormat="1" applyFont="1" applyBorder="1"/>
    <xf numFmtId="3" fontId="3" fillId="0" borderId="7" xfId="0" applyNumberFormat="1" applyFont="1" applyBorder="1"/>
    <xf numFmtId="164" fontId="4" fillId="0" borderId="0" xfId="0" applyNumberFormat="1" applyFont="1" applyBorder="1" applyAlignment="1">
      <alignment horizontal="right"/>
    </xf>
    <xf numFmtId="10" fontId="4" fillId="0" borderId="0" xfId="0" applyNumberFormat="1" applyFont="1" applyBorder="1" applyAlignment="1">
      <alignment horizontal="right"/>
    </xf>
    <xf numFmtId="3" fontId="2" fillId="0" borderId="9" xfId="0" applyNumberFormat="1" applyFont="1" applyBorder="1"/>
    <xf numFmtId="0" fontId="2" fillId="0" borderId="6" xfId="0" applyFont="1" applyBorder="1" applyAlignment="1">
      <alignment horizontal="right"/>
    </xf>
    <xf numFmtId="165" fontId="2" fillId="0" borderId="0" xfId="0" applyNumberFormat="1" applyFont="1" applyBorder="1"/>
    <xf numFmtId="165" fontId="5" fillId="0" borderId="0" xfId="0" applyNumberFormat="1" applyFont="1" applyBorder="1"/>
    <xf numFmtId="10" fontId="2" fillId="0" borderId="1" xfId="0" applyNumberFormat="1" applyFont="1" applyBorder="1"/>
    <xf numFmtId="0" fontId="10" fillId="0" borderId="0" xfId="0" applyFont="1" applyBorder="1" applyAlignment="1">
      <alignment horizontal="right"/>
    </xf>
    <xf numFmtId="3" fontId="16" fillId="0" borderId="0" xfId="0" applyNumberFormat="1" applyFont="1" applyBorder="1"/>
    <xf numFmtId="3" fontId="16" fillId="0" borderId="4" xfId="0" applyNumberFormat="1" applyFont="1" applyBorder="1"/>
    <xf numFmtId="166" fontId="16" fillId="0" borderId="0" xfId="0" applyNumberFormat="1" applyFont="1" applyBorder="1" applyAlignment="1">
      <alignment horizontal="right"/>
    </xf>
    <xf numFmtId="164" fontId="16" fillId="0" borderId="0" xfId="0" applyNumberFormat="1" applyFont="1" applyBorder="1" applyAlignment="1">
      <alignment horizontal="right"/>
    </xf>
    <xf numFmtId="10" fontId="16" fillId="0" borderId="0" xfId="0" applyNumberFormat="1" applyFont="1" applyBorder="1" applyAlignment="1">
      <alignment horizontal="right"/>
    </xf>
    <xf numFmtId="0" fontId="17" fillId="0" borderId="0" xfId="0" applyFont="1"/>
    <xf numFmtId="3" fontId="2" fillId="0" borderId="10" xfId="0" applyNumberFormat="1" applyFont="1" applyBorder="1"/>
    <xf numFmtId="3" fontId="3" fillId="0" borderId="0" xfId="0" applyNumberFormat="1" applyFont="1" applyBorder="1"/>
    <xf numFmtId="0" fontId="5" fillId="0" borderId="0" xfId="0" applyFont="1"/>
    <xf numFmtId="3" fontId="2" fillId="0" borderId="0" xfId="0" applyNumberFormat="1" applyFont="1" applyProtection="1">
      <protection locked="0"/>
    </xf>
    <xf numFmtId="3" fontId="11" fillId="0" borderId="4" xfId="0" applyNumberFormat="1" applyFont="1" applyFill="1" applyBorder="1"/>
    <xf numFmtId="0" fontId="10" fillId="0" borderId="0" xfId="0" applyFont="1" applyProtection="1"/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right"/>
    </xf>
    <xf numFmtId="3" fontId="2" fillId="0" borderId="8" xfId="0" applyNumberFormat="1" applyFont="1" applyBorder="1" applyProtection="1">
      <protection locked="0"/>
    </xf>
    <xf numFmtId="3" fontId="2" fillId="0" borderId="9" xfId="0" applyNumberFormat="1" applyFont="1" applyFill="1" applyBorder="1"/>
    <xf numFmtId="3" fontId="3" fillId="0" borderId="9" xfId="0" applyNumberFormat="1" applyFont="1" applyBorder="1"/>
    <xf numFmtId="3" fontId="2" fillId="0" borderId="8" xfId="0" applyNumberFormat="1" applyFont="1" applyBorder="1" applyProtection="1"/>
    <xf numFmtId="10" fontId="3" fillId="0" borderId="4" xfId="0" applyNumberFormat="1" applyFont="1" applyFill="1" applyBorder="1"/>
    <xf numFmtId="3" fontId="2" fillId="0" borderId="8" xfId="0" applyNumberFormat="1" applyFont="1" applyBorder="1"/>
    <xf numFmtId="3" fontId="3" fillId="0" borderId="4" xfId="0" applyNumberFormat="1" applyFont="1" applyBorder="1" applyAlignment="1"/>
    <xf numFmtId="3" fontId="3" fillId="0" borderId="3" xfId="0" applyNumberFormat="1" applyFont="1" applyBorder="1" applyAlignment="1"/>
    <xf numFmtId="10" fontId="3" fillId="0" borderId="4" xfId="0" applyNumberFormat="1" applyFont="1" applyBorder="1" applyAlignment="1"/>
    <xf numFmtId="3" fontId="2" fillId="0" borderId="0" xfId="0" applyNumberFormat="1" applyFont="1" applyFill="1" applyBorder="1"/>
    <xf numFmtId="3" fontId="3" fillId="0" borderId="0" xfId="0" applyNumberFormat="1" applyFont="1" applyBorder="1" applyAlignment="1"/>
    <xf numFmtId="10" fontId="3" fillId="0" borderId="0" xfId="0" applyNumberFormat="1" applyFont="1" applyBorder="1" applyAlignment="1"/>
    <xf numFmtId="10" fontId="2" fillId="0" borderId="0" xfId="0" applyNumberFormat="1" applyFont="1" applyFill="1" applyProtection="1"/>
    <xf numFmtId="10" fontId="3" fillId="0" borderId="0" xfId="0" applyNumberFormat="1" applyFont="1" applyFill="1" applyBorder="1"/>
    <xf numFmtId="0" fontId="18" fillId="0" borderId="0" xfId="0" applyFont="1"/>
    <xf numFmtId="2" fontId="16" fillId="0" borderId="0" xfId="0" applyNumberFormat="1" applyFont="1" applyBorder="1" applyAlignment="1">
      <alignment horizontal="right"/>
    </xf>
    <xf numFmtId="166" fontId="2" fillId="0" borderId="0" xfId="0" applyNumberFormat="1" applyFont="1" applyBorder="1"/>
    <xf numFmtId="166" fontId="4" fillId="0" borderId="0" xfId="0" applyNumberFormat="1" applyFont="1" applyBorder="1" applyAlignment="1">
      <alignment horizontal="right"/>
    </xf>
    <xf numFmtId="43" fontId="15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19" fillId="0" borderId="0" xfId="0" applyFont="1"/>
  </cellXfs>
  <cellStyles count="189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Hyperlink" xfId="2" builtinId="8"/>
    <cellStyle name="Normal" xfId="0" builtinId="0"/>
  </cellStyles>
  <dxfs count="7">
    <dxf>
      <font>
        <color auto="1"/>
      </font>
      <fill>
        <patternFill patternType="solid">
          <fgColor indexed="64"/>
          <bgColor theme="2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 patternType="solid">
          <fgColor indexed="64"/>
          <bgColor theme="2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'Diamond Princess'!$T$1</c:f>
              <c:strCache>
                <c:ptCount val="1"/>
                <c:pt idx="0">
                  <c:v>Imperial College</c:v>
                </c:pt>
              </c:strCache>
            </c:strRef>
          </c:tx>
          <c:marker>
            <c:symbol val="none"/>
          </c:marker>
          <c:cat>
            <c:strRef>
              <c:f>'Diamond Princess'!$A$7:$A$16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'Diamond Princess'!$U$5:$U$13</c:f>
              <c:numCache>
                <c:formatCode>0.00%</c:formatCode>
                <c:ptCount val="9"/>
                <c:pt idx="0">
                  <c:v>0.0836550836550836</c:v>
                </c:pt>
                <c:pt idx="1">
                  <c:v>0.133204633204633</c:v>
                </c:pt>
                <c:pt idx="2">
                  <c:v>0.521879021879022</c:v>
                </c:pt>
                <c:pt idx="3">
                  <c:v>0.9002574002574</c:v>
                </c:pt>
                <c:pt idx="4">
                  <c:v>0.858429858429858</c:v>
                </c:pt>
                <c:pt idx="5">
                  <c:v>1.0</c:v>
                </c:pt>
                <c:pt idx="6">
                  <c:v>0.48970398970399</c:v>
                </c:pt>
                <c:pt idx="7">
                  <c:v>0.406048906048906</c:v>
                </c:pt>
                <c:pt idx="8">
                  <c:v>0.167953667953668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'Diamond Princess'!$A$5</c:f>
              <c:strCache>
                <c:ptCount val="1"/>
                <c:pt idx="0">
                  <c:v>Diamond Princess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'Diamond Princess'!$I$7:$I$15</c:f>
                <c:numCache>
                  <c:formatCode>General</c:formatCode>
                  <c:ptCount val="9"/>
                  <c:pt idx="0">
                    <c:v>0.975</c:v>
                  </c:pt>
                  <c:pt idx="1">
                    <c:v>0.4533672</c:v>
                  </c:pt>
                  <c:pt idx="2">
                    <c:v>0.0844777571428571</c:v>
                  </c:pt>
                  <c:pt idx="3">
                    <c:v>0.118861052941177</c:v>
                  </c:pt>
                  <c:pt idx="4">
                    <c:v>0.158769696296296</c:v>
                  </c:pt>
                  <c:pt idx="5">
                    <c:v>0.134230828813559</c:v>
                  </c:pt>
                  <c:pt idx="6">
                    <c:v>0.0764123689265537</c:v>
                  </c:pt>
                  <c:pt idx="7">
                    <c:v>0.065919894017094</c:v>
                  </c:pt>
                  <c:pt idx="8">
                    <c:v>0.136738362962963</c:v>
                  </c:pt>
                </c:numCache>
              </c:numRef>
            </c:plus>
            <c:minus>
              <c:numRef>
                <c:f>'Diamond Princess'!$H$7:$H$15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0.34725505</c:v>
                  </c:pt>
                  <c:pt idx="2">
                    <c:v>0.175121542857143</c:v>
                  </c:pt>
                  <c:pt idx="3">
                    <c:v>0.173095347058823</c:v>
                  </c:pt>
                  <c:pt idx="4">
                    <c:v>0.205517403703704</c:v>
                  </c:pt>
                  <c:pt idx="5">
                    <c:v>0.131592671186441</c:v>
                  </c:pt>
                  <c:pt idx="6">
                    <c:v>0.0740066310734463</c:v>
                  </c:pt>
                  <c:pt idx="7">
                    <c:v>0.063506405982906</c:v>
                  </c:pt>
                  <c:pt idx="8">
                    <c:v>0.140942037037037</c:v>
                  </c:pt>
                </c:numCache>
              </c:numRef>
            </c:minus>
          </c:errBars>
          <c:cat>
            <c:strRef>
              <c:f>'Diamond Princess'!$A$7:$A$16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'Diamond Princess'!$E$7:$E$15</c:f>
              <c:numCache>
                <c:formatCode>0.00</c:formatCode>
                <c:ptCount val="9"/>
                <c:pt idx="0">
                  <c:v>0.0</c:v>
                </c:pt>
                <c:pt idx="1">
                  <c:v>0.4</c:v>
                </c:pt>
                <c:pt idx="2">
                  <c:v>0.892857142857143</c:v>
                </c:pt>
                <c:pt idx="3">
                  <c:v>0.794117647058823</c:v>
                </c:pt>
                <c:pt idx="4">
                  <c:v>0.703703703703704</c:v>
                </c:pt>
                <c:pt idx="5">
                  <c:v>0.474576271186441</c:v>
                </c:pt>
                <c:pt idx="6">
                  <c:v>0.429378531073446</c:v>
                </c:pt>
                <c:pt idx="7">
                  <c:v>0.405982905982906</c:v>
                </c:pt>
                <c:pt idx="8">
                  <c:v>0.537037037037037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'Diamond Princess'!$J$6</c:f>
              <c:strCache>
                <c:ptCount val="1"/>
                <c:pt idx="0">
                  <c:v>95% CI middle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'Diamond Princess'!$A$7:$A$16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'Diamond Princess'!$J$7:$J$16</c:f>
              <c:numCache>
                <c:formatCode>0.00</c:formatCode>
                <c:ptCount val="10"/>
                <c:pt idx="0">
                  <c:v>0.4875</c:v>
                </c:pt>
                <c:pt idx="1">
                  <c:v>0.453056075</c:v>
                </c:pt>
                <c:pt idx="2">
                  <c:v>0.84753525</c:v>
                </c:pt>
                <c:pt idx="3">
                  <c:v>0.7670005</c:v>
                </c:pt>
                <c:pt idx="4">
                  <c:v>0.68032985</c:v>
                </c:pt>
                <c:pt idx="5">
                  <c:v>0.47589535</c:v>
                </c:pt>
                <c:pt idx="6">
                  <c:v>0.4305814</c:v>
                </c:pt>
                <c:pt idx="7">
                  <c:v>0.40718965</c:v>
                </c:pt>
                <c:pt idx="8">
                  <c:v>0.5349352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23304"/>
        <c:axId val="2089920344"/>
      </c:lineChart>
      <c:lineChart>
        <c:grouping val="standard"/>
        <c:varyColors val="0"/>
        <c:ser>
          <c:idx val="3"/>
          <c:order val="3"/>
          <c:tx>
            <c:strRef>
              <c:f>'Diamond Princess'!$L$5</c:f>
              <c:strCache>
                <c:ptCount val="1"/>
                <c:pt idx="0">
                  <c:v>Iceland 29 March</c:v>
                </c:pt>
              </c:strCache>
            </c:strRef>
          </c:tx>
          <c:marker>
            <c:symbol val="none"/>
          </c:marker>
          <c:cat>
            <c:strRef>
              <c:f>'Diamond Princess'!$L$7:$L$16</c:f>
              <c:strCache>
                <c:ptCount val="1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90+</c:v>
                </c:pt>
              </c:strCache>
            </c:strRef>
          </c:cat>
          <c:val>
            <c:numRef>
              <c:f>'Diamond Princess'!$O$7:$O$16</c:f>
              <c:numCache>
                <c:formatCode>0.00%</c:formatCode>
                <c:ptCount val="10"/>
                <c:pt idx="0">
                  <c:v>0.00048090134652377</c:v>
                </c:pt>
                <c:pt idx="1">
                  <c:v>0.00171677697711717</c:v>
                </c:pt>
                <c:pt idx="2">
                  <c:v>0.00327542601268709</c:v>
                </c:pt>
                <c:pt idx="3">
                  <c:v>0.00368026859504132</c:v>
                </c:pt>
                <c:pt idx="4">
                  <c:v>0.00530242597719487</c:v>
                </c:pt>
                <c:pt idx="5">
                  <c:v>0.00449427571198789</c:v>
                </c:pt>
                <c:pt idx="6">
                  <c:v>0.00357581547700286</c:v>
                </c:pt>
                <c:pt idx="7">
                  <c:v>0.00166494172703955</c:v>
                </c:pt>
                <c:pt idx="8">
                  <c:v>0.000389939559368298</c:v>
                </c:pt>
                <c:pt idx="9">
                  <c:v>0.00251677852348993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17608"/>
        <c:axId val="2120912424"/>
      </c:lineChart>
      <c:catAx>
        <c:axId val="208992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20344"/>
        <c:crosses val="autoZero"/>
        <c:auto val="1"/>
        <c:lblAlgn val="ctr"/>
        <c:lblOffset val="100"/>
        <c:noMultiLvlLbl val="0"/>
      </c:catAx>
      <c:valAx>
        <c:axId val="208992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symptomatic proportion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89923304"/>
        <c:crosses val="autoZero"/>
        <c:crossBetween val="between"/>
      </c:valAx>
      <c:valAx>
        <c:axId val="2120912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131717608"/>
        <c:crosses val="max"/>
        <c:crossBetween val="between"/>
      </c:valAx>
      <c:catAx>
        <c:axId val="2131717608"/>
        <c:scaling>
          <c:orientation val="minMax"/>
        </c:scaling>
        <c:delete val="0"/>
        <c:axPos val="t"/>
        <c:majorTickMark val="out"/>
        <c:minorTickMark val="none"/>
        <c:tickLblPos val="nextTo"/>
        <c:crossAx val="2120912424"/>
        <c:crosses val="max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16</xdr:row>
      <xdr:rowOff>76200</xdr:rowOff>
    </xdr:from>
    <xdr:to>
      <xdr:col>10</xdr:col>
      <xdr:colOff>25400</xdr:colOff>
      <xdr:row>36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nos.nl/artikel/2327182-acht-nieuwe-coronadoden-162-mensen-opgenomen-in-ziekenhuis.html" TargetMode="External"/><Relationship Id="rId5" Type="http://schemas.openxmlformats.org/officeDocument/2006/relationships/hyperlink" Target="https://www.medrxiv.org/content/10.1101/2020.01.23.20018549v2.full.pdf" TargetMode="External"/><Relationship Id="rId6" Type="http://schemas.openxmlformats.org/officeDocument/2006/relationships/hyperlink" Target="https://www.nejm.org/doi/full/10.1056/NEJMoa2002032" TargetMode="External"/><Relationship Id="rId7" Type="http://schemas.openxmlformats.org/officeDocument/2006/relationships/hyperlink" Target="https://opendata.cbs.nl/statline/" TargetMode="External"/><Relationship Id="rId8" Type="http://schemas.openxmlformats.org/officeDocument/2006/relationships/hyperlink" Target="https://doi.org/10.3390/jcm9020419" TargetMode="External"/><Relationship Id="rId9" Type="http://schemas.openxmlformats.org/officeDocument/2006/relationships/hyperlink" Target="https://www.medrxiv.org/content/10.1101/2020.03.09.20033357v1.full.pdf" TargetMode="External"/><Relationship Id="rId10" Type="http://schemas.openxmlformats.org/officeDocument/2006/relationships/hyperlink" Target="https://www.imperial.ac.uk/media/imperial-college/medicine/sph/ide/gida-fellowships/Imperial-College-COVID19-NPI-modelling-16-03-2020.pdf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opendata.cbs.nl/statline/" TargetMode="External"/><Relationship Id="rId5" Type="http://schemas.openxmlformats.org/officeDocument/2006/relationships/hyperlink" Target="https://www.medrxiv.org/content/10.1101/2020.03.09.20033357v1.full.pdf" TargetMode="External"/><Relationship Id="rId6" Type="http://schemas.openxmlformats.org/officeDocument/2006/relationships/hyperlink" Target="https://www.imperial.ac.uk/media/imperial-college/medicine/sph/ide/gida-fellowships/Imperial-College-COVID19-NPI-modelling-16-03-2020.pdf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nos.nl/artikel/2327182-acht-nieuwe-coronadoden-162-mensen-opgenomen-in-ziekenhuis.html" TargetMode="External"/><Relationship Id="rId5" Type="http://schemas.openxmlformats.org/officeDocument/2006/relationships/hyperlink" Target="https://www.medrxiv.org/content/10.1101/2020.01.23.20018549v2.full.pdf" TargetMode="External"/><Relationship Id="rId6" Type="http://schemas.openxmlformats.org/officeDocument/2006/relationships/hyperlink" Target="https://www.nejm.org/doi/full/10.1056/NEJMoa2002032" TargetMode="External"/><Relationship Id="rId7" Type="http://schemas.openxmlformats.org/officeDocument/2006/relationships/hyperlink" Target="https://www.medrxiv.org/content/10.1101/2020.03.04.20031104v1.full.pdf" TargetMode="External"/><Relationship Id="rId8" Type="http://schemas.openxmlformats.org/officeDocument/2006/relationships/hyperlink" Target="https://opendata.cbs.nl/statline/" TargetMode="External"/><Relationship Id="rId9" Type="http://schemas.openxmlformats.org/officeDocument/2006/relationships/hyperlink" Target="https://doi.org/10.3390/jcm9020419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rxiv.org/content/10.1101/2020.03.04.20031104v1.full.pdf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www.medrxiv.org/content/10.1101/2020.03.05.20031773v2.full.pdf" TargetMode="External"/><Relationship Id="rId2" Type="http://schemas.openxmlformats.org/officeDocument/2006/relationships/hyperlink" Target="https://www.medrxiv.org/content/10.1101/2020.03.09.20033357v1.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B70"/>
  <sheetViews>
    <sheetView showGridLines="0" showRuler="0" topLeftCell="A38" workbookViewId="0">
      <selection activeCell="I58" sqref="I58"/>
    </sheetView>
  </sheetViews>
  <sheetFormatPr baseColWidth="10" defaultRowHeight="14" x14ac:dyDescent="0"/>
  <cols>
    <col min="1" max="12" width="13" style="1" customWidth="1"/>
    <col min="13" max="22" width="10.83203125" style="1"/>
    <col min="23" max="23" width="12.33203125" style="1" bestFit="1" customWidth="1"/>
    <col min="24" max="24" width="9.5" style="1" customWidth="1"/>
    <col min="25" max="25" width="10.6640625" style="1" customWidth="1"/>
    <col min="26" max="26" width="12.83203125" style="1" bestFit="1" customWidth="1"/>
    <col min="27" max="27" width="10.6640625" style="1" customWidth="1"/>
    <col min="28" max="16384" width="10.83203125" style="1"/>
  </cols>
  <sheetData>
    <row r="1" spans="2:14" ht="17" customHeight="1"/>
    <row r="2" spans="2:14" ht="17" customHeight="1">
      <c r="B2" s="38" t="s">
        <v>50</v>
      </c>
      <c r="C2" s="24"/>
    </row>
    <row r="3" spans="2:14" ht="17" customHeight="1">
      <c r="B3" s="37" t="s">
        <v>32</v>
      </c>
      <c r="C3" s="24"/>
    </row>
    <row r="4" spans="2:14" ht="17" customHeight="1">
      <c r="B4" s="37" t="s">
        <v>34</v>
      </c>
      <c r="C4" s="24"/>
    </row>
    <row r="5" spans="2:14" ht="17" customHeight="1">
      <c r="B5" s="37"/>
      <c r="C5" s="24"/>
      <c r="F5" s="54"/>
      <c r="G5" s="54"/>
      <c r="H5" s="54"/>
    </row>
    <row r="6" spans="2:14" ht="17" customHeight="1">
      <c r="C6" s="24"/>
      <c r="F6" s="54"/>
      <c r="G6" s="55" t="s">
        <v>46</v>
      </c>
      <c r="H6" s="54"/>
    </row>
    <row r="7" spans="2:14" ht="17" customHeight="1">
      <c r="C7" s="20" t="s">
        <v>31</v>
      </c>
      <c r="D7" s="1">
        <v>17428496</v>
      </c>
      <c r="E7" s="1" t="s">
        <v>24</v>
      </c>
      <c r="F7" s="54" t="s">
        <v>23</v>
      </c>
      <c r="G7" s="56" t="s">
        <v>30</v>
      </c>
      <c r="H7" s="54"/>
    </row>
    <row r="8" spans="2:14" ht="17" customHeight="1">
      <c r="C8" s="20" t="s">
        <v>29</v>
      </c>
      <c r="D8" s="36">
        <v>0.6</v>
      </c>
      <c r="F8" s="54" t="s">
        <v>0</v>
      </c>
      <c r="G8" s="56" t="s">
        <v>28</v>
      </c>
      <c r="H8" s="54"/>
    </row>
    <row r="9" spans="2:14" ht="17" customHeight="1">
      <c r="C9" s="33" t="s">
        <v>27</v>
      </c>
      <c r="D9" s="47">
        <f>D7*D8</f>
        <v>10457097.6</v>
      </c>
      <c r="E9" s="30" t="s">
        <v>24</v>
      </c>
      <c r="F9" s="57"/>
      <c r="G9" s="54"/>
      <c r="H9" s="54"/>
    </row>
    <row r="10" spans="2:14" ht="17" customHeight="1">
      <c r="C10" s="20"/>
      <c r="D10" s="32"/>
      <c r="F10" s="54"/>
      <c r="G10" s="54"/>
      <c r="H10" s="54"/>
    </row>
    <row r="11" spans="2:14" ht="17" customHeight="1">
      <c r="C11" s="20" t="s">
        <v>27</v>
      </c>
      <c r="D11" s="29">
        <f>D9</f>
        <v>10457097.6</v>
      </c>
      <c r="E11" s="21" t="s">
        <v>24</v>
      </c>
      <c r="F11" s="57" t="s">
        <v>23</v>
      </c>
      <c r="G11" s="54" t="s">
        <v>55</v>
      </c>
      <c r="H11" s="54"/>
    </row>
    <row r="12" spans="2:14" ht="17" customHeight="1">
      <c r="C12" s="20" t="s">
        <v>51</v>
      </c>
      <c r="D12" s="35">
        <v>6.4645889999999998E-2</v>
      </c>
      <c r="F12" s="54" t="s">
        <v>23</v>
      </c>
      <c r="G12" s="54" t="s">
        <v>58</v>
      </c>
      <c r="H12" s="54"/>
      <c r="K12" s="53" t="s">
        <v>26</v>
      </c>
    </row>
    <row r="13" spans="2:14" ht="17" customHeight="1">
      <c r="C13" s="20" t="s">
        <v>52</v>
      </c>
      <c r="D13" s="35">
        <v>9.1999999999999998E-2</v>
      </c>
      <c r="F13" s="54" t="s">
        <v>23</v>
      </c>
      <c r="G13" s="54" t="s">
        <v>54</v>
      </c>
      <c r="H13" s="54"/>
      <c r="K13" s="53" t="s">
        <v>53</v>
      </c>
      <c r="N13" s="53" t="s">
        <v>43</v>
      </c>
    </row>
    <row r="14" spans="2:14" ht="17" customHeight="1">
      <c r="C14" s="20" t="s">
        <v>35</v>
      </c>
      <c r="D14" s="34">
        <f>B67</f>
        <v>15.613685115386387</v>
      </c>
      <c r="F14" s="54" t="s">
        <v>0</v>
      </c>
      <c r="G14" s="54" t="s">
        <v>57</v>
      </c>
      <c r="H14" s="54"/>
    </row>
    <row r="15" spans="2:14" ht="17" customHeight="1">
      <c r="C15" s="33" t="s">
        <v>25</v>
      </c>
      <c r="D15" s="31">
        <f>D11*D13*D12*D14</f>
        <v>971058.34390181187</v>
      </c>
      <c r="E15" s="30" t="s">
        <v>24</v>
      </c>
      <c r="F15" s="57"/>
      <c r="G15" s="54"/>
      <c r="H15" s="54"/>
    </row>
    <row r="16" spans="2:14" ht="17" customHeight="1">
      <c r="C16" s="24"/>
      <c r="F16" s="54"/>
      <c r="G16" s="54"/>
      <c r="H16" s="54"/>
    </row>
    <row r="17" spans="2:7" ht="17" customHeight="1">
      <c r="C17" s="24" t="s">
        <v>25</v>
      </c>
      <c r="D17" s="32">
        <f>D15</f>
        <v>971058.34390181187</v>
      </c>
      <c r="E17" s="1" t="s">
        <v>24</v>
      </c>
      <c r="F17" s="1" t="s">
        <v>23</v>
      </c>
      <c r="G17" s="1" t="s">
        <v>56</v>
      </c>
    </row>
    <row r="18" spans="2:7" ht="17" customHeight="1">
      <c r="C18" s="24" t="s">
        <v>49</v>
      </c>
      <c r="D18" s="28">
        <v>15</v>
      </c>
      <c r="E18" s="1" t="s">
        <v>17</v>
      </c>
      <c r="F18" s="1" t="s">
        <v>23</v>
      </c>
      <c r="G18" s="53" t="s">
        <v>22</v>
      </c>
    </row>
    <row r="19" spans="2:7" ht="17" customHeight="1">
      <c r="C19" s="24" t="s">
        <v>21</v>
      </c>
      <c r="D19" s="28">
        <v>850</v>
      </c>
      <c r="E19" s="19" t="s">
        <v>20</v>
      </c>
      <c r="F19" s="1" t="s">
        <v>0</v>
      </c>
      <c r="G19" s="53" t="s">
        <v>19</v>
      </c>
    </row>
    <row r="20" spans="2:7" ht="17" customHeight="1" thickBot="1">
      <c r="C20" s="27" t="s">
        <v>18</v>
      </c>
      <c r="D20" s="26">
        <f>D17*D18/D19</f>
        <v>17136.323715914328</v>
      </c>
      <c r="E20" s="25" t="s">
        <v>17</v>
      </c>
    </row>
    <row r="21" spans="2:7" ht="17" customHeight="1" thickTop="1">
      <c r="C21" s="27"/>
      <c r="D21" s="41"/>
      <c r="E21" s="42"/>
    </row>
    <row r="22" spans="2:7" ht="17" customHeight="1">
      <c r="C22" s="27"/>
      <c r="D22" s="41"/>
      <c r="E22" s="42"/>
    </row>
    <row r="23" spans="2:7" ht="17" customHeight="1">
      <c r="C23" s="20" t="s">
        <v>27</v>
      </c>
      <c r="D23" s="29">
        <f>D9</f>
        <v>10457097.6</v>
      </c>
      <c r="E23" s="21" t="s">
        <v>24</v>
      </c>
      <c r="F23" s="19" t="s">
        <v>23</v>
      </c>
      <c r="G23" s="1" t="s">
        <v>55</v>
      </c>
    </row>
    <row r="24" spans="2:7" ht="17" customHeight="1">
      <c r="C24" s="20" t="s">
        <v>81</v>
      </c>
      <c r="D24" s="67">
        <v>1.29E-2</v>
      </c>
      <c r="F24" s="1" t="s">
        <v>0</v>
      </c>
      <c r="G24" s="52" t="s">
        <v>80</v>
      </c>
    </row>
    <row r="25" spans="2:7" ht="17" customHeight="1" thickBot="1">
      <c r="C25" s="33" t="s">
        <v>37</v>
      </c>
      <c r="D25" s="26">
        <f>D23*D24</f>
        <v>134896.55903999999</v>
      </c>
      <c r="E25" s="46" t="s">
        <v>24</v>
      </c>
      <c r="F25" s="19"/>
    </row>
    <row r="26" spans="2:7" ht="17" customHeight="1" thickTop="1">
      <c r="C26" s="33"/>
      <c r="D26" s="41"/>
      <c r="E26" s="43"/>
      <c r="F26" s="19"/>
    </row>
    <row r="27" spans="2:7" ht="17" customHeight="1">
      <c r="C27" s="33"/>
      <c r="D27" s="41"/>
      <c r="E27" s="43"/>
      <c r="F27" s="19"/>
    </row>
    <row r="28" spans="2:7" ht="17" customHeight="1">
      <c r="C28" s="24"/>
    </row>
    <row r="29" spans="2:7" ht="17" customHeight="1">
      <c r="B29" s="23" t="s">
        <v>77</v>
      </c>
    </row>
    <row r="30" spans="2:7" ht="17" customHeight="1">
      <c r="B30" s="1" t="s">
        <v>76</v>
      </c>
      <c r="C30" s="53" t="s">
        <v>75</v>
      </c>
    </row>
    <row r="31" spans="2:7" ht="17" customHeight="1">
      <c r="C31" s="53" t="s">
        <v>74</v>
      </c>
    </row>
    <row r="32" spans="2:7" ht="17" customHeight="1">
      <c r="B32" s="1" t="s">
        <v>41</v>
      </c>
      <c r="C32" s="53" t="s">
        <v>42</v>
      </c>
    </row>
    <row r="33" spans="2:28" ht="17" customHeight="1"/>
    <row r="34" spans="2:28" ht="17" customHeight="1">
      <c r="B34" s="4" t="s">
        <v>72</v>
      </c>
      <c r="H34" s="4" t="s">
        <v>79</v>
      </c>
    </row>
    <row r="35" spans="2:28" ht="17" customHeight="1">
      <c r="B35" s="21" t="s">
        <v>16</v>
      </c>
      <c r="C35" s="20" t="s">
        <v>66</v>
      </c>
      <c r="D35" s="20" t="s">
        <v>14</v>
      </c>
      <c r="E35" s="20" t="s">
        <v>37</v>
      </c>
      <c r="F35" s="22" t="s">
        <v>82</v>
      </c>
      <c r="H35" s="21" t="s">
        <v>16</v>
      </c>
      <c r="I35" s="20" t="s">
        <v>66</v>
      </c>
      <c r="J35" s="20" t="s">
        <v>14</v>
      </c>
      <c r="K35" s="20" t="s">
        <v>37</v>
      </c>
      <c r="L35" s="22" t="s">
        <v>13</v>
      </c>
    </row>
    <row r="36" spans="2:28" ht="17" customHeight="1">
      <c r="B36" s="14" t="s">
        <v>12</v>
      </c>
      <c r="C36" s="61">
        <v>2.0000000000000002E-5</v>
      </c>
      <c r="D36" s="16">
        <v>1776481</v>
      </c>
      <c r="E36" s="9">
        <f t="shared" ref="E36:E44" si="0">D36*C36</f>
        <v>35.529620000000001</v>
      </c>
      <c r="F36" s="12">
        <f t="shared" ref="F36:F45" si="1">E36/D36</f>
        <v>2.0000000000000002E-5</v>
      </c>
      <c r="H36" s="14" t="s">
        <v>12</v>
      </c>
      <c r="I36" s="61">
        <v>2.0000000000000002E-5</v>
      </c>
      <c r="J36" s="69">
        <v>1776481</v>
      </c>
      <c r="K36" s="9">
        <f t="shared" ref="K36:K44" si="2">J36*I36</f>
        <v>35.529620000000001</v>
      </c>
      <c r="L36" s="45">
        <f t="shared" ref="L36:L44" si="3">IF(J36&gt;0, K36/J36,"-")</f>
        <v>2.0000000000000002E-5</v>
      </c>
      <c r="Q36" s="1" t="s">
        <v>12</v>
      </c>
      <c r="R36" s="1">
        <v>2.0000000000000002E-5</v>
      </c>
      <c r="S36" s="1">
        <v>1776481</v>
      </c>
      <c r="T36" s="1">
        <f>S36*0.6</f>
        <v>1065888.5999999999</v>
      </c>
      <c r="U36" s="1">
        <f>T36*R36</f>
        <v>21.317771999999998</v>
      </c>
      <c r="W36" s="43" t="s">
        <v>16</v>
      </c>
      <c r="X36" s="33" t="s">
        <v>66</v>
      </c>
      <c r="Y36" s="33" t="s">
        <v>14</v>
      </c>
      <c r="Z36" s="33" t="s">
        <v>84</v>
      </c>
      <c r="AA36" s="33" t="s">
        <v>37</v>
      </c>
      <c r="AB36" s="76" t="s">
        <v>83</v>
      </c>
    </row>
    <row r="37" spans="2:28" ht="17" customHeight="1">
      <c r="B37" s="14" t="s">
        <v>11</v>
      </c>
      <c r="C37" s="61">
        <v>6.0000000000000002E-5</v>
      </c>
      <c r="D37" s="16">
        <v>2001656</v>
      </c>
      <c r="E37" s="9">
        <f t="shared" si="0"/>
        <v>120.09936</v>
      </c>
      <c r="F37" s="12">
        <f t="shared" si="1"/>
        <v>6.0000000000000002E-5</v>
      </c>
      <c r="H37" s="14" t="s">
        <v>11</v>
      </c>
      <c r="I37" s="61">
        <v>6.0000000000000002E-5</v>
      </c>
      <c r="J37" s="69">
        <v>2001656</v>
      </c>
      <c r="K37" s="9">
        <f t="shared" si="2"/>
        <v>120.09936</v>
      </c>
      <c r="L37" s="45">
        <f t="shared" si="3"/>
        <v>6.0000000000000002E-5</v>
      </c>
      <c r="Q37" s="1" t="s">
        <v>11</v>
      </c>
      <c r="R37" s="1">
        <v>6.0000000000000002E-5</v>
      </c>
      <c r="S37" s="1">
        <v>2001656</v>
      </c>
      <c r="T37" s="1">
        <f t="shared" ref="T37:T44" si="4">S37*0.6</f>
        <v>1200993.5999999999</v>
      </c>
      <c r="U37" s="1">
        <f t="shared" ref="U37:U44" si="5">T37*R37</f>
        <v>72.059615999999991</v>
      </c>
      <c r="W37" s="14" t="s">
        <v>12</v>
      </c>
      <c r="X37" s="61">
        <v>2.0000000000000002E-5</v>
      </c>
      <c r="Y37" s="16">
        <v>1776481</v>
      </c>
      <c r="Z37" s="74">
        <f>Y37*0.5</f>
        <v>888240.5</v>
      </c>
      <c r="AA37" s="9">
        <f t="shared" ref="AA37:AA45" si="6">Z37*X37</f>
        <v>17.764810000000001</v>
      </c>
      <c r="AB37" s="12">
        <f t="shared" ref="AB37:AB46" si="7">AA37/Z37</f>
        <v>2.0000000000000002E-5</v>
      </c>
    </row>
    <row r="38" spans="2:28" ht="17" customHeight="1">
      <c r="B38" s="14" t="s">
        <v>10</v>
      </c>
      <c r="C38" s="17">
        <v>2.9999999999999997E-4</v>
      </c>
      <c r="D38" s="16">
        <v>2244283</v>
      </c>
      <c r="E38" s="9">
        <f t="shared" si="0"/>
        <v>673.28489999999999</v>
      </c>
      <c r="F38" s="12">
        <f t="shared" si="1"/>
        <v>2.9999999999999997E-4</v>
      </c>
      <c r="H38" s="14" t="s">
        <v>10</v>
      </c>
      <c r="I38" s="17">
        <v>2.9999999999999997E-4</v>
      </c>
      <c r="J38" s="69">
        <v>2244283</v>
      </c>
      <c r="K38" s="9">
        <f t="shared" si="2"/>
        <v>673.28489999999999</v>
      </c>
      <c r="L38" s="45">
        <f t="shared" si="3"/>
        <v>2.9999999999999997E-4</v>
      </c>
      <c r="Q38" s="1" t="s">
        <v>10</v>
      </c>
      <c r="R38" s="1">
        <v>2.9999999999999997E-4</v>
      </c>
      <c r="S38" s="1">
        <v>2244283</v>
      </c>
      <c r="T38" s="1">
        <f t="shared" si="4"/>
        <v>1346569.8</v>
      </c>
      <c r="U38" s="1">
        <f t="shared" si="5"/>
        <v>403.97093999999998</v>
      </c>
      <c r="W38" s="14" t="s">
        <v>11</v>
      </c>
      <c r="X38" s="61">
        <v>6.0000000000000002E-5</v>
      </c>
      <c r="Y38" s="16">
        <v>2001656</v>
      </c>
      <c r="Z38" s="74">
        <f t="shared" ref="Z38:Z45" si="8">Y38*0.5</f>
        <v>1000828</v>
      </c>
      <c r="AA38" s="9">
        <f t="shared" si="6"/>
        <v>60.049680000000002</v>
      </c>
      <c r="AB38" s="12">
        <f t="shared" si="7"/>
        <v>6.0000000000000002E-5</v>
      </c>
    </row>
    <row r="39" spans="2:28" ht="17" customHeight="1">
      <c r="B39" s="14" t="s">
        <v>8</v>
      </c>
      <c r="C39" s="10">
        <v>8.0000000000000004E-4</v>
      </c>
      <c r="D39" s="16">
        <v>2143651</v>
      </c>
      <c r="E39" s="9">
        <f t="shared" si="0"/>
        <v>1714.9208000000001</v>
      </c>
      <c r="F39" s="12">
        <f t="shared" si="1"/>
        <v>8.0000000000000004E-4</v>
      </c>
      <c r="G39" s="130" t="s">
        <v>73</v>
      </c>
      <c r="H39" s="14" t="s">
        <v>8</v>
      </c>
      <c r="I39" s="10">
        <v>8.0000000000000004E-4</v>
      </c>
      <c r="J39" s="69">
        <v>2143651</v>
      </c>
      <c r="K39" s="9">
        <f t="shared" si="2"/>
        <v>1714.9208000000001</v>
      </c>
      <c r="L39" s="45">
        <f t="shared" si="3"/>
        <v>8.0000000000000004E-4</v>
      </c>
      <c r="Q39" s="1" t="s">
        <v>8</v>
      </c>
      <c r="R39" s="1">
        <v>8.0000000000000004E-4</v>
      </c>
      <c r="S39" s="1">
        <v>2143651</v>
      </c>
      <c r="T39" s="1">
        <f t="shared" si="4"/>
        <v>1286190.5999999999</v>
      </c>
      <c r="U39" s="1">
        <f t="shared" si="5"/>
        <v>1028.9524799999999</v>
      </c>
      <c r="W39" s="14" t="s">
        <v>10</v>
      </c>
      <c r="X39" s="17">
        <v>2.9999999999999997E-4</v>
      </c>
      <c r="Y39" s="16">
        <v>2244283</v>
      </c>
      <c r="Z39" s="74">
        <f t="shared" si="8"/>
        <v>1122141.5</v>
      </c>
      <c r="AA39" s="9">
        <f t="shared" si="6"/>
        <v>336.64245</v>
      </c>
      <c r="AB39" s="12">
        <f t="shared" si="7"/>
        <v>2.9999999999999997E-4</v>
      </c>
    </row>
    <row r="40" spans="2:28" ht="17" customHeight="1">
      <c r="B40" s="14" t="s">
        <v>7</v>
      </c>
      <c r="C40" s="10">
        <v>1.5E-3</v>
      </c>
      <c r="D40" s="16">
        <v>2206346</v>
      </c>
      <c r="E40" s="9">
        <f t="shared" si="0"/>
        <v>3309.5190000000002</v>
      </c>
      <c r="F40" s="12">
        <f t="shared" si="1"/>
        <v>1.5E-3</v>
      </c>
      <c r="G40" s="130"/>
      <c r="H40" s="14" t="s">
        <v>7</v>
      </c>
      <c r="I40" s="10">
        <v>1.5E-3</v>
      </c>
      <c r="J40" s="69">
        <v>2206346</v>
      </c>
      <c r="K40" s="9">
        <f t="shared" si="2"/>
        <v>3309.5190000000002</v>
      </c>
      <c r="L40" s="45">
        <f t="shared" si="3"/>
        <v>1.5E-3</v>
      </c>
      <c r="Q40" s="1" t="s">
        <v>7</v>
      </c>
      <c r="R40" s="1">
        <v>1.5E-3</v>
      </c>
      <c r="S40" s="1">
        <v>2206346</v>
      </c>
      <c r="T40" s="1">
        <f t="shared" si="4"/>
        <v>1323807.5999999999</v>
      </c>
      <c r="U40" s="1">
        <f t="shared" si="5"/>
        <v>1985.7113999999999</v>
      </c>
      <c r="W40" s="14" t="s">
        <v>8</v>
      </c>
      <c r="X40" s="10">
        <v>8.0000000000000004E-4</v>
      </c>
      <c r="Y40" s="16">
        <v>2143651</v>
      </c>
      <c r="Z40" s="74">
        <f t="shared" si="8"/>
        <v>1071825.5</v>
      </c>
      <c r="AA40" s="9">
        <f t="shared" si="6"/>
        <v>857.46040000000005</v>
      </c>
      <c r="AB40" s="12">
        <f t="shared" si="7"/>
        <v>8.0000000000000004E-4</v>
      </c>
    </row>
    <row r="41" spans="2:28" ht="17" customHeight="1">
      <c r="B41" s="14" t="s">
        <v>6</v>
      </c>
      <c r="C41" s="10">
        <v>6.0000000000000001E-3</v>
      </c>
      <c r="D41" s="16">
        <v>2531817</v>
      </c>
      <c r="E41" s="9">
        <f t="shared" si="0"/>
        <v>15190.902</v>
      </c>
      <c r="F41" s="12">
        <f t="shared" si="1"/>
        <v>6.0000000000000001E-3</v>
      </c>
      <c r="G41" s="130"/>
      <c r="H41" s="14" t="s">
        <v>6</v>
      </c>
      <c r="I41" s="10">
        <v>6.0000000000000001E-3</v>
      </c>
      <c r="J41" s="69">
        <f>D9-10372417</f>
        <v>84680.599999999627</v>
      </c>
      <c r="K41" s="9">
        <f t="shared" si="2"/>
        <v>508.08359999999777</v>
      </c>
      <c r="L41" s="45">
        <f t="shared" si="3"/>
        <v>6.0000000000000001E-3</v>
      </c>
      <c r="Q41" s="1" t="s">
        <v>6</v>
      </c>
      <c r="R41" s="1">
        <v>6.0000000000000001E-3</v>
      </c>
      <c r="S41" s="1">
        <v>2531817</v>
      </c>
      <c r="T41" s="1">
        <f t="shared" si="4"/>
        <v>1519090.2</v>
      </c>
      <c r="U41" s="1">
        <f t="shared" si="5"/>
        <v>9114.5411999999997</v>
      </c>
      <c r="W41" s="14" t="s">
        <v>7</v>
      </c>
      <c r="X41" s="10">
        <v>1.5E-3</v>
      </c>
      <c r="Y41" s="16">
        <v>2206346</v>
      </c>
      <c r="Z41" s="74">
        <f t="shared" si="8"/>
        <v>1103173</v>
      </c>
      <c r="AA41" s="9">
        <f t="shared" si="6"/>
        <v>1654.7595000000001</v>
      </c>
      <c r="AB41" s="12">
        <f t="shared" si="7"/>
        <v>1.5E-3</v>
      </c>
    </row>
    <row r="42" spans="2:28" ht="17" customHeight="1">
      <c r="B42" s="14" t="s">
        <v>5</v>
      </c>
      <c r="C42" s="10">
        <v>2.1999999999999999E-2</v>
      </c>
      <c r="D42" s="16">
        <v>2114090</v>
      </c>
      <c r="E42" s="9">
        <f t="shared" si="0"/>
        <v>46509.979999999996</v>
      </c>
      <c r="F42" s="12">
        <f t="shared" si="1"/>
        <v>2.1999999999999999E-2</v>
      </c>
      <c r="H42" s="14" t="s">
        <v>5</v>
      </c>
      <c r="I42" s="10">
        <v>2.1999999999999999E-2</v>
      </c>
      <c r="J42" s="69">
        <v>0</v>
      </c>
      <c r="K42" s="9">
        <f t="shared" si="2"/>
        <v>0</v>
      </c>
      <c r="L42" s="45" t="str">
        <f t="shared" si="3"/>
        <v>-</v>
      </c>
      <c r="Q42" s="1" t="s">
        <v>5</v>
      </c>
      <c r="R42" s="1">
        <v>2.1999999999999999E-2</v>
      </c>
      <c r="S42" s="1">
        <v>2114090</v>
      </c>
      <c r="T42" s="1">
        <f t="shared" si="4"/>
        <v>1268454</v>
      </c>
      <c r="U42" s="1">
        <f t="shared" si="5"/>
        <v>27905.987999999998</v>
      </c>
      <c r="W42" s="14" t="s">
        <v>6</v>
      </c>
      <c r="X42" s="10">
        <v>6.0000000000000001E-3</v>
      </c>
      <c r="Y42" s="16">
        <v>2531817</v>
      </c>
      <c r="Z42" s="74">
        <f t="shared" si="8"/>
        <v>1265908.5</v>
      </c>
      <c r="AA42" s="9">
        <f t="shared" si="6"/>
        <v>7595.451</v>
      </c>
      <c r="AB42" s="12">
        <f t="shared" si="7"/>
        <v>6.0000000000000001E-3</v>
      </c>
    </row>
    <row r="43" spans="2:28" ht="17" customHeight="1">
      <c r="B43" s="14" t="s">
        <v>4</v>
      </c>
      <c r="C43" s="10">
        <v>5.0999999999999997E-2</v>
      </c>
      <c r="D43" s="16">
        <v>1574580</v>
      </c>
      <c r="E43" s="9">
        <f t="shared" si="0"/>
        <v>80303.58</v>
      </c>
      <c r="F43" s="12">
        <f t="shared" si="1"/>
        <v>5.1000000000000004E-2</v>
      </c>
      <c r="H43" s="14" t="s">
        <v>4</v>
      </c>
      <c r="I43" s="10">
        <v>5.0999999999999997E-2</v>
      </c>
      <c r="J43" s="69">
        <v>0</v>
      </c>
      <c r="K43" s="9">
        <f t="shared" si="2"/>
        <v>0</v>
      </c>
      <c r="L43" s="45" t="str">
        <f t="shared" si="3"/>
        <v>-</v>
      </c>
      <c r="Q43" s="1" t="s">
        <v>4</v>
      </c>
      <c r="R43" s="1">
        <v>5.0999999999999997E-2</v>
      </c>
      <c r="S43" s="1">
        <v>1574580</v>
      </c>
      <c r="T43" s="1">
        <f t="shared" si="4"/>
        <v>944748</v>
      </c>
      <c r="U43" s="1">
        <f t="shared" si="5"/>
        <v>48182.147999999994</v>
      </c>
      <c r="W43" s="14" t="s">
        <v>5</v>
      </c>
      <c r="X43" s="10">
        <v>2.1999999999999999E-2</v>
      </c>
      <c r="Y43" s="16">
        <v>2114090</v>
      </c>
      <c r="Z43" s="74">
        <f t="shared" si="8"/>
        <v>1057045</v>
      </c>
      <c r="AA43" s="9">
        <f t="shared" si="6"/>
        <v>23254.989999999998</v>
      </c>
      <c r="AB43" s="12">
        <f t="shared" si="7"/>
        <v>2.1999999999999999E-2</v>
      </c>
    </row>
    <row r="44" spans="2:28" ht="17" customHeight="1">
      <c r="B44" s="14" t="s">
        <v>3</v>
      </c>
      <c r="C44" s="10">
        <v>9.2999999999999999E-2</v>
      </c>
      <c r="D44" s="13">
        <f>691995+129700</f>
        <v>821695</v>
      </c>
      <c r="E44" s="9">
        <f t="shared" si="0"/>
        <v>76417.634999999995</v>
      </c>
      <c r="F44" s="12">
        <f t="shared" si="1"/>
        <v>9.2999999999999999E-2</v>
      </c>
      <c r="H44" s="14" t="s">
        <v>3</v>
      </c>
      <c r="I44" s="10">
        <v>9.2999999999999999E-2</v>
      </c>
      <c r="J44" s="69">
        <v>0</v>
      </c>
      <c r="K44" s="9">
        <f t="shared" si="2"/>
        <v>0</v>
      </c>
      <c r="L44" s="45" t="str">
        <f t="shared" si="3"/>
        <v>-</v>
      </c>
      <c r="Q44" s="1" t="s">
        <v>3</v>
      </c>
      <c r="R44" s="1">
        <v>9.2999999999999999E-2</v>
      </c>
      <c r="S44" s="1">
        <v>821695</v>
      </c>
      <c r="T44" s="1">
        <f t="shared" si="4"/>
        <v>493017</v>
      </c>
      <c r="U44" s="1">
        <f t="shared" si="5"/>
        <v>45850.580999999998</v>
      </c>
      <c r="W44" s="14" t="s">
        <v>4</v>
      </c>
      <c r="X44" s="10">
        <v>5.0999999999999997E-2</v>
      </c>
      <c r="Y44" s="16">
        <v>1574580</v>
      </c>
      <c r="Z44" s="74">
        <f t="shared" si="8"/>
        <v>787290</v>
      </c>
      <c r="AA44" s="9">
        <f t="shared" si="6"/>
        <v>40151.79</v>
      </c>
      <c r="AB44" s="12">
        <f t="shared" si="7"/>
        <v>5.1000000000000004E-2</v>
      </c>
    </row>
    <row r="45" spans="2:28" ht="17" customHeight="1">
      <c r="B45" s="7" t="s">
        <v>2</v>
      </c>
      <c r="C45" s="40"/>
      <c r="D45" s="8">
        <f>SUM(D36:D44)</f>
        <v>17414599</v>
      </c>
      <c r="E45" s="6">
        <f>SUM(E36:E44)</f>
        <v>224275.45068000001</v>
      </c>
      <c r="F45" s="66">
        <f t="shared" si="1"/>
        <v>1.2878588285610252E-2</v>
      </c>
      <c r="H45" s="7" t="s">
        <v>2</v>
      </c>
      <c r="I45" s="40"/>
      <c r="J45" s="70">
        <f>SUM(J36:J44)</f>
        <v>10457097.6</v>
      </c>
      <c r="K45" s="6">
        <f>SUM(K36:K44)</f>
        <v>6361.4372799999983</v>
      </c>
      <c r="L45" s="68">
        <f>K45/J45</f>
        <v>6.0833679892210231E-4</v>
      </c>
      <c r="W45" s="14" t="s">
        <v>3</v>
      </c>
      <c r="X45" s="10">
        <v>9.2999999999999999E-2</v>
      </c>
      <c r="Y45" s="13">
        <f>691995+129700</f>
        <v>821695</v>
      </c>
      <c r="Z45" s="74">
        <f t="shared" si="8"/>
        <v>410847.5</v>
      </c>
      <c r="AA45" s="9">
        <f t="shared" si="6"/>
        <v>38208.817499999997</v>
      </c>
      <c r="AB45" s="12">
        <f t="shared" si="7"/>
        <v>9.2999999999999999E-2</v>
      </c>
    </row>
    <row r="46" spans="2:28" ht="17" customHeight="1">
      <c r="W46" s="30" t="s">
        <v>2</v>
      </c>
      <c r="X46" s="71"/>
      <c r="Y46" s="72">
        <f>SUM(Y37:Y45)</f>
        <v>17414599</v>
      </c>
      <c r="Z46" s="75">
        <f>SUM(Z37:Z45)</f>
        <v>8707299.5</v>
      </c>
      <c r="AA46" s="73">
        <f>SUM(AA37:AA45)</f>
        <v>112137.72534</v>
      </c>
      <c r="AB46" s="66">
        <f t="shared" si="7"/>
        <v>1.2878588285610252E-2</v>
      </c>
    </row>
    <row r="47" spans="2:28" ht="17" customHeight="1"/>
    <row r="48" spans="2:28" ht="17" customHeight="1">
      <c r="H48" s="4" t="s">
        <v>68</v>
      </c>
    </row>
    <row r="49" spans="2:12" ht="17" customHeight="1">
      <c r="G49" s="21"/>
      <c r="H49" s="21" t="s">
        <v>16</v>
      </c>
      <c r="I49" s="62" t="s">
        <v>70</v>
      </c>
      <c r="J49" s="62" t="s">
        <v>71</v>
      </c>
      <c r="K49" s="62" t="s">
        <v>69</v>
      </c>
      <c r="L49" s="19" t="s">
        <v>13</v>
      </c>
    </row>
    <row r="50" spans="2:12" ht="17" customHeight="1">
      <c r="H50" s="1" t="s">
        <v>12</v>
      </c>
      <c r="I50" s="63">
        <v>1E-3</v>
      </c>
      <c r="J50" s="64">
        <v>0.05</v>
      </c>
      <c r="K50" s="63">
        <f t="shared" ref="K50:K58" si="9">J50*I50</f>
        <v>5.0000000000000002E-5</v>
      </c>
      <c r="L50" s="45">
        <f t="shared" ref="L50:L57" si="10">IF(J50&gt;0, K50/J50,"-")</f>
        <v>1E-3</v>
      </c>
    </row>
    <row r="51" spans="2:12" ht="17" customHeight="1">
      <c r="G51" s="11"/>
      <c r="H51" s="18" t="s">
        <v>11</v>
      </c>
      <c r="I51" s="63">
        <v>3.0000000000000001E-3</v>
      </c>
      <c r="J51" s="64">
        <v>0.05</v>
      </c>
      <c r="K51" s="63">
        <f t="shared" si="9"/>
        <v>1.5000000000000001E-4</v>
      </c>
      <c r="L51" s="45">
        <f t="shared" si="10"/>
        <v>3.0000000000000001E-3</v>
      </c>
    </row>
    <row r="52" spans="2:12" ht="17" customHeight="1">
      <c r="G52" s="11"/>
      <c r="H52" s="1" t="s">
        <v>10</v>
      </c>
      <c r="I52" s="63">
        <v>1.2E-2</v>
      </c>
      <c r="J52" s="64">
        <v>0.05</v>
      </c>
      <c r="K52" s="63">
        <f t="shared" si="9"/>
        <v>6.0000000000000006E-4</v>
      </c>
      <c r="L52" s="45">
        <f t="shared" si="10"/>
        <v>1.2E-2</v>
      </c>
    </row>
    <row r="53" spans="2:12" ht="17" customHeight="1">
      <c r="G53" s="131" t="s">
        <v>9</v>
      </c>
      <c r="H53" s="1" t="s">
        <v>8</v>
      </c>
      <c r="I53" s="65">
        <v>3.2000000000000001E-2</v>
      </c>
      <c r="J53" s="64">
        <v>0.05</v>
      </c>
      <c r="K53" s="63">
        <f t="shared" si="9"/>
        <v>1.6000000000000001E-3</v>
      </c>
      <c r="L53" s="45">
        <f t="shared" si="10"/>
        <v>3.2000000000000001E-2</v>
      </c>
    </row>
    <row r="54" spans="2:12" ht="17" customHeight="1">
      <c r="G54" s="131"/>
      <c r="H54" s="1" t="s">
        <v>7</v>
      </c>
      <c r="I54" s="65">
        <v>4.9000000000000002E-2</v>
      </c>
      <c r="J54" s="64">
        <v>6.3E-2</v>
      </c>
      <c r="K54" s="63">
        <f t="shared" si="9"/>
        <v>3.0870000000000003E-3</v>
      </c>
      <c r="L54" s="45">
        <f t="shared" si="10"/>
        <v>4.9000000000000002E-2</v>
      </c>
    </row>
    <row r="55" spans="2:12" ht="17" customHeight="1">
      <c r="G55" s="131"/>
      <c r="H55" s="1" t="s">
        <v>6</v>
      </c>
      <c r="I55" s="65">
        <v>0.10199999999999999</v>
      </c>
      <c r="J55" s="64">
        <v>0.122</v>
      </c>
      <c r="K55" s="63">
        <f t="shared" si="9"/>
        <v>1.2443999999999998E-2</v>
      </c>
      <c r="L55" s="45">
        <f t="shared" si="10"/>
        <v>0.10199999999999999</v>
      </c>
    </row>
    <row r="56" spans="2:12" ht="17" customHeight="1">
      <c r="G56" s="11"/>
      <c r="H56" s="1" t="s">
        <v>5</v>
      </c>
      <c r="I56" s="65">
        <v>0.16600000000000001</v>
      </c>
      <c r="J56" s="64">
        <v>0.27400000000000002</v>
      </c>
      <c r="K56" s="63">
        <f t="shared" si="9"/>
        <v>4.5484000000000004E-2</v>
      </c>
      <c r="L56" s="45">
        <f t="shared" si="10"/>
        <v>0.16600000000000001</v>
      </c>
    </row>
    <row r="57" spans="2:12" ht="17" customHeight="1">
      <c r="G57" s="11"/>
      <c r="H57" s="1" t="s">
        <v>4</v>
      </c>
      <c r="I57" s="65">
        <v>0.24299999999999999</v>
      </c>
      <c r="J57" s="64">
        <v>0.432</v>
      </c>
      <c r="K57" s="63">
        <f t="shared" si="9"/>
        <v>0.104976</v>
      </c>
      <c r="L57" s="45">
        <f t="shared" si="10"/>
        <v>0.24299999999999999</v>
      </c>
    </row>
    <row r="58" spans="2:12" ht="17" customHeight="1">
      <c r="G58" s="11"/>
      <c r="H58" s="1" t="s">
        <v>3</v>
      </c>
      <c r="I58" s="65">
        <v>0.27300000000000002</v>
      </c>
      <c r="J58" s="64">
        <v>0.70899999999999996</v>
      </c>
      <c r="K58" s="63">
        <f t="shared" si="9"/>
        <v>0.19355700000000001</v>
      </c>
      <c r="L58" s="45">
        <f>IF(J58&gt;0, K58/J58,"-")</f>
        <v>0.27300000000000002</v>
      </c>
    </row>
    <row r="59" spans="2:12" ht="17" customHeight="1">
      <c r="H59" s="7" t="s">
        <v>2</v>
      </c>
      <c r="I59" s="40"/>
      <c r="J59" s="39">
        <f>SUM(J50:J58)</f>
        <v>1.7999999999999998</v>
      </c>
      <c r="K59" s="6">
        <f>SUM(K50:K58)</f>
        <v>0.36194800000000005</v>
      </c>
      <c r="L59" s="48">
        <f>K59/J59</f>
        <v>0.20108222222222227</v>
      </c>
    </row>
    <row r="60" spans="2:12" ht="17" customHeight="1"/>
    <row r="61" spans="2:12" ht="17" customHeight="1"/>
    <row r="62" spans="2:12" ht="17" customHeight="1">
      <c r="B62" s="23" t="s">
        <v>65</v>
      </c>
    </row>
    <row r="63" spans="2:12" ht="17" customHeight="1">
      <c r="B63" s="1" t="s">
        <v>47</v>
      </c>
    </row>
    <row r="64" spans="2:12" ht="17" customHeight="1"/>
    <row r="65" spans="2:3" ht="17" customHeight="1">
      <c r="B65" s="49">
        <f>L59</f>
        <v>0.20108222222222227</v>
      </c>
      <c r="C65" s="1" t="s">
        <v>1</v>
      </c>
    </row>
    <row r="66" spans="2:3" ht="17" customHeight="1">
      <c r="B66" s="3">
        <f>F45</f>
        <v>1.2878588285610252E-2</v>
      </c>
      <c r="C66" s="1" t="s">
        <v>0</v>
      </c>
    </row>
    <row r="67" spans="2:3" ht="17" customHeight="1">
      <c r="B67" s="2">
        <f>L59/F45</f>
        <v>15.613685115386387</v>
      </c>
    </row>
    <row r="68" spans="2:3" ht="17" customHeight="1"/>
    <row r="69" spans="2:3" ht="17" customHeight="1">
      <c r="B69" s="1" t="s">
        <v>64</v>
      </c>
    </row>
    <row r="70" spans="2:3" ht="17" customHeight="1">
      <c r="B70" s="1" t="s">
        <v>63</v>
      </c>
    </row>
  </sheetData>
  <mergeCells count="2">
    <mergeCell ref="G39:G41"/>
    <mergeCell ref="G53:G55"/>
  </mergeCells>
  <conditionalFormatting sqref="J59">
    <cfRule type="cellIs" dxfId="6" priority="5" operator="between">
      <formula>$D$9-0.5</formula>
      <formula>$D$9+0.5</formula>
    </cfRule>
  </conditionalFormatting>
  <conditionalFormatting sqref="D14">
    <cfRule type="cellIs" dxfId="5" priority="6" operator="equal">
      <formula>$B$67</formula>
    </cfRule>
  </conditionalFormatting>
  <conditionalFormatting sqref="D24">
    <cfRule type="cellIs" dxfId="4" priority="3" operator="equal">
      <formula>$L$45</formula>
    </cfRule>
  </conditionalFormatting>
  <hyperlinks>
    <hyperlink ref="G7" r:id="rId1"/>
    <hyperlink ref="G8" r:id="rId2"/>
    <hyperlink ref="G18" r:id="rId3"/>
    <hyperlink ref="G19" r:id="rId4"/>
    <hyperlink ref="N13" r:id="rId5"/>
    <hyperlink ref="K12" r:id="rId6"/>
    <hyperlink ref="C32" r:id="rId7" location="/CBS/nl/dataset/84646NED/table?ts=1584394178496"/>
    <hyperlink ref="K13" r:id="rId8"/>
    <hyperlink ref="C31" r:id="rId9"/>
    <hyperlink ref="C30" r:id="rId10"/>
  </hyperlinks>
  <pageMargins left="0" right="0" top="0.39370078740157483" bottom="0.39370078740157483" header="0" footer="0"/>
  <ignoredErrors>
    <ignoredError sqref="W38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80D410B-7765-5F4B-AD62-C7D1289A16ED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J50:J54 D18:D19 D12:D14 D7:D8</xm:sqref>
        </x14:conditionalFormatting>
        <x14:conditionalFormatting xmlns:xm="http://schemas.microsoft.com/office/excel/2006/main">
          <x14:cfRule type="iconSet" priority="7" id="{9425E108-A11F-7845-9467-9A3BE5FC8797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D24</xm:sqref>
        </x14:conditionalFormatting>
        <x14:conditionalFormatting xmlns:xm="http://schemas.microsoft.com/office/excel/2006/main">
          <x14:cfRule type="iconSet" priority="2" id="{50DE8D00-5B74-C04F-BEF0-48F7490BE12F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J55:J58</xm:sqref>
        </x14:conditionalFormatting>
        <x14:conditionalFormatting xmlns:xm="http://schemas.microsoft.com/office/excel/2006/main">
          <x14:cfRule type="iconSet" priority="1" id="{054C6381-6B09-4F40-B46C-3FFF6617EF0F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J36:J44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B79"/>
  <sheetViews>
    <sheetView showGridLines="0" tabSelected="1" showRuler="0" workbookViewId="0"/>
  </sheetViews>
  <sheetFormatPr baseColWidth="10" defaultRowHeight="14" x14ac:dyDescent="0"/>
  <cols>
    <col min="1" max="10" width="13" style="1" customWidth="1"/>
    <col min="11" max="11" width="13.33203125" style="1" customWidth="1"/>
    <col min="12" max="12" width="13" style="1" customWidth="1"/>
    <col min="13" max="13" width="13.5" style="1" customWidth="1"/>
    <col min="14" max="16384" width="10.83203125" style="1"/>
  </cols>
  <sheetData>
    <row r="1" spans="2:8" ht="17" customHeight="1"/>
    <row r="2" spans="2:8" ht="17" customHeight="1">
      <c r="B2" s="38" t="s">
        <v>116</v>
      </c>
      <c r="C2" s="24"/>
    </row>
    <row r="3" spans="2:8" ht="17" customHeight="1">
      <c r="B3" s="110" t="s">
        <v>32</v>
      </c>
      <c r="C3" s="24"/>
    </row>
    <row r="4" spans="2:8" ht="17" customHeight="1">
      <c r="B4" s="110" t="s">
        <v>34</v>
      </c>
      <c r="C4" s="24"/>
    </row>
    <row r="5" spans="2:8" ht="17" customHeight="1">
      <c r="B5" s="110" t="s">
        <v>150</v>
      </c>
      <c r="C5" s="24"/>
      <c r="F5" s="54"/>
      <c r="G5" s="54"/>
      <c r="H5" s="54"/>
    </row>
    <row r="6" spans="2:8" ht="17" customHeight="1">
      <c r="B6" s="110"/>
      <c r="C6" s="24"/>
      <c r="F6" s="54"/>
      <c r="G6" s="54"/>
      <c r="H6" s="54"/>
    </row>
    <row r="7" spans="2:8" ht="17" customHeight="1">
      <c r="C7" s="24"/>
      <c r="F7" s="54"/>
      <c r="G7" s="55" t="s">
        <v>46</v>
      </c>
      <c r="H7" s="54"/>
    </row>
    <row r="8" spans="2:8" ht="17" customHeight="1">
      <c r="C8" s="20" t="s">
        <v>119</v>
      </c>
      <c r="D8" s="107">
        <v>90000000</v>
      </c>
      <c r="E8" s="1" t="s">
        <v>24</v>
      </c>
      <c r="F8" s="54" t="s">
        <v>23</v>
      </c>
      <c r="G8" s="56" t="s">
        <v>30</v>
      </c>
      <c r="H8" s="54"/>
    </row>
    <row r="9" spans="2:8" ht="17" customHeight="1">
      <c r="C9" s="20" t="s">
        <v>29</v>
      </c>
      <c r="D9" s="36">
        <v>0.6</v>
      </c>
      <c r="F9" s="54" t="s">
        <v>0</v>
      </c>
      <c r="G9" s="56" t="s">
        <v>28</v>
      </c>
      <c r="H9" s="54"/>
    </row>
    <row r="10" spans="2:8" ht="17" customHeight="1">
      <c r="C10" s="33" t="s">
        <v>27</v>
      </c>
      <c r="D10" s="108">
        <f>D8*D9</f>
        <v>54000000</v>
      </c>
      <c r="E10" s="30" t="s">
        <v>24</v>
      </c>
      <c r="F10" s="57"/>
      <c r="G10" s="109" t="str">
        <f>IF(ABS(D10-G52)&lt;1,"✅ de gekozen populatie in cel G52 is gelijk aan dit aantal personen",IF(D10&lt;G52,"✅ de gekozen populatie in cel G52 is groter dan dit aantal personen","❗ de gekozen populatie in cel G52 is kleiner dan dit aantal personen!"))</f>
        <v>❗ de gekozen populatie in cel G52 is kleiner dan dit aantal personen!</v>
      </c>
      <c r="H10" s="54"/>
    </row>
    <row r="11" spans="2:8" ht="17" customHeight="1">
      <c r="C11" s="33"/>
      <c r="D11"/>
      <c r="E11" s="43"/>
      <c r="F11" s="57"/>
      <c r="G11" s="106"/>
      <c r="H11" s="54"/>
    </row>
    <row r="12" spans="2:8" ht="17" customHeight="1">
      <c r="C12" s="33"/>
      <c r="D12"/>
      <c r="E12" s="43"/>
      <c r="F12" s="57"/>
      <c r="G12" s="54"/>
      <c r="H12" s="54"/>
    </row>
    <row r="13" spans="2:8" ht="17" customHeight="1">
      <c r="C13" s="20" t="s">
        <v>27</v>
      </c>
      <c r="D13" s="87">
        <f>$D$10</f>
        <v>54000000</v>
      </c>
      <c r="E13" s="21" t="s">
        <v>24</v>
      </c>
      <c r="F13" s="19" t="s">
        <v>23</v>
      </c>
      <c r="G13" s="1" t="s">
        <v>120</v>
      </c>
      <c r="H13" s="54"/>
    </row>
    <row r="14" spans="2:8" ht="17" customHeight="1">
      <c r="C14" s="20" t="s">
        <v>112</v>
      </c>
      <c r="D14" s="80">
        <f>$L$52</f>
        <v>3.3152625906193223E-2</v>
      </c>
      <c r="E14" s="21"/>
      <c r="F14" s="19" t="s">
        <v>0</v>
      </c>
      <c r="G14" s="1" t="s">
        <v>121</v>
      </c>
      <c r="H14" s="54"/>
    </row>
    <row r="15" spans="2:8" ht="17" customHeight="1">
      <c r="C15" s="33" t="s">
        <v>113</v>
      </c>
      <c r="D15" s="88">
        <f>D13*D14</f>
        <v>1790241.7989344341</v>
      </c>
      <c r="E15" s="30" t="s">
        <v>24</v>
      </c>
      <c r="F15" s="19"/>
      <c r="H15" s="54"/>
    </row>
    <row r="16" spans="2:8" ht="17" customHeight="1">
      <c r="C16" s="33"/>
      <c r="D16" s="105"/>
      <c r="E16" s="43"/>
      <c r="F16" s="19"/>
      <c r="H16" s="54"/>
    </row>
    <row r="17" spans="3:8" ht="17" customHeight="1">
      <c r="C17" s="33"/>
      <c r="D17" s="105"/>
      <c r="E17" s="43"/>
      <c r="F17" s="19"/>
      <c r="H17" s="54"/>
    </row>
    <row r="18" spans="3:8" ht="17" customHeight="1">
      <c r="C18" s="20" t="s">
        <v>27</v>
      </c>
      <c r="D18" s="87">
        <f>$D$10</f>
        <v>54000000</v>
      </c>
      <c r="E18" s="21" t="s">
        <v>24</v>
      </c>
      <c r="F18" s="19" t="s">
        <v>23</v>
      </c>
      <c r="G18" s="1" t="s">
        <v>120</v>
      </c>
      <c r="H18" s="54"/>
    </row>
    <row r="19" spans="3:8" ht="17" customHeight="1">
      <c r="C19" s="20" t="s">
        <v>114</v>
      </c>
      <c r="D19" s="80">
        <f>$M$52</f>
        <v>3.1920220828744387E-3</v>
      </c>
      <c r="E19" s="43"/>
      <c r="F19" s="19" t="s">
        <v>0</v>
      </c>
      <c r="G19" s="106" t="s">
        <v>122</v>
      </c>
      <c r="H19" s="54"/>
    </row>
    <row r="20" spans="3:8" ht="17" customHeight="1">
      <c r="C20" s="33" t="s">
        <v>115</v>
      </c>
      <c r="D20" s="88">
        <f>D18*D19</f>
        <v>172369.19247521969</v>
      </c>
      <c r="E20" s="30" t="s">
        <v>24</v>
      </c>
      <c r="F20" s="19"/>
      <c r="H20" s="54"/>
    </row>
    <row r="21" spans="3:8" ht="17" customHeight="1">
      <c r="C21" s="33"/>
      <c r="D21" s="105"/>
      <c r="E21" s="43"/>
      <c r="F21" s="19"/>
      <c r="H21" s="54"/>
    </row>
    <row r="22" spans="3:8" ht="17" customHeight="1">
      <c r="C22" s="20"/>
      <c r="D22" s="87"/>
      <c r="E22" s="21"/>
      <c r="F22" s="19"/>
      <c r="H22" s="54"/>
    </row>
    <row r="23" spans="3:8" ht="17" customHeight="1">
      <c r="C23" s="24" t="s">
        <v>25</v>
      </c>
      <c r="D23" s="86">
        <f>$J$52</f>
        <v>41190.599890579149</v>
      </c>
      <c r="E23" s="1" t="s">
        <v>24</v>
      </c>
      <c r="F23" s="1" t="s">
        <v>23</v>
      </c>
      <c r="G23" s="106" t="s">
        <v>123</v>
      </c>
    </row>
    <row r="24" spans="3:8" ht="17" customHeight="1">
      <c r="C24" s="24" t="s">
        <v>49</v>
      </c>
      <c r="D24" s="28">
        <v>15</v>
      </c>
      <c r="E24" s="1" t="s">
        <v>17</v>
      </c>
      <c r="F24" s="1" t="s">
        <v>23</v>
      </c>
      <c r="G24" s="53" t="s">
        <v>22</v>
      </c>
    </row>
    <row r="25" spans="3:8" ht="17" customHeight="1">
      <c r="C25" s="24" t="s">
        <v>21</v>
      </c>
      <c r="D25" s="28">
        <v>925</v>
      </c>
      <c r="E25" s="19" t="s">
        <v>20</v>
      </c>
      <c r="F25" s="1" t="s">
        <v>0</v>
      </c>
      <c r="G25" s="53" t="s">
        <v>140</v>
      </c>
    </row>
    <row r="26" spans="3:8" ht="17" customHeight="1" thickBot="1">
      <c r="C26" s="27" t="s">
        <v>18</v>
      </c>
      <c r="D26" s="89">
        <f>D23*D24/D25</f>
        <v>667.95567390128349</v>
      </c>
      <c r="E26" s="25" t="s">
        <v>17</v>
      </c>
    </row>
    <row r="27" spans="3:8" ht="17" customHeight="1" thickTop="1">
      <c r="C27" s="27"/>
      <c r="D27" s="41"/>
      <c r="E27" s="42"/>
    </row>
    <row r="28" spans="3:8" ht="17" customHeight="1">
      <c r="C28" s="27"/>
      <c r="D28" s="41"/>
      <c r="E28" s="42"/>
    </row>
    <row r="29" spans="3:8" ht="17" customHeight="1">
      <c r="C29" s="20" t="s">
        <v>27</v>
      </c>
      <c r="D29" s="87">
        <f>$D$10</f>
        <v>54000000</v>
      </c>
      <c r="E29" s="21" t="s">
        <v>24</v>
      </c>
      <c r="F29" s="19" t="s">
        <v>23</v>
      </c>
      <c r="G29" s="1" t="s">
        <v>120</v>
      </c>
    </row>
    <row r="30" spans="3:8" ht="17" customHeight="1">
      <c r="C30" s="20" t="s">
        <v>125</v>
      </c>
      <c r="D30" s="124">
        <f>$G$66</f>
        <v>1.289821171225361E-2</v>
      </c>
      <c r="F30" s="1" t="s">
        <v>0</v>
      </c>
      <c r="G30" s="52" t="s">
        <v>124</v>
      </c>
    </row>
    <row r="31" spans="3:8" ht="17" customHeight="1" thickBot="1">
      <c r="C31" s="33" t="s">
        <v>37</v>
      </c>
      <c r="D31" s="89">
        <f>D29*D30</f>
        <v>696503.43246169493</v>
      </c>
      <c r="E31" s="46" t="s">
        <v>24</v>
      </c>
      <c r="F31" s="19"/>
    </row>
    <row r="32" spans="3:8" ht="17" customHeight="1" thickTop="1">
      <c r="C32" s="33"/>
      <c r="D32" s="41"/>
      <c r="E32" s="43"/>
      <c r="F32" s="19"/>
    </row>
    <row r="33" spans="2:28" ht="17" customHeight="1">
      <c r="C33" s="33"/>
      <c r="D33" s="41"/>
      <c r="E33" s="43"/>
      <c r="F33" s="19"/>
    </row>
    <row r="34" spans="2:28" ht="17" customHeight="1">
      <c r="C34" s="24"/>
    </row>
    <row r="35" spans="2:28" ht="17" customHeight="1">
      <c r="B35" s="23" t="s">
        <v>117</v>
      </c>
    </row>
    <row r="36" spans="2:28" ht="17" customHeight="1">
      <c r="B36" s="1" t="s">
        <v>135</v>
      </c>
      <c r="E36" s="1" t="s">
        <v>127</v>
      </c>
      <c r="H36" s="53" t="s">
        <v>74</v>
      </c>
    </row>
    <row r="37" spans="2:28" ht="17" customHeight="1">
      <c r="B37" s="1" t="s">
        <v>136</v>
      </c>
      <c r="E37" s="1" t="s">
        <v>128</v>
      </c>
      <c r="H37" s="53" t="s">
        <v>75</v>
      </c>
    </row>
    <row r="38" spans="2:28" ht="17" customHeight="1">
      <c r="B38" s="1" t="s">
        <v>41</v>
      </c>
      <c r="E38" s="1" t="s">
        <v>97</v>
      </c>
      <c r="H38" s="53" t="s">
        <v>42</v>
      </c>
    </row>
    <row r="39" spans="2:28" ht="17" customHeight="1">
      <c r="G39" s="53"/>
      <c r="R39"/>
      <c r="S39"/>
      <c r="T39"/>
    </row>
    <row r="40" spans="2:28" ht="17" customHeight="1">
      <c r="R40"/>
      <c r="S40"/>
      <c r="T40"/>
      <c r="W40"/>
      <c r="X40"/>
      <c r="Y40"/>
      <c r="Z40"/>
      <c r="AA40"/>
      <c r="AB40"/>
    </row>
    <row r="41" spans="2:28" ht="17" customHeight="1">
      <c r="B41" s="103" t="s">
        <v>96</v>
      </c>
      <c r="H41"/>
      <c r="I41"/>
      <c r="J41"/>
      <c r="K41"/>
      <c r="L41"/>
      <c r="M41"/>
      <c r="R41"/>
      <c r="S41"/>
      <c r="T41"/>
    </row>
    <row r="42" spans="2:28" ht="17" customHeight="1">
      <c r="B42" s="21" t="s">
        <v>16</v>
      </c>
      <c r="C42" s="20" t="s">
        <v>105</v>
      </c>
      <c r="D42" s="20" t="s">
        <v>102</v>
      </c>
      <c r="E42" s="93" t="s">
        <v>103</v>
      </c>
      <c r="F42" s="97" t="s">
        <v>92</v>
      </c>
      <c r="G42" s="111" t="s">
        <v>91</v>
      </c>
      <c r="H42" s="1" t="s">
        <v>108</v>
      </c>
      <c r="I42" s="24" t="s">
        <v>93</v>
      </c>
      <c r="J42" s="93" t="s">
        <v>85</v>
      </c>
      <c r="K42" s="1" t="s">
        <v>111</v>
      </c>
      <c r="L42" s="24" t="s">
        <v>110</v>
      </c>
      <c r="M42" s="20" t="s">
        <v>109</v>
      </c>
      <c r="N42" s="21"/>
      <c r="R42"/>
      <c r="S42"/>
      <c r="T42"/>
    </row>
    <row r="43" spans="2:28" ht="17" customHeight="1">
      <c r="B43" s="1" t="s">
        <v>12</v>
      </c>
      <c r="C43" s="80">
        <v>8.3655083655083659E-2</v>
      </c>
      <c r="D43" s="94">
        <v>1E-3</v>
      </c>
      <c r="E43" s="64">
        <v>0.05</v>
      </c>
      <c r="F43" s="98">
        <f>D57</f>
        <v>1776481</v>
      </c>
      <c r="G43" s="112">
        <f>F43</f>
        <v>1776481</v>
      </c>
      <c r="H43" s="86">
        <f>G43*C43</f>
        <v>148611.66666666669</v>
      </c>
      <c r="I43" s="86">
        <f t="shared" ref="I43:I51" si="0">G43*C43*D43</f>
        <v>148.61166666666668</v>
      </c>
      <c r="J43" s="85">
        <f t="shared" ref="J43:J51" si="1">G43*C43*D43*E43</f>
        <v>7.4305833333333347</v>
      </c>
      <c r="K43" s="127">
        <f>IF(G43&gt;0, H43/G43,"-")</f>
        <v>8.3655083655083673E-2</v>
      </c>
      <c r="L43" s="100">
        <f t="shared" ref="L43:L51" si="2">IF(G43&gt;0, I43/G43,"-")</f>
        <v>8.3655083655083658E-5</v>
      </c>
      <c r="M43" s="100">
        <f t="shared" ref="M43:M51" si="3">IF(G43&gt;0, J43/G43,"-")</f>
        <v>4.1827541827541838E-6</v>
      </c>
      <c r="R43"/>
      <c r="S43"/>
      <c r="T43"/>
    </row>
    <row r="44" spans="2:28" ht="17" customHeight="1">
      <c r="B44" s="18" t="s">
        <v>11</v>
      </c>
      <c r="C44" s="80">
        <v>0.13320463320463319</v>
      </c>
      <c r="D44" s="94">
        <v>3.0000000000000001E-3</v>
      </c>
      <c r="E44" s="64">
        <v>0.05</v>
      </c>
      <c r="F44" s="98">
        <v>2001656</v>
      </c>
      <c r="G44" s="112">
        <f t="shared" ref="G44:G51" si="4">F44</f>
        <v>2001656</v>
      </c>
      <c r="H44" s="86">
        <f t="shared" ref="H44:H51" si="5">G44*C44</f>
        <v>266629.85328185325</v>
      </c>
      <c r="I44" s="86">
        <f t="shared" si="0"/>
        <v>799.8895598455598</v>
      </c>
      <c r="J44" s="85">
        <f t="shared" si="1"/>
        <v>39.994477992277993</v>
      </c>
      <c r="K44" s="127">
        <f t="shared" ref="K44:K51" si="6">IF(G44&gt;0, H44/G44,"-")</f>
        <v>0.13320463320463319</v>
      </c>
      <c r="L44" s="101">
        <f t="shared" si="2"/>
        <v>3.9961389961389959E-4</v>
      </c>
      <c r="M44" s="101">
        <f t="shared" si="3"/>
        <v>1.998069498069498E-5</v>
      </c>
      <c r="R44"/>
      <c r="S44"/>
      <c r="T44"/>
    </row>
    <row r="45" spans="2:28" ht="17" customHeight="1">
      <c r="B45" s="1" t="s">
        <v>10</v>
      </c>
      <c r="C45" s="80">
        <v>0.5218790218790218</v>
      </c>
      <c r="D45" s="94">
        <v>1.2E-2</v>
      </c>
      <c r="E45" s="64">
        <v>0.05</v>
      </c>
      <c r="F45" s="98">
        <v>2244283</v>
      </c>
      <c r="G45" s="112">
        <f t="shared" si="4"/>
        <v>2244283</v>
      </c>
      <c r="H45" s="86">
        <f t="shared" si="5"/>
        <v>1171244.2168597167</v>
      </c>
      <c r="I45" s="86">
        <f t="shared" si="0"/>
        <v>14054.930602316601</v>
      </c>
      <c r="J45" s="85">
        <f t="shared" si="1"/>
        <v>702.74653011583007</v>
      </c>
      <c r="K45" s="127">
        <f t="shared" si="6"/>
        <v>0.5218790218790218</v>
      </c>
      <c r="L45" s="102">
        <f t="shared" si="2"/>
        <v>6.2625482625482615E-3</v>
      </c>
      <c r="M45" s="102">
        <f t="shared" si="3"/>
        <v>3.131274131274131E-4</v>
      </c>
      <c r="R45"/>
      <c r="S45"/>
      <c r="T45"/>
    </row>
    <row r="46" spans="2:28" ht="17" customHeight="1">
      <c r="B46" s="1" t="s">
        <v>8</v>
      </c>
      <c r="C46" s="80">
        <v>0.90025740025740031</v>
      </c>
      <c r="D46" s="95">
        <v>3.2000000000000001E-2</v>
      </c>
      <c r="E46" s="64">
        <v>0.05</v>
      </c>
      <c r="F46" s="98">
        <v>2143651</v>
      </c>
      <c r="G46" s="112">
        <f t="shared" si="4"/>
        <v>2143651</v>
      </c>
      <c r="H46" s="86">
        <f t="shared" si="5"/>
        <v>1929837.6763191763</v>
      </c>
      <c r="I46" s="86">
        <f t="shared" si="0"/>
        <v>61754.805642213643</v>
      </c>
      <c r="J46" s="85">
        <f t="shared" si="1"/>
        <v>3087.7402821106825</v>
      </c>
      <c r="K46" s="127">
        <f t="shared" si="6"/>
        <v>0.90025740025740031</v>
      </c>
      <c r="L46" s="102">
        <f t="shared" si="2"/>
        <v>2.8808236808236808E-2</v>
      </c>
      <c r="M46" s="102">
        <f t="shared" si="3"/>
        <v>1.4404118404118405E-3</v>
      </c>
      <c r="R46"/>
      <c r="S46"/>
      <c r="T46"/>
    </row>
    <row r="47" spans="2:28" ht="17" customHeight="1">
      <c r="B47" s="1" t="s">
        <v>7</v>
      </c>
      <c r="C47" s="80">
        <v>0.85842985842985842</v>
      </c>
      <c r="D47" s="95">
        <v>4.9000000000000002E-2</v>
      </c>
      <c r="E47" s="64">
        <v>6.3E-2</v>
      </c>
      <c r="F47" s="98">
        <v>2206346</v>
      </c>
      <c r="G47" s="112">
        <f t="shared" si="4"/>
        <v>2206346</v>
      </c>
      <c r="H47" s="86">
        <f t="shared" si="5"/>
        <v>1893993.2844272845</v>
      </c>
      <c r="I47" s="86">
        <f t="shared" si="0"/>
        <v>92805.670936936949</v>
      </c>
      <c r="J47" s="85">
        <f t="shared" si="1"/>
        <v>5846.7572690270281</v>
      </c>
      <c r="K47" s="127">
        <f t="shared" si="6"/>
        <v>0.85842985842985842</v>
      </c>
      <c r="L47" s="102">
        <f t="shared" si="2"/>
        <v>4.2063063063063066E-2</v>
      </c>
      <c r="M47" s="102">
        <f t="shared" si="3"/>
        <v>2.6499729729729735E-3</v>
      </c>
      <c r="R47"/>
      <c r="S47"/>
      <c r="T47"/>
    </row>
    <row r="48" spans="2:28" ht="17" customHeight="1">
      <c r="B48" s="1" t="s">
        <v>6</v>
      </c>
      <c r="C48" s="80">
        <v>1</v>
      </c>
      <c r="D48" s="95">
        <v>0.10199999999999999</v>
      </c>
      <c r="E48" s="64">
        <v>0.122</v>
      </c>
      <c r="F48" s="98">
        <v>2531817</v>
      </c>
      <c r="G48" s="112">
        <f t="shared" si="4"/>
        <v>2531817</v>
      </c>
      <c r="H48" s="86">
        <f t="shared" si="5"/>
        <v>2531817</v>
      </c>
      <c r="I48" s="86">
        <f t="shared" si="0"/>
        <v>258245.33399999997</v>
      </c>
      <c r="J48" s="85">
        <f t="shared" si="1"/>
        <v>31505.930747999995</v>
      </c>
      <c r="K48" s="127">
        <f t="shared" si="6"/>
        <v>1</v>
      </c>
      <c r="L48" s="102">
        <f t="shared" si="2"/>
        <v>0.10199999999999999</v>
      </c>
      <c r="M48" s="102">
        <f t="shared" si="3"/>
        <v>1.2443999999999998E-2</v>
      </c>
      <c r="R48"/>
      <c r="S48"/>
      <c r="T48"/>
    </row>
    <row r="49" spans="2:28" ht="17" customHeight="1">
      <c r="B49" s="1" t="s">
        <v>5</v>
      </c>
      <c r="C49" s="80">
        <v>0.48970398970398971</v>
      </c>
      <c r="D49" s="95">
        <v>0.16600000000000001</v>
      </c>
      <c r="E49" s="64">
        <v>0.27400000000000002</v>
      </c>
      <c r="F49" s="98">
        <v>2114090</v>
      </c>
      <c r="G49" s="112">
        <v>0</v>
      </c>
      <c r="H49" s="86">
        <f t="shared" si="5"/>
        <v>0</v>
      </c>
      <c r="I49" s="86">
        <f t="shared" si="0"/>
        <v>0</v>
      </c>
      <c r="J49" s="85">
        <f t="shared" si="1"/>
        <v>0</v>
      </c>
      <c r="K49" s="127" t="str">
        <f t="shared" si="6"/>
        <v>-</v>
      </c>
      <c r="L49" s="102" t="str">
        <f t="shared" si="2"/>
        <v>-</v>
      </c>
      <c r="M49" s="102" t="str">
        <f t="shared" si="3"/>
        <v>-</v>
      </c>
      <c r="R49"/>
      <c r="S49"/>
      <c r="T49"/>
    </row>
    <row r="50" spans="2:28" ht="17" customHeight="1">
      <c r="B50" s="1" t="s">
        <v>4</v>
      </c>
      <c r="C50" s="80">
        <v>0.40604890604890603</v>
      </c>
      <c r="D50" s="95">
        <v>0.24299999999999999</v>
      </c>
      <c r="E50" s="64">
        <v>0.432</v>
      </c>
      <c r="F50" s="98">
        <v>1574580</v>
      </c>
      <c r="G50" s="112">
        <v>0</v>
      </c>
      <c r="H50" s="86">
        <f t="shared" si="5"/>
        <v>0</v>
      </c>
      <c r="I50" s="86">
        <f t="shared" si="0"/>
        <v>0</v>
      </c>
      <c r="J50" s="85">
        <f t="shared" si="1"/>
        <v>0</v>
      </c>
      <c r="K50" s="127" t="str">
        <f t="shared" si="6"/>
        <v>-</v>
      </c>
      <c r="L50" s="102" t="str">
        <f t="shared" si="2"/>
        <v>-</v>
      </c>
      <c r="M50" s="102" t="str">
        <f t="shared" si="3"/>
        <v>-</v>
      </c>
      <c r="R50"/>
      <c r="S50"/>
      <c r="T50"/>
    </row>
    <row r="51" spans="2:28" ht="17" customHeight="1">
      <c r="B51" s="1" t="s">
        <v>3</v>
      </c>
      <c r="C51" s="96">
        <v>0.16795366795366795</v>
      </c>
      <c r="D51" s="95">
        <v>0.27300000000000002</v>
      </c>
      <c r="E51" s="64">
        <v>0.70899999999999996</v>
      </c>
      <c r="F51" s="98">
        <f>691995+129700</f>
        <v>821695</v>
      </c>
      <c r="G51" s="112">
        <v>0</v>
      </c>
      <c r="H51" s="86">
        <f t="shared" si="5"/>
        <v>0</v>
      </c>
      <c r="I51" s="86">
        <f t="shared" si="0"/>
        <v>0</v>
      </c>
      <c r="J51" s="85">
        <f t="shared" si="1"/>
        <v>0</v>
      </c>
      <c r="K51" s="127" t="str">
        <f t="shared" si="6"/>
        <v>-</v>
      </c>
      <c r="L51" s="102" t="str">
        <f t="shared" si="2"/>
        <v>-</v>
      </c>
      <c r="M51" s="102" t="str">
        <f t="shared" si="3"/>
        <v>-</v>
      </c>
      <c r="R51"/>
      <c r="S51"/>
      <c r="T51"/>
    </row>
    <row r="52" spans="2:28" ht="17" customHeight="1">
      <c r="B52" s="7" t="s">
        <v>94</v>
      </c>
      <c r="C52" s="21"/>
      <c r="D52" s="7"/>
      <c r="E52" s="8"/>
      <c r="F52" s="99">
        <f>SUM(F43:F51)</f>
        <v>17414599</v>
      </c>
      <c r="G52" s="113">
        <f>SUM(G43:G51)</f>
        <v>12904234</v>
      </c>
      <c r="H52" s="118">
        <f>SUM(H43:H51)</f>
        <v>7942133.6975546973</v>
      </c>
      <c r="I52" s="118">
        <f>SUM(I43:I51)</f>
        <v>427809.24240797939</v>
      </c>
      <c r="J52" s="119">
        <f>SUM(J43:J51)</f>
        <v>41190.599890579149</v>
      </c>
      <c r="K52" s="120">
        <f>H52/G52</f>
        <v>0.61546727202518936</v>
      </c>
      <c r="L52" s="120">
        <f>I52/G52</f>
        <v>3.3152625906193223E-2</v>
      </c>
      <c r="M52" s="120">
        <f>J52/G52</f>
        <v>3.1920220828744387E-3</v>
      </c>
      <c r="R52"/>
      <c r="S52"/>
      <c r="T52"/>
    </row>
    <row r="53" spans="2:28" ht="17" customHeight="1">
      <c r="B53" s="21"/>
      <c r="C53" s="21"/>
      <c r="D53" s="21"/>
      <c r="E53" s="21"/>
      <c r="F53" s="98"/>
      <c r="G53" s="121"/>
      <c r="H53" s="122"/>
      <c r="I53" s="122"/>
      <c r="J53" s="122"/>
      <c r="K53" s="123"/>
      <c r="L53" s="123"/>
      <c r="M53" s="123"/>
      <c r="R53"/>
      <c r="S53"/>
      <c r="T53"/>
    </row>
    <row r="54" spans="2:28" ht="17" customHeight="1">
      <c r="B54" s="21"/>
      <c r="C54" s="21"/>
      <c r="D54" s="21"/>
      <c r="E54" s="21"/>
      <c r="F54" s="87"/>
      <c r="G54" s="98"/>
      <c r="H54" s="87"/>
      <c r="I54" s="87"/>
      <c r="J54" s="80"/>
      <c r="K54" s="80"/>
      <c r="L54"/>
      <c r="M54"/>
    </row>
    <row r="55" spans="2:28" ht="17" customHeight="1">
      <c r="B55" s="103" t="s">
        <v>67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2:28" ht="17" customHeight="1">
      <c r="B56" s="21" t="s">
        <v>16</v>
      </c>
      <c r="C56" s="20" t="s">
        <v>101</v>
      </c>
      <c r="D56" s="20" t="s">
        <v>92</v>
      </c>
      <c r="E56" s="111" t="s">
        <v>91</v>
      </c>
      <c r="F56" s="111" t="s">
        <v>37</v>
      </c>
      <c r="G56" s="84" t="s">
        <v>66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ht="17" customHeight="1">
      <c r="B57" s="83" t="s">
        <v>12</v>
      </c>
      <c r="C57" s="128">
        <v>1.5999999999999999E-5</v>
      </c>
      <c r="D57" s="98">
        <v>1776481</v>
      </c>
      <c r="E57" s="115">
        <f>G43</f>
        <v>1776481</v>
      </c>
      <c r="F57" s="117">
        <f t="shared" ref="F57:F65" si="7">C57*E57</f>
        <v>28.423696</v>
      </c>
      <c r="G57" s="129">
        <f t="shared" ref="G57:G65" si="8">IF(E57&gt;0, F57/E57,"-")</f>
        <v>1.5999999999999999E-5</v>
      </c>
      <c r="H57" s="104" t="s">
        <v>106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ht="17" customHeight="1">
      <c r="B58" s="83" t="s">
        <v>11</v>
      </c>
      <c r="C58" s="79">
        <v>6.9999999999999994E-5</v>
      </c>
      <c r="D58" s="98">
        <v>2001656</v>
      </c>
      <c r="E58" s="115">
        <f t="shared" ref="E58:E61" si="9">G44</f>
        <v>2001656</v>
      </c>
      <c r="F58" s="117">
        <f t="shared" si="7"/>
        <v>140.11591999999999</v>
      </c>
      <c r="G58" s="90">
        <f t="shared" si="8"/>
        <v>6.9999999999999994E-5</v>
      </c>
      <c r="H58" s="104" t="s">
        <v>107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ht="17" customHeight="1">
      <c r="B59" s="83" t="s">
        <v>10</v>
      </c>
      <c r="C59" s="80">
        <v>3.1E-4</v>
      </c>
      <c r="D59" s="98">
        <v>2244283</v>
      </c>
      <c r="E59" s="115">
        <f t="shared" si="9"/>
        <v>2244283</v>
      </c>
      <c r="F59" s="117">
        <f t="shared" si="7"/>
        <v>695.72772999999995</v>
      </c>
      <c r="G59" s="91">
        <f t="shared" si="8"/>
        <v>3.1E-4</v>
      </c>
      <c r="H59" s="21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ht="17" customHeight="1">
      <c r="B60" s="83" t="s">
        <v>8</v>
      </c>
      <c r="C60" s="81">
        <v>8.4000000000000003E-4</v>
      </c>
      <c r="D60" s="98">
        <v>2143651</v>
      </c>
      <c r="E60" s="115">
        <f t="shared" si="9"/>
        <v>2143651</v>
      </c>
      <c r="F60" s="117">
        <f t="shared" si="7"/>
        <v>1800.6668400000001</v>
      </c>
      <c r="G60" s="91">
        <f t="shared" si="8"/>
        <v>8.4000000000000003E-4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ht="17" customHeight="1">
      <c r="B61" s="83" t="s">
        <v>7</v>
      </c>
      <c r="C61" s="81">
        <v>1.6000000000000001E-3</v>
      </c>
      <c r="D61" s="98">
        <v>2206346</v>
      </c>
      <c r="E61" s="115">
        <f t="shared" si="9"/>
        <v>2206346</v>
      </c>
      <c r="F61" s="117">
        <f t="shared" si="7"/>
        <v>3530.1536000000001</v>
      </c>
      <c r="G61" s="91">
        <f t="shared" si="8"/>
        <v>1.6000000000000001E-3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ht="17" customHeight="1">
      <c r="B62" s="83" t="s">
        <v>6</v>
      </c>
      <c r="C62" s="81">
        <v>6.0000000000000001E-3</v>
      </c>
      <c r="D62" s="98">
        <v>2531817</v>
      </c>
      <c r="E62" s="98">
        <v>2531817</v>
      </c>
      <c r="F62" s="117">
        <f t="shared" si="7"/>
        <v>15190.902</v>
      </c>
      <c r="G62" s="91">
        <f t="shared" si="8"/>
        <v>6.0000000000000001E-3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ht="17" customHeight="1">
      <c r="B63" s="83" t="s">
        <v>5</v>
      </c>
      <c r="C63" s="81">
        <v>2.1999999999999999E-2</v>
      </c>
      <c r="D63" s="98">
        <v>2114090</v>
      </c>
      <c r="E63" s="98">
        <v>2114090</v>
      </c>
      <c r="F63" s="117">
        <f t="shared" si="7"/>
        <v>46509.979999999996</v>
      </c>
      <c r="G63" s="91">
        <f t="shared" si="8"/>
        <v>2.1999999999999999E-2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ht="17" customHeight="1">
      <c r="B64" s="83" t="s">
        <v>4</v>
      </c>
      <c r="C64" s="81">
        <v>5.0999999999999997E-2</v>
      </c>
      <c r="D64" s="98">
        <v>1574580</v>
      </c>
      <c r="E64" s="98">
        <v>1574580</v>
      </c>
      <c r="F64" s="117">
        <f t="shared" si="7"/>
        <v>80303.58</v>
      </c>
      <c r="G64" s="91">
        <f t="shared" si="8"/>
        <v>5.1000000000000004E-2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ht="17" customHeight="1">
      <c r="B65" s="83" t="s">
        <v>3</v>
      </c>
      <c r="C65" s="81">
        <v>9.2999999999999999E-2</v>
      </c>
      <c r="D65" s="98">
        <f>691995+129700</f>
        <v>821695</v>
      </c>
      <c r="E65" s="98">
        <f>691995+129700</f>
        <v>821695</v>
      </c>
      <c r="F65" s="117">
        <f t="shared" si="7"/>
        <v>76417.634999999995</v>
      </c>
      <c r="G65" s="91">
        <f t="shared" si="8"/>
        <v>9.2999999999999999E-2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ht="17" customHeight="1">
      <c r="B66" s="7" t="s">
        <v>94</v>
      </c>
      <c r="C66" s="82"/>
      <c r="D66" s="99">
        <f>SUM(D57:D65)</f>
        <v>17414599</v>
      </c>
      <c r="E66" s="92">
        <f>SUM(E57:E65)</f>
        <v>17414599</v>
      </c>
      <c r="F66" s="114">
        <f>SUM(F57:F65)</f>
        <v>224617.184786</v>
      </c>
      <c r="G66" s="116">
        <f>F66/E66</f>
        <v>1.289821171225361E-2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ht="17" customHeight="1">
      <c r="B67" s="21"/>
      <c r="C67" s="20"/>
      <c r="D67" s="98"/>
      <c r="E67" s="87"/>
      <c r="F67" s="105"/>
      <c r="G67" s="125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ht="17" customHeight="1"/>
    <row r="69" spans="2:28" ht="17" customHeight="1">
      <c r="B69" s="1" t="s">
        <v>95</v>
      </c>
    </row>
    <row r="70" spans="2:28">
      <c r="B70" s="1" t="s">
        <v>98</v>
      </c>
    </row>
    <row r="71" spans="2:28">
      <c r="B71" s="1" t="s">
        <v>104</v>
      </c>
    </row>
    <row r="72" spans="2:28">
      <c r="B72" s="1" t="s">
        <v>99</v>
      </c>
    </row>
    <row r="73" spans="2:28">
      <c r="B73" s="1" t="s">
        <v>100</v>
      </c>
    </row>
    <row r="76" spans="2:28" ht="16">
      <c r="B76" s="103" t="s">
        <v>129</v>
      </c>
    </row>
    <row r="77" spans="2:28">
      <c r="B77" s="1" t="s">
        <v>132</v>
      </c>
    </row>
    <row r="78" spans="2:28">
      <c r="B78" s="126" t="s">
        <v>131</v>
      </c>
    </row>
    <row r="79" spans="2:28">
      <c r="B79" s="1" t="s">
        <v>130</v>
      </c>
    </row>
  </sheetData>
  <sheetProtection sheet="1" objects="1" scenarios="1"/>
  <phoneticPr fontId="14" type="noConversion"/>
  <conditionalFormatting sqref="G10:K10">
    <cfRule type="expression" dxfId="3" priority="1">
      <formula>$D$10&gt;$G$52</formula>
    </cfRule>
  </conditionalFormatting>
  <hyperlinks>
    <hyperlink ref="G8" r:id="rId1"/>
    <hyperlink ref="G9" r:id="rId2"/>
    <hyperlink ref="G24" r:id="rId3"/>
    <hyperlink ref="H38" r:id="rId4" location="/CBS/nl/dataset/84646NED/table?ts=1584394178496"/>
    <hyperlink ref="H36" r:id="rId5"/>
    <hyperlink ref="H37" r:id="rId6"/>
  </hyperlinks>
  <pageMargins left="0" right="0" top="0.39000000000000007" bottom="0.39000000000000007" header="0" footer="0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426AC4AA-FD28-BC48-82FC-A99DF280B790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D24:D25 D8:D9</xm:sqref>
        </x14:conditionalFormatting>
        <x14:conditionalFormatting xmlns:xm="http://schemas.microsoft.com/office/excel/2006/main">
          <x14:cfRule type="iconSet" priority="9" id="{76EFFFBD-CAA8-D34E-B238-C6150B93A2A4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E57:E61</xm:sqref>
        </x14:conditionalFormatting>
        <x14:conditionalFormatting xmlns:xm="http://schemas.microsoft.com/office/excel/2006/main">
          <x14:cfRule type="iconSet" priority="4" id="{28BE3ED3-F3A6-2345-A516-A200396592F2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G43:G51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8"/>
  <sheetViews>
    <sheetView showGridLines="0" showRuler="0" workbookViewId="0"/>
  </sheetViews>
  <sheetFormatPr baseColWidth="10" defaultRowHeight="14" x14ac:dyDescent="0"/>
  <cols>
    <col min="1" max="12" width="13" style="1" customWidth="1"/>
    <col min="13" max="16384" width="10.83203125" style="1"/>
  </cols>
  <sheetData>
    <row r="1" spans="1:16" ht="17" customHeight="1"/>
    <row r="2" spans="1:16" ht="17" customHeight="1">
      <c r="A2" s="132" t="s">
        <v>149</v>
      </c>
    </row>
    <row r="3" spans="1:16" ht="17" customHeight="1">
      <c r="A3" s="132"/>
    </row>
    <row r="4" spans="1:16" ht="17" customHeight="1">
      <c r="B4" s="38" t="s">
        <v>50</v>
      </c>
      <c r="C4" s="24"/>
    </row>
    <row r="5" spans="1:16" ht="17" customHeight="1">
      <c r="B5" s="37" t="s">
        <v>32</v>
      </c>
      <c r="C5" s="24"/>
    </row>
    <row r="6" spans="1:16" ht="17" customHeight="1">
      <c r="B6" s="37" t="s">
        <v>34</v>
      </c>
      <c r="C6" s="24"/>
    </row>
    <row r="7" spans="1:16" ht="17" customHeight="1">
      <c r="B7" s="37"/>
      <c r="C7" s="24"/>
      <c r="F7" s="54"/>
      <c r="G7" s="54"/>
      <c r="H7" s="54"/>
    </row>
    <row r="8" spans="1:16" ht="17" customHeight="1">
      <c r="C8" s="24"/>
      <c r="F8" s="54"/>
      <c r="G8" s="55" t="s">
        <v>46</v>
      </c>
      <c r="H8" s="54"/>
    </row>
    <row r="9" spans="1:16" ht="17" customHeight="1">
      <c r="C9" s="20" t="s">
        <v>31</v>
      </c>
      <c r="D9" s="1">
        <v>17428496</v>
      </c>
      <c r="E9" s="1" t="s">
        <v>24</v>
      </c>
      <c r="F9" s="54" t="s">
        <v>23</v>
      </c>
      <c r="G9" s="56" t="s">
        <v>30</v>
      </c>
      <c r="H9" s="54"/>
    </row>
    <row r="10" spans="1:16" ht="17" customHeight="1">
      <c r="C10" s="20" t="s">
        <v>29</v>
      </c>
      <c r="D10" s="36">
        <v>0.6</v>
      </c>
      <c r="F10" s="54" t="s">
        <v>0</v>
      </c>
      <c r="G10" s="56" t="s">
        <v>28</v>
      </c>
      <c r="H10" s="54"/>
    </row>
    <row r="11" spans="1:16" ht="17" customHeight="1">
      <c r="C11" s="33" t="s">
        <v>27</v>
      </c>
      <c r="D11" s="47">
        <f>D9*D10</f>
        <v>10457097.6</v>
      </c>
      <c r="E11" s="30" t="s">
        <v>24</v>
      </c>
      <c r="F11" s="57"/>
      <c r="G11" s="54"/>
      <c r="H11" s="54"/>
    </row>
    <row r="12" spans="1:16" ht="17" customHeight="1">
      <c r="C12" s="20"/>
      <c r="D12" s="32"/>
      <c r="F12" s="54"/>
      <c r="G12" s="54"/>
      <c r="H12" s="54"/>
    </row>
    <row r="13" spans="1:16" ht="17" customHeight="1">
      <c r="C13" s="20" t="s">
        <v>27</v>
      </c>
      <c r="D13" s="29">
        <f>D11</f>
        <v>10457097.6</v>
      </c>
      <c r="E13" s="21" t="s">
        <v>24</v>
      </c>
      <c r="F13" s="57" t="s">
        <v>23</v>
      </c>
      <c r="G13" s="54" t="s">
        <v>55</v>
      </c>
      <c r="H13" s="54"/>
    </row>
    <row r="14" spans="1:16" ht="17" customHeight="1">
      <c r="C14" s="20" t="s">
        <v>51</v>
      </c>
      <c r="D14" s="35">
        <v>6.4645889999999998E-2</v>
      </c>
      <c r="F14" s="54" t="s">
        <v>23</v>
      </c>
      <c r="G14" s="54" t="s">
        <v>141</v>
      </c>
      <c r="H14" s="54"/>
      <c r="L14" s="53" t="s">
        <v>26</v>
      </c>
    </row>
    <row r="15" spans="1:16" ht="17" customHeight="1">
      <c r="C15" s="20" t="s">
        <v>126</v>
      </c>
      <c r="D15" s="35">
        <v>9.1999999999999998E-2</v>
      </c>
      <c r="F15" s="54" t="s">
        <v>23</v>
      </c>
      <c r="G15" s="54" t="s">
        <v>142</v>
      </c>
      <c r="H15" s="54"/>
      <c r="M15" s="53" t="s">
        <v>53</v>
      </c>
      <c r="P15" s="53" t="s">
        <v>43</v>
      </c>
    </row>
    <row r="16" spans="1:16" ht="17" customHeight="1">
      <c r="C16" s="20" t="s">
        <v>35</v>
      </c>
      <c r="D16" s="34">
        <f>B55</f>
        <v>6.0945326299056038E-2</v>
      </c>
      <c r="F16" s="54" t="s">
        <v>0</v>
      </c>
      <c r="G16" s="54" t="s">
        <v>57</v>
      </c>
      <c r="H16" s="54"/>
    </row>
    <row r="17" spans="2:8" ht="17" customHeight="1">
      <c r="C17" s="33" t="s">
        <v>25</v>
      </c>
      <c r="D17" s="31">
        <f>D13*D15*D14*D16</f>
        <v>3790.3587261534417</v>
      </c>
      <c r="E17" s="30" t="s">
        <v>24</v>
      </c>
      <c r="F17" s="57"/>
      <c r="G17" s="54"/>
      <c r="H17" s="54"/>
    </row>
    <row r="18" spans="2:8" ht="17" customHeight="1">
      <c r="C18" s="24"/>
      <c r="F18" s="54"/>
      <c r="G18" s="54"/>
      <c r="H18" s="54"/>
    </row>
    <row r="19" spans="2:8" ht="17" customHeight="1">
      <c r="C19" s="24" t="s">
        <v>25</v>
      </c>
      <c r="D19" s="32">
        <f>D17</f>
        <v>3790.3587261534417</v>
      </c>
      <c r="E19" s="1" t="s">
        <v>24</v>
      </c>
      <c r="F19" s="1" t="s">
        <v>23</v>
      </c>
      <c r="G19" s="1" t="s">
        <v>56</v>
      </c>
    </row>
    <row r="20" spans="2:8" ht="17" customHeight="1">
      <c r="C20" s="24" t="s">
        <v>49</v>
      </c>
      <c r="D20" s="28">
        <v>15</v>
      </c>
      <c r="E20" s="1" t="s">
        <v>17</v>
      </c>
      <c r="F20" s="1" t="s">
        <v>23</v>
      </c>
      <c r="G20" s="53" t="s">
        <v>22</v>
      </c>
    </row>
    <row r="21" spans="2:8" ht="17" customHeight="1">
      <c r="C21" s="24" t="s">
        <v>21</v>
      </c>
      <c r="D21" s="28">
        <v>850</v>
      </c>
      <c r="E21" s="19" t="s">
        <v>20</v>
      </c>
      <c r="F21" s="1" t="s">
        <v>0</v>
      </c>
      <c r="G21" s="53" t="s">
        <v>19</v>
      </c>
    </row>
    <row r="22" spans="2:8" ht="17" customHeight="1" thickBot="1">
      <c r="C22" s="27" t="s">
        <v>18</v>
      </c>
      <c r="D22" s="26">
        <f>D19*D20/D21</f>
        <v>66.888683402707798</v>
      </c>
      <c r="E22" s="25" t="s">
        <v>17</v>
      </c>
    </row>
    <row r="23" spans="2:8" ht="17" customHeight="1" thickTop="1">
      <c r="C23" s="27"/>
      <c r="D23" s="41"/>
      <c r="E23" s="42"/>
    </row>
    <row r="24" spans="2:8" ht="17" customHeight="1">
      <c r="C24" s="27"/>
      <c r="D24" s="41"/>
      <c r="E24" s="42"/>
    </row>
    <row r="25" spans="2:8" ht="17" customHeight="1">
      <c r="C25" s="20" t="s">
        <v>27</v>
      </c>
      <c r="D25" s="29">
        <f>D11</f>
        <v>10457097.6</v>
      </c>
      <c r="E25" s="21" t="s">
        <v>24</v>
      </c>
      <c r="F25" s="19" t="s">
        <v>23</v>
      </c>
      <c r="G25" s="1" t="s">
        <v>55</v>
      </c>
    </row>
    <row r="26" spans="2:8" ht="17" customHeight="1">
      <c r="C26" s="20" t="s">
        <v>33</v>
      </c>
      <c r="D26" s="44">
        <f>D15</f>
        <v>9.1999999999999998E-2</v>
      </c>
      <c r="F26" s="1" t="s">
        <v>23</v>
      </c>
      <c r="G26" s="52" t="s">
        <v>59</v>
      </c>
    </row>
    <row r="27" spans="2:8" ht="17" customHeight="1">
      <c r="C27" s="20" t="s">
        <v>36</v>
      </c>
      <c r="D27" s="35">
        <f>L47</f>
        <v>1.5666528897405377E-3</v>
      </c>
      <c r="F27" s="1" t="s">
        <v>0</v>
      </c>
      <c r="G27" s="52" t="s">
        <v>60</v>
      </c>
    </row>
    <row r="28" spans="2:8" ht="17" customHeight="1" thickBot="1">
      <c r="C28" s="33" t="s">
        <v>37</v>
      </c>
      <c r="D28" s="26">
        <f>D25*D26*D27</f>
        <v>1507.2030799471734</v>
      </c>
      <c r="E28" s="46" t="s">
        <v>24</v>
      </c>
      <c r="F28" s="19"/>
    </row>
    <row r="29" spans="2:8" ht="17" customHeight="1" thickTop="1">
      <c r="C29" s="33"/>
      <c r="D29" s="41"/>
      <c r="E29" s="43"/>
      <c r="F29" s="19"/>
    </row>
    <row r="30" spans="2:8" ht="17" customHeight="1">
      <c r="C30" s="33"/>
      <c r="D30" s="41"/>
      <c r="E30" s="43"/>
      <c r="F30" s="19"/>
    </row>
    <row r="31" spans="2:8" ht="17" customHeight="1">
      <c r="C31" s="24"/>
    </row>
    <row r="32" spans="2:8" ht="17" customHeight="1">
      <c r="B32" s="23" t="s">
        <v>78</v>
      </c>
    </row>
    <row r="33" spans="2:12" ht="17" customHeight="1">
      <c r="B33" s="1" t="s">
        <v>39</v>
      </c>
      <c r="C33" s="53" t="s">
        <v>40</v>
      </c>
    </row>
    <row r="34" spans="2:12" ht="17" customHeight="1">
      <c r="B34" s="1" t="s">
        <v>41</v>
      </c>
      <c r="C34" s="53" t="s">
        <v>42</v>
      </c>
    </row>
    <row r="35" spans="2:12" ht="17" customHeight="1"/>
    <row r="36" spans="2:12" ht="17" customHeight="1">
      <c r="B36" s="4" t="s">
        <v>61</v>
      </c>
      <c r="H36" s="4" t="s">
        <v>48</v>
      </c>
    </row>
    <row r="37" spans="2:12" ht="17" customHeight="1">
      <c r="B37" s="21" t="s">
        <v>16</v>
      </c>
      <c r="C37" s="20" t="s">
        <v>15</v>
      </c>
      <c r="D37" s="20" t="s">
        <v>14</v>
      </c>
      <c r="E37" s="20" t="s">
        <v>62</v>
      </c>
      <c r="F37" s="22" t="s">
        <v>13</v>
      </c>
      <c r="G37" s="21"/>
      <c r="H37" s="21" t="s">
        <v>16</v>
      </c>
      <c r="I37" s="20" t="s">
        <v>15</v>
      </c>
      <c r="J37" s="20" t="s">
        <v>14</v>
      </c>
      <c r="K37" s="20" t="s">
        <v>62</v>
      </c>
      <c r="L37" s="19" t="s">
        <v>13</v>
      </c>
    </row>
    <row r="38" spans="2:12" ht="17" customHeight="1">
      <c r="B38" s="14" t="s">
        <v>12</v>
      </c>
      <c r="C38" s="17">
        <v>1E-4</v>
      </c>
      <c r="D38" s="16">
        <v>1776481</v>
      </c>
      <c r="E38" s="9">
        <f t="shared" ref="E38:E46" si="0">D38*C38</f>
        <v>177.6481</v>
      </c>
      <c r="F38" s="12">
        <f t="shared" ref="F38:F47" si="1">E38/D38</f>
        <v>1E-4</v>
      </c>
      <c r="H38" s="1" t="s">
        <v>12</v>
      </c>
      <c r="I38" s="17">
        <v>1E-4</v>
      </c>
      <c r="J38" s="15">
        <v>1776481</v>
      </c>
      <c r="K38" s="9">
        <f t="shared" ref="K38:K46" si="2">J38*I38</f>
        <v>177.6481</v>
      </c>
      <c r="L38" s="45">
        <f t="shared" ref="L38:L45" si="3">IF(J38&gt;0, K38/J38,"-")</f>
        <v>1E-4</v>
      </c>
    </row>
    <row r="39" spans="2:12" ht="17" customHeight="1">
      <c r="B39" s="14" t="s">
        <v>11</v>
      </c>
      <c r="C39" s="17">
        <v>2.0000000000000001E-4</v>
      </c>
      <c r="D39" s="16">
        <v>2001656</v>
      </c>
      <c r="E39" s="9">
        <f t="shared" si="0"/>
        <v>400.33120000000002</v>
      </c>
      <c r="F39" s="12">
        <f t="shared" si="1"/>
        <v>2.0000000000000001E-4</v>
      </c>
      <c r="G39" s="11"/>
      <c r="H39" s="18" t="s">
        <v>11</v>
      </c>
      <c r="I39" s="17">
        <v>2.0000000000000001E-4</v>
      </c>
      <c r="J39" s="15">
        <v>2001656</v>
      </c>
      <c r="K39" s="9">
        <f t="shared" si="2"/>
        <v>400.33120000000002</v>
      </c>
      <c r="L39" s="45">
        <f t="shared" si="3"/>
        <v>2.0000000000000001E-4</v>
      </c>
    </row>
    <row r="40" spans="2:12" ht="17" customHeight="1">
      <c r="B40" s="14" t="s">
        <v>10</v>
      </c>
      <c r="C40" s="17">
        <v>8.9999999999999998E-4</v>
      </c>
      <c r="D40" s="16">
        <v>2244283</v>
      </c>
      <c r="E40" s="9">
        <f t="shared" si="0"/>
        <v>2019.8546999999999</v>
      </c>
      <c r="F40" s="12">
        <f t="shared" si="1"/>
        <v>8.9999999999999998E-4</v>
      </c>
      <c r="G40" s="11"/>
      <c r="H40" s="1" t="s">
        <v>10</v>
      </c>
      <c r="I40" s="17">
        <v>8.9999999999999998E-4</v>
      </c>
      <c r="J40" s="15">
        <v>2244283</v>
      </c>
      <c r="K40" s="9">
        <f t="shared" si="2"/>
        <v>2019.8546999999999</v>
      </c>
      <c r="L40" s="45">
        <f t="shared" si="3"/>
        <v>8.9999999999999998E-4</v>
      </c>
    </row>
    <row r="41" spans="2:12" ht="17" customHeight="1">
      <c r="B41" s="14" t="s">
        <v>8</v>
      </c>
      <c r="C41" s="10">
        <v>1.8E-3</v>
      </c>
      <c r="D41" s="16">
        <v>2143651</v>
      </c>
      <c r="E41" s="9">
        <f t="shared" si="0"/>
        <v>3858.5717999999997</v>
      </c>
      <c r="F41" s="12">
        <f t="shared" si="1"/>
        <v>1.8E-3</v>
      </c>
      <c r="G41" s="131" t="s">
        <v>9</v>
      </c>
      <c r="H41" s="1" t="s">
        <v>8</v>
      </c>
      <c r="I41" s="10">
        <v>1.8E-3</v>
      </c>
      <c r="J41" s="15">
        <v>2143651</v>
      </c>
      <c r="K41" s="9">
        <f t="shared" si="2"/>
        <v>3858.5717999999997</v>
      </c>
      <c r="L41" s="45">
        <f t="shared" si="3"/>
        <v>1.8E-3</v>
      </c>
    </row>
    <row r="42" spans="2:12" ht="17" customHeight="1">
      <c r="B42" s="14" t="s">
        <v>7</v>
      </c>
      <c r="C42" s="10">
        <v>4.0000000000000001E-3</v>
      </c>
      <c r="D42" s="16">
        <v>2206346</v>
      </c>
      <c r="E42" s="9">
        <f t="shared" si="0"/>
        <v>8825.384</v>
      </c>
      <c r="F42" s="12">
        <f t="shared" si="1"/>
        <v>4.0000000000000001E-3</v>
      </c>
      <c r="G42" s="131"/>
      <c r="H42" s="1" t="s">
        <v>7</v>
      </c>
      <c r="I42" s="10">
        <v>4.0000000000000001E-3</v>
      </c>
      <c r="J42" s="15">
        <v>2206346</v>
      </c>
      <c r="K42" s="9">
        <f t="shared" si="2"/>
        <v>8825.384</v>
      </c>
      <c r="L42" s="45">
        <f t="shared" si="3"/>
        <v>4.0000000000000001E-3</v>
      </c>
    </row>
    <row r="43" spans="2:12" ht="17" customHeight="1">
      <c r="B43" s="14" t="s">
        <v>6</v>
      </c>
      <c r="C43" s="10">
        <v>1.2999999999999999E-2</v>
      </c>
      <c r="D43" s="16">
        <v>2531817</v>
      </c>
      <c r="E43" s="9">
        <f t="shared" si="0"/>
        <v>32913.620999999999</v>
      </c>
      <c r="F43" s="12">
        <f t="shared" si="1"/>
        <v>1.2999999999999999E-2</v>
      </c>
      <c r="G43" s="131"/>
      <c r="H43" s="1" t="s">
        <v>6</v>
      </c>
      <c r="I43" s="10">
        <v>1.2999999999999999E-2</v>
      </c>
      <c r="J43" s="15">
        <v>84681</v>
      </c>
      <c r="K43" s="9">
        <f t="shared" si="2"/>
        <v>1100.8529999999998</v>
      </c>
      <c r="L43" s="45">
        <f t="shared" si="3"/>
        <v>1.2999999999999998E-2</v>
      </c>
    </row>
    <row r="44" spans="2:12" ht="17" customHeight="1">
      <c r="B44" s="14" t="s">
        <v>5</v>
      </c>
      <c r="C44" s="10">
        <v>4.5999999999999999E-2</v>
      </c>
      <c r="D44" s="16">
        <v>2114090</v>
      </c>
      <c r="E44" s="9">
        <f t="shared" si="0"/>
        <v>97248.14</v>
      </c>
      <c r="F44" s="12">
        <f t="shared" si="1"/>
        <v>4.5999999999999999E-2</v>
      </c>
      <c r="G44" s="11"/>
      <c r="H44" s="1" t="s">
        <v>5</v>
      </c>
      <c r="I44" s="10">
        <v>4.5999999999999999E-2</v>
      </c>
      <c r="J44" s="15">
        <v>0</v>
      </c>
      <c r="K44" s="9">
        <f t="shared" si="2"/>
        <v>0</v>
      </c>
      <c r="L44" s="45" t="str">
        <f t="shared" si="3"/>
        <v>-</v>
      </c>
    </row>
    <row r="45" spans="2:12" ht="17" customHeight="1">
      <c r="B45" s="14" t="s">
        <v>4</v>
      </c>
      <c r="C45" s="10">
        <v>9.8000000000000004E-2</v>
      </c>
      <c r="D45" s="16">
        <v>1574580</v>
      </c>
      <c r="E45" s="9">
        <f t="shared" si="0"/>
        <v>154308.84</v>
      </c>
      <c r="F45" s="12">
        <f t="shared" si="1"/>
        <v>9.8000000000000004E-2</v>
      </c>
      <c r="G45" s="11"/>
      <c r="H45" s="1" t="s">
        <v>4</v>
      </c>
      <c r="I45" s="10">
        <v>9.8000000000000004E-2</v>
      </c>
      <c r="J45" s="15">
        <v>0</v>
      </c>
      <c r="K45" s="9">
        <f t="shared" si="2"/>
        <v>0</v>
      </c>
      <c r="L45" s="45" t="str">
        <f t="shared" si="3"/>
        <v>-</v>
      </c>
    </row>
    <row r="46" spans="2:12" ht="17" customHeight="1">
      <c r="B46" s="14" t="s">
        <v>3</v>
      </c>
      <c r="C46" s="10">
        <v>0.18</v>
      </c>
      <c r="D46" s="13">
        <f>691995+129700</f>
        <v>821695</v>
      </c>
      <c r="E46" s="9">
        <f t="shared" si="0"/>
        <v>147905.1</v>
      </c>
      <c r="F46" s="12">
        <f t="shared" si="1"/>
        <v>0.18</v>
      </c>
      <c r="G46" s="11"/>
      <c r="H46" s="1" t="s">
        <v>3</v>
      </c>
      <c r="I46" s="10">
        <v>0.18</v>
      </c>
      <c r="J46" s="15">
        <v>0</v>
      </c>
      <c r="K46" s="9">
        <f t="shared" si="2"/>
        <v>0</v>
      </c>
      <c r="L46" s="45" t="str">
        <f>IF(J46&gt;0, K46/J46,"-")</f>
        <v>-</v>
      </c>
    </row>
    <row r="47" spans="2:12" ht="17" customHeight="1">
      <c r="B47" s="7" t="s">
        <v>2</v>
      </c>
      <c r="C47" s="40"/>
      <c r="D47" s="8">
        <f>SUM(D38:D46)</f>
        <v>17414599</v>
      </c>
      <c r="E47" s="6">
        <f>SUM(E38:E46)</f>
        <v>447657.49080000003</v>
      </c>
      <c r="F47" s="5">
        <f t="shared" si="1"/>
        <v>2.5705874180622822E-2</v>
      </c>
      <c r="H47" s="7" t="s">
        <v>2</v>
      </c>
      <c r="I47" s="40"/>
      <c r="J47" s="39">
        <f>SUM(J38:J46)</f>
        <v>10457098</v>
      </c>
      <c r="K47" s="6">
        <f>SUM(K38:K46)</f>
        <v>16382.642799999998</v>
      </c>
      <c r="L47" s="48">
        <f>K47/J47</f>
        <v>1.5666528897405377E-3</v>
      </c>
    </row>
    <row r="48" spans="2:12" ht="17" customHeight="1"/>
    <row r="49" spans="2:3" ht="17" customHeight="1"/>
    <row r="50" spans="2:3" ht="17" customHeight="1">
      <c r="B50" s="23" t="s">
        <v>65</v>
      </c>
    </row>
    <row r="51" spans="2:3" ht="17" customHeight="1">
      <c r="B51" s="1" t="s">
        <v>47</v>
      </c>
    </row>
    <row r="52" spans="2:3" ht="17" customHeight="1"/>
    <row r="53" spans="2:3" ht="17" customHeight="1">
      <c r="B53" s="49">
        <f>L47</f>
        <v>1.5666528897405377E-3</v>
      </c>
      <c r="C53" s="1" t="s">
        <v>1</v>
      </c>
    </row>
    <row r="54" spans="2:3" ht="17" customHeight="1">
      <c r="B54" s="3">
        <f>F47</f>
        <v>2.5705874180622822E-2</v>
      </c>
      <c r="C54" s="1" t="s">
        <v>0</v>
      </c>
    </row>
    <row r="55" spans="2:3" ht="17" customHeight="1">
      <c r="B55" s="2">
        <f>L47/F47</f>
        <v>6.0945326299056038E-2</v>
      </c>
    </row>
    <row r="56" spans="2:3" ht="17" customHeight="1"/>
    <row r="57" spans="2:3" ht="17" customHeight="1">
      <c r="B57" s="1" t="s">
        <v>64</v>
      </c>
    </row>
    <row r="58" spans="2:3" ht="17" customHeight="1">
      <c r="B58" s="1" t="s">
        <v>63</v>
      </c>
    </row>
  </sheetData>
  <sheetProtection sheet="1" objects="1" scenarios="1"/>
  <mergeCells count="1">
    <mergeCell ref="G41:G43"/>
  </mergeCells>
  <phoneticPr fontId="14" type="noConversion"/>
  <conditionalFormatting sqref="J47">
    <cfRule type="cellIs" dxfId="2" priority="7" operator="between">
      <formula>$D$11-0.5</formula>
      <formula>$D$11+0.5</formula>
    </cfRule>
  </conditionalFormatting>
  <conditionalFormatting sqref="D16">
    <cfRule type="cellIs" dxfId="1" priority="8" operator="equal">
      <formula>$B$55</formula>
    </cfRule>
  </conditionalFormatting>
  <conditionalFormatting sqref="D27">
    <cfRule type="cellIs" dxfId="0" priority="2" operator="equal">
      <formula>$L$47</formula>
    </cfRule>
  </conditionalFormatting>
  <hyperlinks>
    <hyperlink ref="G9" r:id="rId1"/>
    <hyperlink ref="G10" r:id="rId2"/>
    <hyperlink ref="G20" r:id="rId3"/>
    <hyperlink ref="G21" r:id="rId4"/>
    <hyperlink ref="P15" r:id="rId5"/>
    <hyperlink ref="L14" r:id="rId6"/>
    <hyperlink ref="C33" r:id="rId7"/>
    <hyperlink ref="C34" r:id="rId8" location="/CBS/nl/dataset/84646NED/table?ts=1584394178496"/>
    <hyperlink ref="M15" r:id="rId9"/>
  </hyperlinks>
  <pageMargins left="0" right="0" top="0.39370078740157483" bottom="0.39370078740157483" header="0" footer="0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EECD7FB-DD99-D544-A62C-FED39A4DBD99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J38:J42 D20:D21 D14:D16 D9:D10</xm:sqref>
        </x14:conditionalFormatting>
        <x14:conditionalFormatting xmlns:xm="http://schemas.microsoft.com/office/excel/2006/main">
          <x14:cfRule type="iconSet" priority="13" id="{A57E04D3-B3C6-F845-B835-4222379C636D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D27</xm:sqref>
        </x14:conditionalFormatting>
        <x14:conditionalFormatting xmlns:xm="http://schemas.microsoft.com/office/excel/2006/main">
          <x14:cfRule type="iconSet" priority="1" id="{DCF96E41-D9C5-B840-BE3D-711AEED74DE6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J43:J46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showRuler="0" workbookViewId="0">
      <selection activeCell="A17" sqref="A17"/>
    </sheetView>
  </sheetViews>
  <sheetFormatPr baseColWidth="10" defaultRowHeight="15" x14ac:dyDescent="0"/>
  <cols>
    <col min="4" max="4" width="13.1640625" customWidth="1"/>
    <col min="5" max="13" width="10.83203125" style="58"/>
    <col min="15" max="15" width="10.83203125" style="59"/>
    <col min="16" max="18" width="10.83203125" style="60"/>
  </cols>
  <sheetData>
    <row r="1" spans="1:21">
      <c r="A1" s="77" t="s">
        <v>118</v>
      </c>
      <c r="L1"/>
      <c r="M1"/>
      <c r="O1"/>
      <c r="P1"/>
      <c r="Q1"/>
      <c r="R1"/>
      <c r="T1" t="s">
        <v>133</v>
      </c>
    </row>
    <row r="2" spans="1:21">
      <c r="A2" s="51" t="s">
        <v>38</v>
      </c>
      <c r="C2" s="51"/>
      <c r="L2"/>
      <c r="M2" s="51"/>
      <c r="O2"/>
      <c r="P2"/>
      <c r="Q2"/>
      <c r="R2"/>
      <c r="T2" s="53" t="s">
        <v>74</v>
      </c>
    </row>
    <row r="3" spans="1:21">
      <c r="A3" s="51" t="s">
        <v>40</v>
      </c>
      <c r="C3" s="51"/>
      <c r="L3"/>
      <c r="M3" s="51"/>
      <c r="O3"/>
      <c r="P3"/>
      <c r="Q3"/>
      <c r="R3"/>
      <c r="T3" s="53"/>
    </row>
    <row r="4" spans="1:21">
      <c r="A4" s="51"/>
      <c r="C4" s="51"/>
      <c r="L4"/>
      <c r="M4" s="51"/>
      <c r="O4"/>
      <c r="P4"/>
      <c r="Q4"/>
      <c r="R4"/>
      <c r="T4" s="53"/>
    </row>
    <row r="5" spans="1:21">
      <c r="A5" s="50" t="s">
        <v>134</v>
      </c>
      <c r="C5" s="51"/>
      <c r="L5" t="s">
        <v>146</v>
      </c>
      <c r="M5"/>
      <c r="O5"/>
      <c r="P5"/>
      <c r="Q5"/>
      <c r="R5"/>
      <c r="T5" s="1" t="s">
        <v>12</v>
      </c>
      <c r="U5" s="80">
        <v>8.3655083655083659E-2</v>
      </c>
    </row>
    <row r="6" spans="1:21">
      <c r="A6" s="50" t="s">
        <v>87</v>
      </c>
      <c r="B6" t="s">
        <v>44</v>
      </c>
      <c r="C6" t="s">
        <v>45</v>
      </c>
      <c r="D6" s="78" t="s">
        <v>138</v>
      </c>
      <c r="E6" s="58" t="s">
        <v>137</v>
      </c>
      <c r="F6" s="58" t="s">
        <v>139</v>
      </c>
      <c r="G6" s="58" t="s">
        <v>86</v>
      </c>
      <c r="H6" s="58" t="s">
        <v>88</v>
      </c>
      <c r="I6" s="58" t="s">
        <v>89</v>
      </c>
      <c r="J6" s="58" t="s">
        <v>90</v>
      </c>
      <c r="L6" s="50" t="s">
        <v>87</v>
      </c>
      <c r="M6" t="s">
        <v>143</v>
      </c>
      <c r="N6" t="s">
        <v>144</v>
      </c>
      <c r="O6" t="s">
        <v>148</v>
      </c>
      <c r="P6"/>
      <c r="Q6"/>
      <c r="R6"/>
      <c r="T6" s="18" t="s">
        <v>11</v>
      </c>
      <c r="U6" s="80">
        <v>0.13320463320463319</v>
      </c>
    </row>
    <row r="7" spans="1:21">
      <c r="A7" s="50" t="s">
        <v>12</v>
      </c>
      <c r="B7">
        <v>0</v>
      </c>
      <c r="C7">
        <v>1</v>
      </c>
      <c r="D7" s="78">
        <f>B7+C7</f>
        <v>1</v>
      </c>
      <c r="E7" s="58">
        <f>B7/D7</f>
        <v>0</v>
      </c>
      <c r="F7" s="58">
        <v>0</v>
      </c>
      <c r="G7" s="58">
        <v>0.97499999999999998</v>
      </c>
      <c r="H7" s="58">
        <f t="shared" ref="H7:H15" si="0">E7-F7</f>
        <v>0</v>
      </c>
      <c r="I7" s="58">
        <f t="shared" ref="I7:I15" si="1">G7-E7</f>
        <v>0.97499999999999998</v>
      </c>
      <c r="J7" s="58">
        <f t="shared" ref="J7:J15" si="2">AVERAGE(F7:G7)</f>
        <v>0.48749999999999999</v>
      </c>
      <c r="L7" s="50" t="s">
        <v>12</v>
      </c>
      <c r="M7">
        <v>21</v>
      </c>
      <c r="N7">
        <v>43668</v>
      </c>
      <c r="O7" s="60">
        <f>M7/N7</f>
        <v>4.8090134652377029E-4</v>
      </c>
      <c r="P7"/>
      <c r="Q7"/>
      <c r="R7"/>
      <c r="T7" s="1" t="s">
        <v>10</v>
      </c>
      <c r="U7" s="80">
        <v>0.5218790218790218</v>
      </c>
    </row>
    <row r="8" spans="1:21">
      <c r="A8" s="50" t="s">
        <v>11</v>
      </c>
      <c r="B8">
        <v>2</v>
      </c>
      <c r="C8">
        <v>3</v>
      </c>
      <c r="D8" s="78">
        <f t="shared" ref="D8:D15" si="3">B8+C8</f>
        <v>5</v>
      </c>
      <c r="E8" s="58">
        <f t="shared" ref="E8:E15" si="4">B8/D8</f>
        <v>0.4</v>
      </c>
      <c r="F8" s="58">
        <v>5.2744949999999999E-2</v>
      </c>
      <c r="G8" s="58">
        <v>0.85336719999999999</v>
      </c>
      <c r="H8" s="58">
        <f t="shared" si="0"/>
        <v>0.34725505000000001</v>
      </c>
      <c r="I8" s="58">
        <f t="shared" si="1"/>
        <v>0.45336719999999997</v>
      </c>
      <c r="J8" s="58">
        <f t="shared" si="2"/>
        <v>0.453056075</v>
      </c>
      <c r="L8" s="50" t="s">
        <v>11</v>
      </c>
      <c r="M8">
        <v>76</v>
      </c>
      <c r="N8">
        <v>44269</v>
      </c>
      <c r="O8" s="60">
        <f t="shared" ref="O8:O16" si="5">M8/N8</f>
        <v>1.7167769771171701E-3</v>
      </c>
      <c r="P8"/>
      <c r="Q8"/>
      <c r="R8"/>
      <c r="T8" s="1" t="s">
        <v>8</v>
      </c>
      <c r="U8" s="80">
        <v>0.90025740025740031</v>
      </c>
    </row>
    <row r="9" spans="1:21">
      <c r="A9" s="50" t="s">
        <v>10</v>
      </c>
      <c r="B9">
        <v>25</v>
      </c>
      <c r="C9">
        <v>3</v>
      </c>
      <c r="D9" s="78">
        <f t="shared" si="3"/>
        <v>28</v>
      </c>
      <c r="E9" s="58">
        <f t="shared" si="4"/>
        <v>0.8928571428571429</v>
      </c>
      <c r="F9" s="58">
        <v>0.71773560000000003</v>
      </c>
      <c r="G9" s="58">
        <v>0.97733490000000001</v>
      </c>
      <c r="H9" s="58">
        <f t="shared" si="0"/>
        <v>0.17512154285714288</v>
      </c>
      <c r="I9" s="58">
        <f t="shared" si="1"/>
        <v>8.4477757142857102E-2</v>
      </c>
      <c r="J9" s="58">
        <f t="shared" si="2"/>
        <v>0.84753524999999996</v>
      </c>
      <c r="L9" s="50" t="s">
        <v>10</v>
      </c>
      <c r="M9">
        <v>158</v>
      </c>
      <c r="N9">
        <v>48238</v>
      </c>
      <c r="O9" s="60">
        <f t="shared" si="5"/>
        <v>3.2754260126870932E-3</v>
      </c>
      <c r="P9"/>
      <c r="Q9"/>
      <c r="R9"/>
      <c r="T9" s="1" t="s">
        <v>7</v>
      </c>
      <c r="U9" s="80">
        <v>0.85842985842985842</v>
      </c>
    </row>
    <row r="10" spans="1:21">
      <c r="A10" s="50" t="s">
        <v>8</v>
      </c>
      <c r="B10">
        <v>27</v>
      </c>
      <c r="C10">
        <v>7</v>
      </c>
      <c r="D10" s="78">
        <f t="shared" si="3"/>
        <v>34</v>
      </c>
      <c r="E10" s="58">
        <f t="shared" si="4"/>
        <v>0.79411764705882348</v>
      </c>
      <c r="F10" s="58">
        <v>0.62102230000000003</v>
      </c>
      <c r="G10" s="58">
        <v>0.91297870000000003</v>
      </c>
      <c r="H10" s="58">
        <f t="shared" si="0"/>
        <v>0.17309534705882346</v>
      </c>
      <c r="I10" s="58">
        <f t="shared" si="1"/>
        <v>0.11886105294117655</v>
      </c>
      <c r="J10" s="58">
        <f t="shared" si="2"/>
        <v>0.76700049999999997</v>
      </c>
      <c r="L10" s="50" t="s">
        <v>8</v>
      </c>
      <c r="M10">
        <v>171</v>
      </c>
      <c r="N10">
        <v>46464</v>
      </c>
      <c r="O10" s="60">
        <f t="shared" si="5"/>
        <v>3.6802685950413222E-3</v>
      </c>
      <c r="P10"/>
      <c r="Q10"/>
      <c r="R10"/>
      <c r="T10" s="1" t="s">
        <v>6</v>
      </c>
      <c r="U10" s="80">
        <v>1</v>
      </c>
    </row>
    <row r="11" spans="1:21">
      <c r="A11" s="50" t="s">
        <v>7</v>
      </c>
      <c r="B11">
        <v>19</v>
      </c>
      <c r="C11">
        <v>8</v>
      </c>
      <c r="D11" s="78">
        <f t="shared" si="3"/>
        <v>27</v>
      </c>
      <c r="E11" s="58">
        <f t="shared" si="4"/>
        <v>0.70370370370370372</v>
      </c>
      <c r="F11" s="58">
        <v>0.49818630000000003</v>
      </c>
      <c r="G11" s="58">
        <v>0.86247339999999995</v>
      </c>
      <c r="H11" s="58">
        <f t="shared" si="0"/>
        <v>0.20551740370370369</v>
      </c>
      <c r="I11" s="58">
        <f t="shared" si="1"/>
        <v>0.15876969629629623</v>
      </c>
      <c r="J11" s="58">
        <f t="shared" si="2"/>
        <v>0.68032985000000001</v>
      </c>
      <c r="L11" s="50" t="s">
        <v>7</v>
      </c>
      <c r="M11">
        <v>226</v>
      </c>
      <c r="N11">
        <v>42622</v>
      </c>
      <c r="O11" s="60">
        <f t="shared" si="5"/>
        <v>5.3024259771948757E-3</v>
      </c>
      <c r="P11"/>
      <c r="Q11"/>
      <c r="R11"/>
      <c r="T11" s="1" t="s">
        <v>5</v>
      </c>
      <c r="U11" s="80">
        <v>0.48970398970398971</v>
      </c>
    </row>
    <row r="12" spans="1:21">
      <c r="A12" s="50" t="s">
        <v>6</v>
      </c>
      <c r="B12">
        <v>28</v>
      </c>
      <c r="C12">
        <v>31</v>
      </c>
      <c r="D12" s="78">
        <f t="shared" si="3"/>
        <v>59</v>
      </c>
      <c r="E12" s="58">
        <f t="shared" si="4"/>
        <v>0.47457627118644069</v>
      </c>
      <c r="F12" s="58">
        <v>0.3429836</v>
      </c>
      <c r="G12" s="58">
        <v>0.60880710000000005</v>
      </c>
      <c r="H12" s="58">
        <f t="shared" si="0"/>
        <v>0.13159267118644069</v>
      </c>
      <c r="I12" s="58">
        <f t="shared" si="1"/>
        <v>0.13423082881355936</v>
      </c>
      <c r="J12" s="58">
        <f t="shared" si="2"/>
        <v>0.47589535000000005</v>
      </c>
      <c r="L12" s="50" t="s">
        <v>6</v>
      </c>
      <c r="M12">
        <v>190</v>
      </c>
      <c r="N12">
        <v>42276</v>
      </c>
      <c r="O12" s="60">
        <f t="shared" si="5"/>
        <v>4.4942757119878895E-3</v>
      </c>
      <c r="P12"/>
      <c r="Q12"/>
      <c r="R12"/>
      <c r="T12" s="1" t="s">
        <v>4</v>
      </c>
      <c r="U12" s="80">
        <v>0.40604890604890603</v>
      </c>
    </row>
    <row r="13" spans="1:21">
      <c r="A13" s="50" t="s">
        <v>5</v>
      </c>
      <c r="B13">
        <v>76</v>
      </c>
      <c r="C13">
        <v>101</v>
      </c>
      <c r="D13" s="78">
        <f t="shared" si="3"/>
        <v>177</v>
      </c>
      <c r="E13" s="58">
        <f t="shared" si="4"/>
        <v>0.42937853107344631</v>
      </c>
      <c r="F13" s="58">
        <v>0.35537190000000002</v>
      </c>
      <c r="G13" s="58">
        <v>0.50579090000000004</v>
      </c>
      <c r="H13" s="58">
        <f t="shared" si="0"/>
        <v>7.4006631073446294E-2</v>
      </c>
      <c r="I13" s="58">
        <f t="shared" si="1"/>
        <v>7.6412368926553731E-2</v>
      </c>
      <c r="J13" s="58">
        <f t="shared" si="2"/>
        <v>0.4305814</v>
      </c>
      <c r="L13" s="50" t="s">
        <v>5</v>
      </c>
      <c r="M13">
        <v>131</v>
      </c>
      <c r="N13">
        <v>36635</v>
      </c>
      <c r="O13" s="60">
        <f t="shared" si="5"/>
        <v>3.575815477002866E-3</v>
      </c>
      <c r="P13"/>
      <c r="Q13"/>
      <c r="R13"/>
      <c r="T13" s="1" t="s">
        <v>3</v>
      </c>
      <c r="U13" s="96">
        <v>0.16795366795366795</v>
      </c>
    </row>
    <row r="14" spans="1:21">
      <c r="A14" s="50" t="s">
        <v>4</v>
      </c>
      <c r="B14">
        <v>95</v>
      </c>
      <c r="C14">
        <v>139</v>
      </c>
      <c r="D14" s="78">
        <f t="shared" si="3"/>
        <v>234</v>
      </c>
      <c r="E14" s="58">
        <f t="shared" si="4"/>
        <v>0.40598290598290598</v>
      </c>
      <c r="F14" s="58">
        <v>0.34247650000000002</v>
      </c>
      <c r="G14" s="58">
        <v>0.47190280000000001</v>
      </c>
      <c r="H14" s="58">
        <f t="shared" si="0"/>
        <v>6.3506405982905967E-2</v>
      </c>
      <c r="I14" s="58">
        <f t="shared" si="1"/>
        <v>6.5919894017094027E-2</v>
      </c>
      <c r="J14" s="58">
        <f t="shared" si="2"/>
        <v>0.40718965000000001</v>
      </c>
      <c r="L14" s="50" t="s">
        <v>4</v>
      </c>
      <c r="M14">
        <v>37</v>
      </c>
      <c r="N14">
        <v>22223</v>
      </c>
      <c r="O14" s="60">
        <f t="shared" si="5"/>
        <v>1.6649417270395536E-3</v>
      </c>
      <c r="P14"/>
      <c r="Q14"/>
      <c r="R14"/>
    </row>
    <row r="15" spans="1:21">
      <c r="A15" s="50" t="s">
        <v>3</v>
      </c>
      <c r="B15">
        <v>29</v>
      </c>
      <c r="C15">
        <v>25</v>
      </c>
      <c r="D15" s="78">
        <f t="shared" si="3"/>
        <v>54</v>
      </c>
      <c r="E15" s="58">
        <f t="shared" si="4"/>
        <v>0.53703703703703709</v>
      </c>
      <c r="F15" s="58">
        <v>0.39609499999999997</v>
      </c>
      <c r="G15" s="58">
        <v>0.67377540000000002</v>
      </c>
      <c r="H15" s="58">
        <f t="shared" si="0"/>
        <v>0.14094203703703712</v>
      </c>
      <c r="I15" s="58">
        <f t="shared" si="1"/>
        <v>0.13673836296296293</v>
      </c>
      <c r="J15" s="58">
        <f t="shared" si="2"/>
        <v>0.53493520000000006</v>
      </c>
      <c r="L15" s="50" t="s">
        <v>145</v>
      </c>
      <c r="M15">
        <v>4</v>
      </c>
      <c r="N15">
        <v>10258</v>
      </c>
      <c r="O15" s="60">
        <f t="shared" si="5"/>
        <v>3.8993955936829789E-4</v>
      </c>
      <c r="P15"/>
      <c r="Q15"/>
      <c r="R15"/>
    </row>
    <row r="16" spans="1:21">
      <c r="A16" s="50"/>
      <c r="L16" s="50" t="s">
        <v>147</v>
      </c>
      <c r="M16">
        <v>6</v>
      </c>
      <c r="N16">
        <v>2384</v>
      </c>
      <c r="O16" s="60">
        <f t="shared" si="5"/>
        <v>2.5167785234899327E-3</v>
      </c>
      <c r="P16"/>
      <c r="Q16"/>
      <c r="R16"/>
    </row>
    <row r="17" customFormat="1"/>
    <row r="18" customFormat="1"/>
    <row r="19" customFormat="1"/>
  </sheetData>
  <hyperlinks>
    <hyperlink ref="A2" r:id="rId1"/>
    <hyperlink ref="T2" r:id="rId2"/>
    <hyperlink ref="A3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COVID.calc.groepsimmuniteit (3)</vt:lpstr>
      <vt:lpstr>COVID prognose methode 2</vt:lpstr>
      <vt:lpstr>COVID prognose methode 1</vt:lpstr>
      <vt:lpstr>Diamond Princess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Caspar Verhey</dc:creator>
  <cp:keywords/>
  <dc:description/>
  <cp:lastModifiedBy>Caspar Verhey</cp:lastModifiedBy>
  <cp:lastPrinted>2020-03-19T17:01:34Z</cp:lastPrinted>
  <dcterms:created xsi:type="dcterms:W3CDTF">2020-03-17T21:22:13Z</dcterms:created>
  <dcterms:modified xsi:type="dcterms:W3CDTF">2020-04-01T21:52:17Z</dcterms:modified>
  <cp:category/>
</cp:coreProperties>
</file>