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80" yWindow="7720" windowWidth="25600" windowHeight="1456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G52" i="5"/>
  <c r="G10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F66" i="5"/>
  <c r="E66" i="5"/>
  <c r="G66" i="5"/>
  <c r="D30" i="5"/>
  <c r="J43" i="5"/>
  <c r="J44" i="5"/>
  <c r="J45" i="5"/>
  <c r="J46" i="5"/>
  <c r="J47" i="5"/>
  <c r="J48" i="5"/>
  <c r="J49" i="5"/>
  <c r="J50" i="5"/>
  <c r="J51" i="5"/>
  <c r="J52" i="5"/>
  <c r="D23" i="5"/>
  <c r="I43" i="5"/>
  <c r="I44" i="5"/>
  <c r="I45" i="5"/>
  <c r="I46" i="5"/>
  <c r="I47" i="5"/>
  <c r="I48" i="5"/>
  <c r="I49" i="5"/>
  <c r="I50" i="5"/>
  <c r="I51" i="5"/>
  <c r="I52" i="5"/>
  <c r="L52" i="5"/>
  <c r="D14" i="5"/>
  <c r="M52" i="5"/>
  <c r="D19" i="5"/>
  <c r="H43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K43" i="5"/>
  <c r="L44" i="5"/>
  <c r="L45" i="5"/>
  <c r="L46" i="5"/>
  <c r="L47" i="5"/>
  <c r="L49" i="5"/>
  <c r="L50" i="5"/>
  <c r="L51" i="5"/>
  <c r="L43" i="5"/>
  <c r="M46" i="5"/>
  <c r="M47" i="5"/>
  <c r="M49" i="5"/>
  <c r="M50" i="5"/>
  <c r="M51" i="5"/>
  <c r="M44" i="5"/>
  <c r="M45" i="5"/>
  <c r="M43" i="5"/>
  <c r="F51" i="5"/>
  <c r="F43" i="5"/>
  <c r="F52" i="5"/>
  <c r="Y45" i="6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7" i="5"/>
  <c r="G58" i="5"/>
  <c r="G59" i="5"/>
  <c r="G60" i="5"/>
  <c r="G61" i="5"/>
  <c r="G63" i="5"/>
  <c r="G64" i="5"/>
  <c r="G65" i="5"/>
  <c r="D65" i="5"/>
  <c r="D66" i="5"/>
  <c r="D6" i="4"/>
  <c r="D7" i="4"/>
  <c r="D8" i="4"/>
  <c r="D9" i="4"/>
  <c r="D10" i="4"/>
  <c r="D11" i="4"/>
  <c r="D12" i="4"/>
  <c r="D13" i="4"/>
  <c r="D5" i="4"/>
  <c r="K36" i="2"/>
  <c r="K37" i="2"/>
  <c r="K38" i="2"/>
  <c r="K39" i="2"/>
  <c r="K40" i="2"/>
  <c r="K41" i="2"/>
  <c r="K42" i="2"/>
  <c r="K43" i="2"/>
  <c r="K44" i="2"/>
  <c r="K45" i="2"/>
  <c r="J45" i="2"/>
  <c r="L45" i="2"/>
  <c r="E36" i="2"/>
  <c r="E37" i="2"/>
  <c r="E38" i="2"/>
  <c r="E39" i="2"/>
  <c r="E40" i="2"/>
  <c r="E41" i="2"/>
  <c r="E42" i="2"/>
  <c r="E43" i="2"/>
  <c r="D44" i="2"/>
  <c r="E44" i="2"/>
  <c r="E45" i="2"/>
  <c r="D45" i="2"/>
  <c r="F45" i="2"/>
  <c r="B53" i="2"/>
  <c r="D14" i="2"/>
  <c r="D25" i="2"/>
  <c r="J13" i="4"/>
  <c r="J5" i="4"/>
  <c r="D9" i="2"/>
  <c r="D11" i="2"/>
  <c r="D15" i="2"/>
  <c r="D17" i="2"/>
  <c r="D20" i="2"/>
  <c r="J6" i="4"/>
  <c r="J7" i="4"/>
  <c r="J8" i="4"/>
  <c r="J9" i="4"/>
  <c r="J10" i="4"/>
  <c r="J11" i="4"/>
  <c r="J12" i="4"/>
  <c r="E6" i="4"/>
  <c r="H6" i="4"/>
  <c r="I6" i="4"/>
  <c r="E7" i="4"/>
  <c r="H7" i="4"/>
  <c r="I7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5" i="4"/>
  <c r="I5" i="4"/>
  <c r="H5" i="4"/>
  <c r="L36" i="2"/>
  <c r="L37" i="2"/>
  <c r="L38" i="2"/>
  <c r="L39" i="2"/>
  <c r="L40" i="2"/>
  <c r="L41" i="2"/>
  <c r="L42" i="2"/>
  <c r="L43" i="2"/>
  <c r="L44" i="2"/>
  <c r="D23" i="2"/>
  <c r="D24" i="2"/>
  <c r="D26" i="2"/>
  <c r="F36" i="2"/>
  <c r="F37" i="2"/>
  <c r="F38" i="2"/>
  <c r="F39" i="2"/>
  <c r="F40" i="2"/>
  <c r="F41" i="2"/>
  <c r="F42" i="2"/>
  <c r="F43" i="2"/>
  <c r="F44" i="2"/>
  <c r="B51" i="2"/>
  <c r="B52" i="2"/>
  <c r="D18" i="5"/>
  <c r="D20" i="5"/>
  <c r="D13" i="5"/>
  <c r="D15" i="5"/>
  <c r="H48" i="5"/>
  <c r="H52" i="5"/>
  <c r="K52" i="5"/>
  <c r="K48" i="5"/>
  <c r="L48" i="5"/>
  <c r="M48" i="5"/>
  <c r="D26" i="5"/>
  <c r="D29" i="5"/>
  <c r="D31" i="5"/>
  <c r="G62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<sst xmlns="http://schemas.openxmlformats.org/spreadsheetml/2006/main" count="375" uniqueCount="135">
  <si>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</si>
  <si>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</si>
  <si>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</si>
  <si>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</si>
  <si>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</si>
  <si>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</si>
  <si>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</si>
  <si>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</si>
  <si>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</si>
  <si>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</si>
  <si>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</si>
  <si>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</si>
  <si>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</si>
  <si>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</si>
  <si>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</si>
  <si>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</si>
  <si>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</si>
  <si>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</si>
  <si>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</si>
  <si>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</si>
  <si>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</si>
  <si>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</si>
  <si>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</si>
  <si>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</si>
  <si>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</si>
  <si>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</si>
  <si>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</si>
  <si>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</si>
  <si>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</si>
  <si>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</si>
  <si>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</si>
  <si>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</si>
  <si>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</si>
  <si>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</si>
  <si>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</si>
  <si>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</si>
  <si>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</si>
  <si>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</si>
  <si>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</si>
  <si>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</si>
  <si>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</si>
  <si>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</si>
  <si>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</si>
  <si>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</si>
  <si>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</si>
  <si>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</si>
  <si>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</si>
  <si>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</si>
  <si>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</si>
  <si>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</si>
  <si>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</si>
  <si>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</si>
  <si>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</si>
  <si>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</si>
  <si>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</si>
  <si>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</si>
  <si>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</si>
  <si>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</si>
  <si>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</si>
  <si>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</si>
  <si>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</si>
  <si>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</si>
  <si>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</si>
  <si>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</si>
  <si>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</si>
  <si>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</si>
  <si>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</si>
  <si>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</si>
  <si>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</si>
  <si>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</si>
  <si>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</si>
  <si>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</si>
  <si>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</si>
  <si>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</si>
  <si>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</si>
  <si>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</si>
  <si>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</si>
  <si>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</si>
  <si>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</si>
  <si>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</si>
  <si>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</si>
  <si>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</si>
  <si>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</si>
  <si>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</si>
  <si>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</si>
  <si>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</si>
  <si>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low</t>
  </si>
  <si>
    <t>95%CI high</t>
  </si>
  <si>
    <t>age group</t>
  </si>
  <si>
    <t>sum = infected</t>
  </si>
  <si>
    <t>error bar low</t>
  </si>
  <si>
    <t>error bar high</t>
  </si>
  <si>
    <t>95% CI middle</t>
  </si>
  <si>
    <t>Figure 3 C in Verity et al. (Imp. College)</t>
  </si>
  <si>
    <t>Table 1 in Ferguson et al. (Imp. College)</t>
  </si>
  <si>
    <t>besmettingen</t>
  </si>
  <si>
    <t>inwoners NL</t>
  </si>
  <si>
    <t>CAF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</si>
  <si>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</si>
  <si>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</si>
  <si>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</si>
  <si>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</si>
  <si>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</si>
  <si>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</si>
  <si>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</si>
  <si>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</si>
  <si>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</si>
  <si>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</si>
  <si>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</si>
  <si>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</si>
  <si>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</si>
  <si>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</si>
  <si>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</si>
  <si>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</si>
  <si>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</si>
  <si>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</si>
  <si>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</si>
  <si>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</si>
  <si>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</si>
  <si>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</si>
  <si>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</si>
  <si>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</si>
  <si>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</si>
  <si>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</si>
  <si>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</si>
  <si>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CAF, opname- en IC-kansen:</t>
  </si>
  <si>
    <t>https://nos.nl/artikel/2327537-171-coronapatienten-op-de-intensive-care-ziekenhuizen-stralen-rust-uit.html</t>
  </si>
  <si>
    <t>cel D10</t>
  </si>
  <si>
    <t>cel L52</t>
  </si>
  <si>
    <t>cel M52</t>
  </si>
  <si>
    <t>cel J52</t>
  </si>
  <si>
    <t>cel G66</t>
  </si>
  <si>
    <t>IFR gekozen populatie</t>
  </si>
  <si>
    <t>Kies de besmette populatie in cel G43:G51</t>
  </si>
  <si>
    <t>ascertainment rate in studie IC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</si>
</sst>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%"/>
    <numFmt numFmtId="166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2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5" xfId="0" applyNumberFormat="1" applyFont="1" applyBorder="1"/>
    <xf numFmtId="165" fontId="5" fillId="4" borderId="6" xfId="0" applyNumberFormat="1" applyFont="1" applyFill="1" applyBorder="1" applyProtection="1">
      <protection locked="0"/>
    </xf>
    <xf numFmtId="165" fontId="5" fillId="0" borderId="5" xfId="0" applyNumberFormat="1" applyFont="1" applyBorder="1"/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4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4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5" fontId="2" fillId="0" borderId="0" xfId="0" applyNumberFormat="1" applyFont="1" applyBorder="1"/>
    <xf numFmtId="165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6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  <xf numFmtId="43" fontId="15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</cellXfs>
  <cellStyles count="123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Princess'!$I$5:$I$13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Princess'!$H$5:$H$13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Princess'!$A$5:$A$13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Princess'!$E$5:$E$13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'Diamond Princess'!$J$4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trendlineType val="poly"/>
            <c:order val="3"/>
            <c:intercept val="0.0"/>
            <c:dispRSqr val="1"/>
            <c:dispEq val="1"/>
            <c:trendlineLbl>
              <c:layout>
                <c:manualLayout>
                  <c:x val="0.059249343832021"/>
                  <c:y val="-0.383882327209099"/>
                </c:manualLayout>
              </c:layout>
              <c:numFmt formatCode="General" sourceLinked="0"/>
              <c:txPr>
                <a:bodyPr/>
                <a:lstStyle/>
                <a:p>
                  <a:pPr algn="r">
                    <a:defRPr/>
                  </a:pPr>
                  <a:endParaRPr lang="en-US"/>
                </a:p>
              </c:txPr>
            </c:trendlineLbl>
          </c:trendline>
          <c:val>
            <c:numRef>
              <c:f>'Diamond Princess'!$J$5:$J$13</c:f>
              <c:numCache>
                <c:formatCode>0.00</c:formatCode>
                <c:ptCount val="9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30632"/>
        <c:axId val="2069771000"/>
      </c:lineChart>
      <c:catAx>
        <c:axId val="20642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771000"/>
        <c:crosses val="autoZero"/>
        <c:auto val="1"/>
        <c:lblAlgn val="ctr"/>
        <c:lblOffset val="100"/>
        <c:noMultiLvlLbl val="0"/>
      </c:catAx>
      <c:valAx>
        <c:axId val="206977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423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13</xdr:row>
      <xdr:rowOff>63500</xdr:rowOff>
    </xdr:from>
    <xdr:to>
      <xdr:col>9</xdr:col>
      <xdr:colOff>812800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7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1">
        <v>2.0000000000000002E-5</v>
      </c>
      <c r="D36" s="16">
        <v>1776481</v>
      </c>
      <c r="E36" s="9">
        <f t="shared" ref="E36:E44" si="0">D36*C36</f>
        <v>35.529620000000001</v>
      </c>
      <c r="F36" s="12">
        <f t="shared" ref="F36:F45" si="1">E36/D36</f>
        <v>2.0000000000000002E-5</v>
      </c>
      <c r="H36" s="14" t="s">
        <v>12</v>
      </c>
      <c r="I36" s="61">
        <v>2.0000000000000002E-5</v>
      </c>
      <c r="J36" s="69">
        <v>1776481</v>
      </c>
      <c r="K36" s="9">
        <f t="shared" ref="K36:K44" si="2">J36*I36</f>
        <v>35.529620000000001</v>
      </c>
      <c r="L36" s="45">
        <f t="shared" ref="L36:L44" si="3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6" t="s">
        <v>83</v>
      </c>
    </row>
    <row r="37" spans="2:28" ht="17" customHeight="1">
      <c r="B37" s="14" t="s">
        <v>11</v>
      </c>
      <c r="C37" s="61">
        <v>6.0000000000000002E-5</v>
      </c>
      <c r="D37" s="16">
        <v>2001656</v>
      </c>
      <c r="E37" s="9">
        <f t="shared" si="0"/>
        <v>120.09936</v>
      </c>
      <c r="F37" s="12">
        <f t="shared" si="1"/>
        <v>6.0000000000000002E-5</v>
      </c>
      <c r="H37" s="14" t="s">
        <v>11</v>
      </c>
      <c r="I37" s="61">
        <v>6.0000000000000002E-5</v>
      </c>
      <c r="J37" s="69">
        <v>2001656</v>
      </c>
      <c r="K37" s="9">
        <f t="shared" si="2"/>
        <v>120.09936</v>
      </c>
      <c r="L37" s="45">
        <f t="shared" si="3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4">S37*0.6</f>
        <v>1200993.5999999999</v>
      </c>
      <c r="U37" s="1">
        <f t="shared" ref="U37:U44" si="5">T37*R37</f>
        <v>72.059615999999991</v>
      </c>
      <c r="W37" s="14" t="s">
        <v>12</v>
      </c>
      <c r="X37" s="61">
        <v>2.0000000000000002E-5</v>
      </c>
      <c r="Y37" s="16">
        <v>1776481</v>
      </c>
      <c r="Z37" s="74">
        <f>Y37*0.5</f>
        <v>888240.5</v>
      </c>
      <c r="AA37" s="9">
        <f t="shared" ref="AA37:AA45" si="6">Z37*X37</f>
        <v>17.764810000000001</v>
      </c>
      <c r="AB37" s="12">
        <f t="shared" ref="AB37:AB46" si="7"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 t="shared" si="0"/>
        <v>673.28489999999999</v>
      </c>
      <c r="F38" s="12">
        <f t="shared" si="1"/>
        <v>2.9999999999999997E-4</v>
      </c>
      <c r="H38" s="14" t="s">
        <v>10</v>
      </c>
      <c r="I38" s="17">
        <v>2.9999999999999997E-4</v>
      </c>
      <c r="J38" s="69">
        <v>2244283</v>
      </c>
      <c r="K38" s="9">
        <f t="shared" si="2"/>
        <v>673.28489999999999</v>
      </c>
      <c r="L38" s="45">
        <f t="shared" si="3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4"/>
        <v>1346569.8</v>
      </c>
      <c r="U38" s="1">
        <f t="shared" si="5"/>
        <v>403.97093999999998</v>
      </c>
      <c r="W38" s="14" t="s">
        <v>11</v>
      </c>
      <c r="X38" s="61">
        <v>6.0000000000000002E-5</v>
      </c>
      <c r="Y38" s="16">
        <v>2001656</v>
      </c>
      <c r="Z38" s="74">
        <f t="shared" ref="Z38:Z45" si="8">Y38*0.5</f>
        <v>1000828</v>
      </c>
      <c r="AA38" s="9">
        <f t="shared" si="6"/>
        <v>60.049680000000002</v>
      </c>
      <c r="AB38" s="12">
        <f t="shared" si="7"/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 t="shared" si="0"/>
        <v>1714.9208000000001</v>
      </c>
      <c r="F39" s="12">
        <f t="shared" si="1"/>
        <v>8.0000000000000004E-4</v>
      </c>
      <c r="G39" s="126" t="s">
        <v>73</v>
      </c>
      <c r="H39" s="14" t="s">
        <v>8</v>
      </c>
      <c r="I39" s="10">
        <v>8.0000000000000004E-4</v>
      </c>
      <c r="J39" s="69">
        <v>2143651</v>
      </c>
      <c r="K39" s="9">
        <f t="shared" si="2"/>
        <v>1714.9208000000001</v>
      </c>
      <c r="L39" s="45">
        <f t="shared" si="3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4"/>
        <v>1286190.5999999999</v>
      </c>
      <c r="U39" s="1">
        <f t="shared" si="5"/>
        <v>1028.9524799999999</v>
      </c>
      <c r="W39" s="14" t="s">
        <v>10</v>
      </c>
      <c r="X39" s="17">
        <v>2.9999999999999997E-4</v>
      </c>
      <c r="Y39" s="16">
        <v>2244283</v>
      </c>
      <c r="Z39" s="74">
        <f t="shared" si="8"/>
        <v>1122141.5</v>
      </c>
      <c r="AA39" s="9">
        <f t="shared" si="6"/>
        <v>336.64245</v>
      </c>
      <c r="AB39" s="12">
        <f t="shared" si="7"/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 t="shared" si="0"/>
        <v>3309.5190000000002</v>
      </c>
      <c r="F40" s="12">
        <f t="shared" si="1"/>
        <v>1.5E-3</v>
      </c>
      <c r="G40" s="126"/>
      <c r="H40" s="14" t="s">
        <v>7</v>
      </c>
      <c r="I40" s="10">
        <v>1.5E-3</v>
      </c>
      <c r="J40" s="69">
        <v>2206346</v>
      </c>
      <c r="K40" s="9">
        <f t="shared" si="2"/>
        <v>3309.5190000000002</v>
      </c>
      <c r="L40" s="45">
        <f t="shared" si="3"/>
        <v>1.5E-3</v>
      </c>
      <c r="Q40" s="1" t="s">
        <v>7</v>
      </c>
      <c r="R40" s="1">
        <v>1.5E-3</v>
      </c>
      <c r="S40" s="1">
        <v>2206346</v>
      </c>
      <c r="T40" s="1">
        <f t="shared" si="4"/>
        <v>1323807.5999999999</v>
      </c>
      <c r="U40" s="1">
        <f t="shared" si="5"/>
        <v>1985.7113999999999</v>
      </c>
      <c r="W40" s="14" t="s">
        <v>8</v>
      </c>
      <c r="X40" s="10">
        <v>8.0000000000000004E-4</v>
      </c>
      <c r="Y40" s="16">
        <v>2143651</v>
      </c>
      <c r="Z40" s="74">
        <f t="shared" si="8"/>
        <v>1071825.5</v>
      </c>
      <c r="AA40" s="9">
        <f t="shared" si="6"/>
        <v>857.46040000000005</v>
      </c>
      <c r="AB40" s="12">
        <f t="shared" si="7"/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 t="shared" si="0"/>
        <v>15190.902</v>
      </c>
      <c r="F41" s="12">
        <f t="shared" si="1"/>
        <v>6.0000000000000001E-3</v>
      </c>
      <c r="G41" s="126"/>
      <c r="H41" s="14" t="s">
        <v>6</v>
      </c>
      <c r="I41" s="10">
        <v>6.0000000000000001E-3</v>
      </c>
      <c r="J41" s="69">
        <f>D9-10372417</f>
        <v>84680.599999999627</v>
      </c>
      <c r="K41" s="9">
        <f t="shared" si="2"/>
        <v>508.08359999999777</v>
      </c>
      <c r="L41" s="45">
        <f t="shared" si="3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4"/>
        <v>1519090.2</v>
      </c>
      <c r="U41" s="1">
        <f t="shared" si="5"/>
        <v>9114.5411999999997</v>
      </c>
      <c r="W41" s="14" t="s">
        <v>7</v>
      </c>
      <c r="X41" s="10">
        <v>1.5E-3</v>
      </c>
      <c r="Y41" s="16">
        <v>2206346</v>
      </c>
      <c r="Z41" s="74">
        <f t="shared" si="8"/>
        <v>1103173</v>
      </c>
      <c r="AA41" s="9">
        <f t="shared" si="6"/>
        <v>1654.7595000000001</v>
      </c>
      <c r="AB41" s="12">
        <f t="shared" si="7"/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 t="shared" si="0"/>
        <v>46509.979999999996</v>
      </c>
      <c r="F42" s="12">
        <f t="shared" si="1"/>
        <v>2.1999999999999999E-2</v>
      </c>
      <c r="H42" s="14" t="s">
        <v>5</v>
      </c>
      <c r="I42" s="10">
        <v>2.1999999999999999E-2</v>
      </c>
      <c r="J42" s="69">
        <v>0</v>
      </c>
      <c r="K42" s="9">
        <f t="shared" si="2"/>
        <v>0</v>
      </c>
      <c r="L42" s="45" t="str">
        <f t="shared" si="3"/>
        <v>-</v>
      </c>
      <c r="Q42" s="1" t="s">
        <v>5</v>
      </c>
      <c r="R42" s="1">
        <v>2.1999999999999999E-2</v>
      </c>
      <c r="S42" s="1">
        <v>2114090</v>
      </c>
      <c r="T42" s="1">
        <f t="shared" si="4"/>
        <v>1268454</v>
      </c>
      <c r="U42" s="1">
        <f t="shared" si="5"/>
        <v>27905.987999999998</v>
      </c>
      <c r="W42" s="14" t="s">
        <v>6</v>
      </c>
      <c r="X42" s="10">
        <v>6.0000000000000001E-3</v>
      </c>
      <c r="Y42" s="16">
        <v>2531817</v>
      </c>
      <c r="Z42" s="74">
        <f t="shared" si="8"/>
        <v>1265908.5</v>
      </c>
      <c r="AA42" s="9">
        <f t="shared" si="6"/>
        <v>7595.451</v>
      </c>
      <c r="AB42" s="12">
        <f t="shared" si="7"/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 t="shared" si="0"/>
        <v>80303.58</v>
      </c>
      <c r="F43" s="12">
        <f t="shared" si="1"/>
        <v>5.1000000000000004E-2</v>
      </c>
      <c r="H43" s="14" t="s">
        <v>4</v>
      </c>
      <c r="I43" s="10">
        <v>5.0999999999999997E-2</v>
      </c>
      <c r="J43" s="69">
        <v>0</v>
      </c>
      <c r="K43" s="9">
        <f t="shared" si="2"/>
        <v>0</v>
      </c>
      <c r="L43" s="45" t="str">
        <f t="shared" si="3"/>
        <v>-</v>
      </c>
      <c r="Q43" s="1" t="s">
        <v>4</v>
      </c>
      <c r="R43" s="1">
        <v>5.0999999999999997E-2</v>
      </c>
      <c r="S43" s="1">
        <v>1574580</v>
      </c>
      <c r="T43" s="1">
        <f t="shared" si="4"/>
        <v>944748</v>
      </c>
      <c r="U43" s="1">
        <f t="shared" si="5"/>
        <v>48182.147999999994</v>
      </c>
      <c r="W43" s="14" t="s">
        <v>5</v>
      </c>
      <c r="X43" s="10">
        <v>2.1999999999999999E-2</v>
      </c>
      <c r="Y43" s="16">
        <v>2114090</v>
      </c>
      <c r="Z43" s="74">
        <f t="shared" si="8"/>
        <v>1057045</v>
      </c>
      <c r="AA43" s="9">
        <f t="shared" si="6"/>
        <v>23254.989999999998</v>
      </c>
      <c r="AB43" s="12">
        <f t="shared" si="7"/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 t="shared" si="0"/>
        <v>76417.634999999995</v>
      </c>
      <c r="F44" s="12">
        <f t="shared" si="1"/>
        <v>9.2999999999999999E-2</v>
      </c>
      <c r="H44" s="14" t="s">
        <v>3</v>
      </c>
      <c r="I44" s="10">
        <v>9.2999999999999999E-2</v>
      </c>
      <c r="J44" s="69">
        <v>0</v>
      </c>
      <c r="K44" s="9">
        <f t="shared" si="2"/>
        <v>0</v>
      </c>
      <c r="L44" s="45" t="str">
        <f t="shared" si="3"/>
        <v>-</v>
      </c>
      <c r="Q44" s="1" t="s">
        <v>3</v>
      </c>
      <c r="R44" s="1">
        <v>9.2999999999999999E-2</v>
      </c>
      <c r="S44" s="1">
        <v>821695</v>
      </c>
      <c r="T44" s="1">
        <f t="shared" si="4"/>
        <v>493017</v>
      </c>
      <c r="U44" s="1">
        <f t="shared" si="5"/>
        <v>45850.580999999998</v>
      </c>
      <c r="W44" s="14" t="s">
        <v>4</v>
      </c>
      <c r="X44" s="10">
        <v>5.0999999999999997E-2</v>
      </c>
      <c r="Y44" s="16">
        <v>1574580</v>
      </c>
      <c r="Z44" s="74">
        <f t="shared" si="8"/>
        <v>787290</v>
      </c>
      <c r="AA44" s="9">
        <f t="shared" si="6"/>
        <v>40151.79</v>
      </c>
      <c r="AB44" s="12">
        <f t="shared" si="7"/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6">
        <f t="shared" si="1"/>
        <v>1.2878588285610252E-2</v>
      </c>
      <c r="H45" s="7" t="s">
        <v>2</v>
      </c>
      <c r="I45" s="40"/>
      <c r="J45" s="70">
        <f>SUM(J36:J44)</f>
        <v>10457097.6</v>
      </c>
      <c r="K45" s="6">
        <f>SUM(K36:K44)</f>
        <v>6361.4372799999983</v>
      </c>
      <c r="L45" s="68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4">
        <f t="shared" si="8"/>
        <v>410847.5</v>
      </c>
      <c r="AA45" s="9">
        <f t="shared" si="6"/>
        <v>38208.817499999997</v>
      </c>
      <c r="AB45" s="12">
        <f t="shared" si="7"/>
        <v>9.2999999999999999E-2</v>
      </c>
    </row>
    <row r="46" spans="2:28" ht="17" customHeight="1">
      <c r="W46" s="30" t="s">
        <v>2</v>
      </c>
      <c r="X46" s="71"/>
      <c r="Y46" s="72">
        <f>SUM(Y37:Y45)</f>
        <v>17414599</v>
      </c>
      <c r="Z46" s="75">
        <f>SUM(Z37:Z45)</f>
        <v>8707299.5</v>
      </c>
      <c r="AA46" s="73">
        <f>SUM(AA37:AA45)</f>
        <v>112137.72534</v>
      </c>
      <c r="AB46" s="66">
        <f t="shared" si="7"/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2" t="s">
        <v>70</v>
      </c>
      <c r="J49" s="62" t="s">
        <v>71</v>
      </c>
      <c r="K49" s="62" t="s">
        <v>69</v>
      </c>
      <c r="L49" s="19" t="s">
        <v>13</v>
      </c>
    </row>
    <row r="50" spans="2:12" ht="17" customHeight="1">
      <c r="H50" s="1" t="s">
        <v>12</v>
      </c>
      <c r="I50" s="63">
        <v>1E-3</v>
      </c>
      <c r="J50" s="64">
        <v>0.05</v>
      </c>
      <c r="K50" s="63">
        <f t="shared" ref="K50:K58" si="9">J50*I50</f>
        <v>5.0000000000000002E-5</v>
      </c>
      <c r="L50" s="45">
        <f t="shared" ref="L50:L57" si="10">IF(J50&gt;0, K50/J50,"-")</f>
        <v>1E-3</v>
      </c>
    </row>
    <row r="51" spans="2:12" ht="17" customHeight="1">
      <c r="G51" s="11"/>
      <c r="H51" s="18" t="s">
        <v>11</v>
      </c>
      <c r="I51" s="63">
        <v>3.0000000000000001E-3</v>
      </c>
      <c r="J51" s="64">
        <v>0.05</v>
      </c>
      <c r="K51" s="63">
        <f t="shared" si="9"/>
        <v>1.5000000000000001E-4</v>
      </c>
      <c r="L51" s="45">
        <f t="shared" si="10"/>
        <v>3.0000000000000001E-3</v>
      </c>
    </row>
    <row r="52" spans="2:12" ht="17" customHeight="1">
      <c r="G52" s="11"/>
      <c r="H52" s="1" t="s">
        <v>10</v>
      </c>
      <c r="I52" s="63">
        <v>1.2E-2</v>
      </c>
      <c r="J52" s="64">
        <v>0.05</v>
      </c>
      <c r="K52" s="63">
        <f t="shared" si="9"/>
        <v>6.0000000000000006E-4</v>
      </c>
      <c r="L52" s="45">
        <f t="shared" si="10"/>
        <v>1.2E-2</v>
      </c>
    </row>
    <row r="53" spans="2:12" ht="17" customHeight="1">
      <c r="G53" s="127" t="s">
        <v>9</v>
      </c>
      <c r="H53" s="1" t="s">
        <v>8</v>
      </c>
      <c r="I53" s="65">
        <v>3.2000000000000001E-2</v>
      </c>
      <c r="J53" s="64">
        <v>0.05</v>
      </c>
      <c r="K53" s="63">
        <f t="shared" si="9"/>
        <v>1.6000000000000001E-3</v>
      </c>
      <c r="L53" s="45">
        <f t="shared" si="10"/>
        <v>3.2000000000000001E-2</v>
      </c>
    </row>
    <row r="54" spans="2:12" ht="17" customHeight="1">
      <c r="G54" s="127"/>
      <c r="H54" s="1" t="s">
        <v>7</v>
      </c>
      <c r="I54" s="65">
        <v>4.9000000000000002E-2</v>
      </c>
      <c r="J54" s="64">
        <v>6.3E-2</v>
      </c>
      <c r="K54" s="63">
        <f t="shared" si="9"/>
        <v>3.0870000000000003E-3</v>
      </c>
      <c r="L54" s="45">
        <f t="shared" si="10"/>
        <v>4.9000000000000002E-2</v>
      </c>
    </row>
    <row r="55" spans="2:12" ht="17" customHeight="1">
      <c r="G55" s="127"/>
      <c r="H55" s="1" t="s">
        <v>6</v>
      </c>
      <c r="I55" s="65">
        <v>0.10199999999999999</v>
      </c>
      <c r="J55" s="64">
        <v>0.122</v>
      </c>
      <c r="K55" s="63">
        <f t="shared" si="9"/>
        <v>1.2443999999999998E-2</v>
      </c>
      <c r="L55" s="45">
        <f t="shared" si="10"/>
        <v>0.10199999999999999</v>
      </c>
    </row>
    <row r="56" spans="2:12" ht="17" customHeight="1">
      <c r="G56" s="11"/>
      <c r="H56" s="1" t="s">
        <v>5</v>
      </c>
      <c r="I56" s="65">
        <v>0.16600000000000001</v>
      </c>
      <c r="J56" s="64">
        <v>0.27400000000000002</v>
      </c>
      <c r="K56" s="63">
        <f t="shared" si="9"/>
        <v>4.5484000000000004E-2</v>
      </c>
      <c r="L56" s="45">
        <f t="shared" si="10"/>
        <v>0.16600000000000001</v>
      </c>
    </row>
    <row r="57" spans="2:12" ht="17" customHeight="1">
      <c r="G57" s="11"/>
      <c r="H57" s="1" t="s">
        <v>4</v>
      </c>
      <c r="I57" s="65">
        <v>0.24299999999999999</v>
      </c>
      <c r="J57" s="64">
        <v>0.432</v>
      </c>
      <c r="K57" s="63">
        <f t="shared" si="9"/>
        <v>0.104976</v>
      </c>
      <c r="L57" s="45">
        <f t="shared" si="10"/>
        <v>0.24299999999999999</v>
      </c>
    </row>
    <row r="58" spans="2:12" ht="17" customHeight="1">
      <c r="G58" s="11"/>
      <c r="H58" s="1" t="s">
        <v>3</v>
      </c>
      <c r="I58" s="65">
        <v>0.27300000000000002</v>
      </c>
      <c r="J58" s="64">
        <v>0.70899999999999996</v>
      </c>
      <c r="K58" s="63">
        <f t="shared" si="9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3"/>
  <sheetViews>
    <sheetView showGridLines="0" tabSelected="1" showRuler="0" workbookViewId="0"/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121</v>
      </c>
      <c r="C2" s="24"/>
    </row>
    <row r="3" spans="2:8" ht="17" customHeight="1">
      <c r="B3" s="110" t="s">
        <v>32</v>
      </c>
      <c r="C3" s="24"/>
    </row>
    <row r="4" spans="2:8" ht="17" customHeight="1">
      <c r="B4" s="110" t="s">
        <v>34</v>
      </c>
      <c r="C4" s="24"/>
    </row>
    <row r="5" spans="2:8" ht="17" customHeight="1">
      <c r="B5" s="110" t="s">
        <v>133</v>
      </c>
      <c r="C5" s="24"/>
      <c r="F5" s="54"/>
      <c r="G5" s="54"/>
      <c r="H5" s="54"/>
    </row>
    <row r="6" spans="2:8" ht="17" customHeight="1">
      <c r="B6" s="110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124</v>
      </c>
      <c r="D8" s="107">
        <v>17428496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08">
        <f>D8*D9</f>
        <v>10457097.6</v>
      </c>
      <c r="E10" s="30" t="s">
        <v>24</v>
      </c>
      <c r="F10" s="57"/>
      <c r="G10" s="109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✅ de gekozen populatie in cel G52 is gelijk aan dit aantal personen</v>
      </c>
      <c r="H10" s="54"/>
    </row>
    <row r="11" spans="2:8" ht="17" customHeight="1">
      <c r="C11" s="33"/>
      <c r="D11"/>
      <c r="E11" s="43"/>
      <c r="F11" s="57"/>
      <c r="G11" s="106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7">
        <f>$D$10</f>
        <v>10457097.6</v>
      </c>
      <c r="E13" s="21" t="s">
        <v>24</v>
      </c>
      <c r="F13" s="19" t="s">
        <v>23</v>
      </c>
      <c r="G13" s="1" t="s">
        <v>127</v>
      </c>
      <c r="H13" s="54"/>
    </row>
    <row r="14" spans="2:8" ht="17" customHeight="1">
      <c r="C14" s="20" t="s">
        <v>117</v>
      </c>
      <c r="D14" s="80">
        <f>$L$52</f>
        <v>1.7041187756677751E-2</v>
      </c>
      <c r="E14" s="21"/>
      <c r="F14" s="19" t="s">
        <v>0</v>
      </c>
      <c r="G14" s="1" t="s">
        <v>128</v>
      </c>
      <c r="H14" s="54"/>
    </row>
    <row r="15" spans="2:8" ht="17" customHeight="1">
      <c r="C15" s="33" t="s">
        <v>118</v>
      </c>
      <c r="D15" s="88">
        <f>D13*D14</f>
        <v>178201.36359150428</v>
      </c>
      <c r="E15" s="30" t="s">
        <v>24</v>
      </c>
      <c r="F15" s="19"/>
      <c r="H15" s="54"/>
    </row>
    <row r="16" spans="2:8" ht="17" customHeight="1">
      <c r="C16" s="33"/>
      <c r="D16" s="105"/>
      <c r="E16" s="43"/>
      <c r="F16" s="19"/>
      <c r="H16" s="54"/>
    </row>
    <row r="17" spans="3:8" ht="17" customHeight="1">
      <c r="C17" s="33"/>
      <c r="D17" s="105"/>
      <c r="E17" s="43"/>
      <c r="F17" s="19"/>
      <c r="H17" s="54"/>
    </row>
    <row r="18" spans="3:8" ht="17" customHeight="1">
      <c r="C18" s="20" t="s">
        <v>27</v>
      </c>
      <c r="D18" s="87">
        <f>$D$10</f>
        <v>10457097.6</v>
      </c>
      <c r="E18" s="21" t="s">
        <v>24</v>
      </c>
      <c r="F18" s="19" t="s">
        <v>23</v>
      </c>
      <c r="G18" s="1" t="s">
        <v>127</v>
      </c>
      <c r="H18" s="54"/>
    </row>
    <row r="19" spans="3:8" ht="17" customHeight="1">
      <c r="C19" s="20" t="s">
        <v>119</v>
      </c>
      <c r="D19" s="80">
        <f>$M$52</f>
        <v>1.0269043578418364E-3</v>
      </c>
      <c r="E19" s="43"/>
      <c r="F19" s="19" t="s">
        <v>0</v>
      </c>
      <c r="G19" s="106" t="s">
        <v>129</v>
      </c>
      <c r="H19" s="54"/>
    </row>
    <row r="20" spans="3:8" ht="17" customHeight="1">
      <c r="C20" s="33" t="s">
        <v>120</v>
      </c>
      <c r="D20" s="88">
        <f>D18*D19</f>
        <v>10738.439095817408</v>
      </c>
      <c r="E20" s="30" t="s">
        <v>24</v>
      </c>
      <c r="F20" s="19"/>
      <c r="H20" s="54"/>
    </row>
    <row r="21" spans="3:8" ht="17" customHeight="1">
      <c r="C21" s="33"/>
      <c r="D21" s="105"/>
      <c r="E21" s="43"/>
      <c r="F21" s="19"/>
      <c r="H21" s="54"/>
    </row>
    <row r="22" spans="3:8" ht="17" customHeight="1">
      <c r="C22" s="20"/>
      <c r="D22" s="87"/>
      <c r="E22" s="21"/>
      <c r="F22" s="19"/>
      <c r="H22" s="54"/>
    </row>
    <row r="23" spans="3:8" ht="17" customHeight="1">
      <c r="C23" s="24" t="s">
        <v>25</v>
      </c>
      <c r="D23" s="86">
        <f>$J$52</f>
        <v>10738.439506579152</v>
      </c>
      <c r="E23" s="1" t="s">
        <v>24</v>
      </c>
      <c r="F23" s="1" t="s">
        <v>23</v>
      </c>
      <c r="G23" s="106" t="s">
        <v>130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v>746</v>
      </c>
      <c r="E25" s="19" t="s">
        <v>20</v>
      </c>
      <c r="F25" s="1" t="s">
        <v>0</v>
      </c>
      <c r="G25" s="53" t="s">
        <v>126</v>
      </c>
    </row>
    <row r="26" spans="3:8" ht="17" customHeight="1" thickBot="1">
      <c r="C26" s="27" t="s">
        <v>18</v>
      </c>
      <c r="D26" s="89">
        <f>D23*D24/D25</f>
        <v>215.92036541378991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7">
        <f>$D$10</f>
        <v>10457097.6</v>
      </c>
      <c r="E29" s="21" t="s">
        <v>24</v>
      </c>
      <c r="F29" s="19" t="s">
        <v>23</v>
      </c>
      <c r="G29" s="1" t="s">
        <v>127</v>
      </c>
    </row>
    <row r="30" spans="3:8" ht="17" customHeight="1">
      <c r="C30" s="20" t="s">
        <v>132</v>
      </c>
      <c r="D30" s="124">
        <f>$G$66</f>
        <v>6.0833700516147024E-4</v>
      </c>
      <c r="F30" s="1" t="s">
        <v>0</v>
      </c>
      <c r="G30" s="52" t="s">
        <v>131</v>
      </c>
    </row>
    <row r="31" spans="3:8" ht="17" customHeight="1" thickBot="1">
      <c r="C31" s="33" t="s">
        <v>37</v>
      </c>
      <c r="D31" s="89">
        <f>D29*D30</f>
        <v>6361.4394366651977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122</v>
      </c>
    </row>
    <row r="36" spans="2:28" ht="17" customHeight="1">
      <c r="B36" s="1" t="s">
        <v>125</v>
      </c>
      <c r="D36" s="1" t="s">
        <v>93</v>
      </c>
      <c r="G36" s="53" t="s">
        <v>74</v>
      </c>
    </row>
    <row r="37" spans="2:28" ht="17" customHeight="1">
      <c r="B37" s="1" t="s">
        <v>76</v>
      </c>
      <c r="D37" s="1" t="s">
        <v>94</v>
      </c>
      <c r="G37" s="53" t="s">
        <v>75</v>
      </c>
    </row>
    <row r="38" spans="2:28" ht="17" customHeight="1">
      <c r="B38" s="1" t="s">
        <v>41</v>
      </c>
      <c r="D38" s="1" t="s">
        <v>102</v>
      </c>
      <c r="G38" s="53" t="s">
        <v>42</v>
      </c>
    </row>
    <row r="39" spans="2:28" ht="17" customHeight="1">
      <c r="G39" s="53"/>
      <c r="R39"/>
      <c r="S39"/>
      <c r="T39"/>
    </row>
    <row r="40" spans="2:28" ht="17" customHeight="1">
      <c r="R40"/>
      <c r="S40"/>
      <c r="T40"/>
      <c r="W40"/>
      <c r="X40"/>
      <c r="Y40"/>
      <c r="Z40"/>
      <c r="AA40"/>
      <c r="AB40"/>
    </row>
    <row r="41" spans="2:28" ht="17" customHeight="1">
      <c r="B41" s="103" t="s">
        <v>101</v>
      </c>
      <c r="H41"/>
      <c r="I41"/>
      <c r="J41"/>
      <c r="K41"/>
      <c r="L41"/>
      <c r="M41"/>
      <c r="R41"/>
      <c r="S41"/>
      <c r="T41"/>
    </row>
    <row r="42" spans="2:28" ht="17" customHeight="1">
      <c r="B42" s="21" t="s">
        <v>16</v>
      </c>
      <c r="C42" s="20" t="s">
        <v>110</v>
      </c>
      <c r="D42" s="20" t="s">
        <v>107</v>
      </c>
      <c r="E42" s="93" t="s">
        <v>108</v>
      </c>
      <c r="F42" s="97" t="s">
        <v>96</v>
      </c>
      <c r="G42" s="111" t="s">
        <v>95</v>
      </c>
      <c r="H42" s="1" t="s">
        <v>113</v>
      </c>
      <c r="I42" s="24" t="s">
        <v>98</v>
      </c>
      <c r="J42" s="93" t="s">
        <v>85</v>
      </c>
      <c r="K42" s="1" t="s">
        <v>116</v>
      </c>
      <c r="L42" s="24" t="s">
        <v>115</v>
      </c>
      <c r="M42" s="20" t="s">
        <v>114</v>
      </c>
      <c r="N42" s="21"/>
      <c r="R42"/>
      <c r="S42"/>
      <c r="T42"/>
    </row>
    <row r="43" spans="2:28" ht="17" customHeight="1">
      <c r="B43" s="1" t="s">
        <v>12</v>
      </c>
      <c r="C43" s="80">
        <v>8.3655083655083659E-2</v>
      </c>
      <c r="D43" s="94">
        <v>1E-3</v>
      </c>
      <c r="E43" s="64">
        <v>0.05</v>
      </c>
      <c r="F43" s="98">
        <f>D57</f>
        <v>1776481</v>
      </c>
      <c r="G43" s="112">
        <v>1776481</v>
      </c>
      <c r="H43" s="86">
        <f>G43*C43</f>
        <v>148611.66666666669</v>
      </c>
      <c r="I43" s="86">
        <f t="shared" ref="I43:I51" si="0">G43*C43*D43</f>
        <v>148.61166666666668</v>
      </c>
      <c r="J43" s="85">
        <f t="shared" ref="J43:J51" si="1">G43*C43*D43*E43</f>
        <v>7.4305833333333347</v>
      </c>
      <c r="K43" s="100">
        <f>IF(G43&gt;0, H43/G43,"-")</f>
        <v>8.3655083655083673E-2</v>
      </c>
      <c r="L43" s="100">
        <f t="shared" ref="L43:L51" si="2">IF(G43&gt;0, I43/G43,"-")</f>
        <v>8.3655083655083658E-5</v>
      </c>
      <c r="M43" s="100">
        <f t="shared" ref="M43:M51" si="3">IF(G43&gt;0, J43/G43,"-")</f>
        <v>4.1827541827541838E-6</v>
      </c>
      <c r="R43"/>
      <c r="S43"/>
      <c r="T43"/>
    </row>
    <row r="44" spans="2:28" ht="17" customHeight="1">
      <c r="B44" s="18" t="s">
        <v>11</v>
      </c>
      <c r="C44" s="80">
        <v>0.13320463320463319</v>
      </c>
      <c r="D44" s="94">
        <v>3.0000000000000001E-3</v>
      </c>
      <c r="E44" s="64">
        <v>0.05</v>
      </c>
      <c r="F44" s="98">
        <v>2001656</v>
      </c>
      <c r="G44" s="112">
        <v>2001656</v>
      </c>
      <c r="H44" s="86">
        <f t="shared" ref="H44:H51" si="4">G44*C44</f>
        <v>266629.85328185325</v>
      </c>
      <c r="I44" s="86">
        <f t="shared" si="0"/>
        <v>799.8895598455598</v>
      </c>
      <c r="J44" s="85">
        <f t="shared" si="1"/>
        <v>39.994477992277993</v>
      </c>
      <c r="K44" s="100">
        <f t="shared" ref="K44:K51" si="5">IF(G44&gt;0, H44/G44,"-")</f>
        <v>0.13320463320463319</v>
      </c>
      <c r="L44" s="101">
        <f t="shared" si="2"/>
        <v>3.9961389961389959E-4</v>
      </c>
      <c r="M44" s="101">
        <f t="shared" si="3"/>
        <v>1.998069498069498E-5</v>
      </c>
      <c r="R44"/>
      <c r="S44"/>
      <c r="T44"/>
    </row>
    <row r="45" spans="2:28" ht="17" customHeight="1">
      <c r="B45" s="1" t="s">
        <v>10</v>
      </c>
      <c r="C45" s="80">
        <v>0.5218790218790218</v>
      </c>
      <c r="D45" s="94">
        <v>1.2E-2</v>
      </c>
      <c r="E45" s="64">
        <v>0.05</v>
      </c>
      <c r="F45" s="98">
        <v>2244283</v>
      </c>
      <c r="G45" s="112">
        <v>2244283</v>
      </c>
      <c r="H45" s="86">
        <f t="shared" si="4"/>
        <v>1171244.2168597167</v>
      </c>
      <c r="I45" s="86">
        <f t="shared" si="0"/>
        <v>14054.930602316601</v>
      </c>
      <c r="J45" s="85">
        <f t="shared" si="1"/>
        <v>702.74653011583007</v>
      </c>
      <c r="K45" s="100">
        <f t="shared" si="5"/>
        <v>0.5218790218790218</v>
      </c>
      <c r="L45" s="102">
        <f t="shared" si="2"/>
        <v>6.2625482625482615E-3</v>
      </c>
      <c r="M45" s="102">
        <f t="shared" si="3"/>
        <v>3.131274131274131E-4</v>
      </c>
      <c r="R45"/>
      <c r="S45"/>
      <c r="T45"/>
    </row>
    <row r="46" spans="2:28" ht="17" customHeight="1">
      <c r="B46" s="1" t="s">
        <v>8</v>
      </c>
      <c r="C46" s="80">
        <v>0.90025740025740031</v>
      </c>
      <c r="D46" s="95">
        <v>3.2000000000000001E-2</v>
      </c>
      <c r="E46" s="64">
        <v>0.05</v>
      </c>
      <c r="F46" s="98">
        <v>2143651</v>
      </c>
      <c r="G46" s="112">
        <v>2143651</v>
      </c>
      <c r="H46" s="86">
        <f t="shared" si="4"/>
        <v>1929837.6763191763</v>
      </c>
      <c r="I46" s="86">
        <f t="shared" si="0"/>
        <v>61754.805642213643</v>
      </c>
      <c r="J46" s="85">
        <f t="shared" si="1"/>
        <v>3087.7402821106825</v>
      </c>
      <c r="K46" s="100">
        <f t="shared" si="5"/>
        <v>0.90025740025740031</v>
      </c>
      <c r="L46" s="102">
        <f t="shared" si="2"/>
        <v>2.8808236808236808E-2</v>
      </c>
      <c r="M46" s="102">
        <f t="shared" si="3"/>
        <v>1.4404118404118405E-3</v>
      </c>
      <c r="R46"/>
      <c r="S46"/>
      <c r="T46"/>
    </row>
    <row r="47" spans="2:28" ht="17" customHeight="1">
      <c r="B47" s="1" t="s">
        <v>7</v>
      </c>
      <c r="C47" s="80">
        <v>0.85842985842985842</v>
      </c>
      <c r="D47" s="95">
        <v>4.9000000000000002E-2</v>
      </c>
      <c r="E47" s="64">
        <v>6.3E-2</v>
      </c>
      <c r="F47" s="98">
        <v>2206346</v>
      </c>
      <c r="G47" s="112">
        <v>2206346</v>
      </c>
      <c r="H47" s="86">
        <f t="shared" si="4"/>
        <v>1893993.2844272845</v>
      </c>
      <c r="I47" s="86">
        <f t="shared" si="0"/>
        <v>92805.670936936949</v>
      </c>
      <c r="J47" s="85">
        <f t="shared" si="1"/>
        <v>5846.7572690270281</v>
      </c>
      <c r="K47" s="100">
        <f t="shared" si="5"/>
        <v>0.85842985842985842</v>
      </c>
      <c r="L47" s="102">
        <f t="shared" si="2"/>
        <v>4.2063063063063066E-2</v>
      </c>
      <c r="M47" s="102">
        <f t="shared" si="3"/>
        <v>2.6499729729729735E-3</v>
      </c>
      <c r="R47"/>
      <c r="S47"/>
      <c r="T47"/>
    </row>
    <row r="48" spans="2:28" ht="17" customHeight="1">
      <c r="B48" s="1" t="s">
        <v>6</v>
      </c>
      <c r="C48" s="80">
        <v>1</v>
      </c>
      <c r="D48" s="95">
        <v>0.10199999999999999</v>
      </c>
      <c r="E48" s="64">
        <v>0.122</v>
      </c>
      <c r="F48" s="98">
        <v>2531817</v>
      </c>
      <c r="G48" s="112">
        <v>84681</v>
      </c>
      <c r="H48" s="86">
        <f t="shared" si="4"/>
        <v>84681</v>
      </c>
      <c r="I48" s="86">
        <f t="shared" si="0"/>
        <v>8637.4619999999995</v>
      </c>
      <c r="J48" s="85">
        <f t="shared" si="1"/>
        <v>1053.770364</v>
      </c>
      <c r="K48" s="100">
        <f t="shared" si="5"/>
        <v>1</v>
      </c>
      <c r="L48" s="102">
        <f t="shared" si="2"/>
        <v>0.10199999999999999</v>
      </c>
      <c r="M48" s="102">
        <f t="shared" si="3"/>
        <v>1.2444E-2</v>
      </c>
      <c r="R48"/>
      <c r="S48"/>
      <c r="T48"/>
    </row>
    <row r="49" spans="2:28" ht="17" customHeight="1">
      <c r="B49" s="1" t="s">
        <v>5</v>
      </c>
      <c r="C49" s="80">
        <v>0.48970398970398971</v>
      </c>
      <c r="D49" s="95">
        <v>0.16600000000000001</v>
      </c>
      <c r="E49" s="64">
        <v>0.27400000000000002</v>
      </c>
      <c r="F49" s="98">
        <v>2114090</v>
      </c>
      <c r="G49" s="112">
        <v>0</v>
      </c>
      <c r="H49" s="86">
        <f t="shared" si="4"/>
        <v>0</v>
      </c>
      <c r="I49" s="86">
        <f t="shared" si="0"/>
        <v>0</v>
      </c>
      <c r="J49" s="85">
        <f t="shared" si="1"/>
        <v>0</v>
      </c>
      <c r="K49" s="100" t="str">
        <f t="shared" si="5"/>
        <v>-</v>
      </c>
      <c r="L49" s="102" t="str">
        <f t="shared" si="2"/>
        <v>-</v>
      </c>
      <c r="M49" s="102" t="str">
        <f t="shared" si="3"/>
        <v>-</v>
      </c>
      <c r="R49"/>
      <c r="S49"/>
      <c r="T49"/>
    </row>
    <row r="50" spans="2:28" ht="17" customHeight="1">
      <c r="B50" s="1" t="s">
        <v>4</v>
      </c>
      <c r="C50" s="80">
        <v>0.40604890604890603</v>
      </c>
      <c r="D50" s="95">
        <v>0.24299999999999999</v>
      </c>
      <c r="E50" s="64">
        <v>0.432</v>
      </c>
      <c r="F50" s="98">
        <v>1574580</v>
      </c>
      <c r="G50" s="112">
        <v>0</v>
      </c>
      <c r="H50" s="86">
        <f t="shared" si="4"/>
        <v>0</v>
      </c>
      <c r="I50" s="86">
        <f t="shared" si="0"/>
        <v>0</v>
      </c>
      <c r="J50" s="85">
        <f t="shared" si="1"/>
        <v>0</v>
      </c>
      <c r="K50" s="100" t="str">
        <f t="shared" si="5"/>
        <v>-</v>
      </c>
      <c r="L50" s="102" t="str">
        <f t="shared" si="2"/>
        <v>-</v>
      </c>
      <c r="M50" s="102" t="str">
        <f t="shared" si="3"/>
        <v>-</v>
      </c>
      <c r="R50"/>
      <c r="S50"/>
      <c r="T50"/>
    </row>
    <row r="51" spans="2:28" ht="17" customHeight="1">
      <c r="B51" s="1" t="s">
        <v>3</v>
      </c>
      <c r="C51" s="96">
        <v>0.16795366795366795</v>
      </c>
      <c r="D51" s="95">
        <v>0.27300000000000002</v>
      </c>
      <c r="E51" s="64">
        <v>0.70899999999999996</v>
      </c>
      <c r="F51" s="98">
        <f>691995+129700</f>
        <v>821695</v>
      </c>
      <c r="G51" s="112">
        <v>0</v>
      </c>
      <c r="H51" s="86">
        <f t="shared" si="4"/>
        <v>0</v>
      </c>
      <c r="I51" s="86">
        <f t="shared" si="0"/>
        <v>0</v>
      </c>
      <c r="J51" s="85">
        <f t="shared" si="1"/>
        <v>0</v>
      </c>
      <c r="K51" s="100" t="str">
        <f t="shared" si="5"/>
        <v>-</v>
      </c>
      <c r="L51" s="102" t="str">
        <f t="shared" si="2"/>
        <v>-</v>
      </c>
      <c r="M51" s="102" t="str">
        <f t="shared" si="3"/>
        <v>-</v>
      </c>
      <c r="R51"/>
      <c r="S51"/>
      <c r="T51"/>
    </row>
    <row r="52" spans="2:28" ht="17" customHeight="1">
      <c r="B52" s="7" t="s">
        <v>99</v>
      </c>
      <c r="C52" s="21"/>
      <c r="D52" s="7"/>
      <c r="E52" s="8"/>
      <c r="F52" s="99">
        <f>SUM(F43:F51)</f>
        <v>17414599</v>
      </c>
      <c r="G52" s="113">
        <f>SUM(G43:G51)</f>
        <v>10457098</v>
      </c>
      <c r="H52" s="118">
        <f>SUM(H43:H51)</f>
        <v>5494997.6975546973</v>
      </c>
      <c r="I52" s="118">
        <f>SUM(I43:I51)</f>
        <v>178201.37040797941</v>
      </c>
      <c r="J52" s="119">
        <f>SUM(J43:J51)</f>
        <v>10738.439506579152</v>
      </c>
      <c r="K52" s="120">
        <f>H52/G52</f>
        <v>0.52548017600625885</v>
      </c>
      <c r="L52" s="120">
        <f>I52/G52</f>
        <v>1.7041187756677751E-2</v>
      </c>
      <c r="M52" s="120">
        <f>J52/G52</f>
        <v>1.0269043578418364E-3</v>
      </c>
      <c r="R52"/>
      <c r="S52"/>
      <c r="T52"/>
    </row>
    <row r="53" spans="2:28" ht="17" customHeight="1">
      <c r="B53" s="21"/>
      <c r="C53" s="21"/>
      <c r="D53" s="21"/>
      <c r="E53" s="21"/>
      <c r="F53" s="98"/>
      <c r="G53" s="121"/>
      <c r="H53" s="122"/>
      <c r="I53" s="122"/>
      <c r="J53" s="122"/>
      <c r="K53" s="123"/>
      <c r="L53" s="123"/>
      <c r="M53" s="123"/>
      <c r="R53"/>
      <c r="S53"/>
      <c r="T53"/>
    </row>
    <row r="54" spans="2:28" ht="17" customHeight="1">
      <c r="B54" s="21"/>
      <c r="C54" s="21"/>
      <c r="D54" s="21"/>
      <c r="E54" s="21"/>
      <c r="F54" s="87"/>
      <c r="G54" s="98"/>
      <c r="H54" s="87"/>
      <c r="I54" s="87"/>
      <c r="J54" s="80"/>
      <c r="K54" s="80"/>
      <c r="L54"/>
      <c r="M54"/>
    </row>
    <row r="55" spans="2:28" ht="17" customHeight="1">
      <c r="B55" s="103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106</v>
      </c>
      <c r="D56" s="20" t="s">
        <v>96</v>
      </c>
      <c r="E56" s="111" t="s">
        <v>95</v>
      </c>
      <c r="F56" s="111" t="s">
        <v>37</v>
      </c>
      <c r="G56" s="84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3" t="s">
        <v>12</v>
      </c>
      <c r="C57" s="79">
        <v>2.0000000000000002E-5</v>
      </c>
      <c r="D57" s="98">
        <v>1776481</v>
      </c>
      <c r="E57" s="115">
        <f>G43</f>
        <v>1776481</v>
      </c>
      <c r="F57" s="117">
        <f t="shared" ref="F57:F65" si="6">C57*E57</f>
        <v>35.529620000000001</v>
      </c>
      <c r="G57" s="90">
        <f t="shared" ref="G57:G65" si="7">IF(E57&gt;0, F57/E57,"-")</f>
        <v>2.0000000000000002E-5</v>
      </c>
      <c r="H57" s="104" t="s">
        <v>111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3" t="s">
        <v>11</v>
      </c>
      <c r="C58" s="79">
        <v>6.0000000000000002E-5</v>
      </c>
      <c r="D58" s="98">
        <v>2001656</v>
      </c>
      <c r="E58" s="115">
        <f t="shared" ref="E58:E65" si="8">G44</f>
        <v>2001656</v>
      </c>
      <c r="F58" s="117">
        <f t="shared" si="6"/>
        <v>120.09936</v>
      </c>
      <c r="G58" s="90">
        <f t="shared" si="7"/>
        <v>6.0000000000000002E-5</v>
      </c>
      <c r="H58" s="104" t="s">
        <v>112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3" t="s">
        <v>10</v>
      </c>
      <c r="C59" s="80">
        <v>2.9999999999999997E-4</v>
      </c>
      <c r="D59" s="98">
        <v>2244283</v>
      </c>
      <c r="E59" s="115">
        <f t="shared" si="8"/>
        <v>2244283</v>
      </c>
      <c r="F59" s="117">
        <f t="shared" si="6"/>
        <v>673.28489999999999</v>
      </c>
      <c r="G59" s="91">
        <f t="shared" si="7"/>
        <v>2.9999999999999997E-4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3" t="s">
        <v>8</v>
      </c>
      <c r="C60" s="81">
        <v>8.0000000000000004E-4</v>
      </c>
      <c r="D60" s="98">
        <v>2143651</v>
      </c>
      <c r="E60" s="115">
        <f t="shared" si="8"/>
        <v>2143651</v>
      </c>
      <c r="F60" s="117">
        <f t="shared" si="6"/>
        <v>1714.9208000000001</v>
      </c>
      <c r="G60" s="91">
        <f t="shared" si="7"/>
        <v>8.0000000000000004E-4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3" t="s">
        <v>7</v>
      </c>
      <c r="C61" s="81">
        <v>1.5E-3</v>
      </c>
      <c r="D61" s="98">
        <v>2206346</v>
      </c>
      <c r="E61" s="115">
        <f t="shared" si="8"/>
        <v>2206346</v>
      </c>
      <c r="F61" s="117">
        <f t="shared" si="6"/>
        <v>3309.5190000000002</v>
      </c>
      <c r="G61" s="91">
        <f t="shared" si="7"/>
        <v>1.5E-3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3" t="s">
        <v>6</v>
      </c>
      <c r="C62" s="81">
        <v>6.0000000000000001E-3</v>
      </c>
      <c r="D62" s="98">
        <v>2531817</v>
      </c>
      <c r="E62" s="115">
        <f t="shared" si="8"/>
        <v>84681</v>
      </c>
      <c r="F62" s="117">
        <f t="shared" si="6"/>
        <v>508.08600000000001</v>
      </c>
      <c r="G62" s="91">
        <f t="shared" si="7"/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3" t="s">
        <v>5</v>
      </c>
      <c r="C63" s="81">
        <v>2.1999999999999999E-2</v>
      </c>
      <c r="D63" s="98">
        <v>2114090</v>
      </c>
      <c r="E63" s="115">
        <f t="shared" si="8"/>
        <v>0</v>
      </c>
      <c r="F63" s="117">
        <f t="shared" si="6"/>
        <v>0</v>
      </c>
      <c r="G63" s="91" t="str">
        <f t="shared" si="7"/>
        <v>-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3" t="s">
        <v>4</v>
      </c>
      <c r="C64" s="81">
        <v>5.0999999999999997E-2</v>
      </c>
      <c r="D64" s="98">
        <v>1574580</v>
      </c>
      <c r="E64" s="115">
        <f t="shared" si="8"/>
        <v>0</v>
      </c>
      <c r="F64" s="117">
        <f t="shared" si="6"/>
        <v>0</v>
      </c>
      <c r="G64" s="91" t="str">
        <f t="shared" si="7"/>
        <v>-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3" t="s">
        <v>3</v>
      </c>
      <c r="C65" s="81">
        <v>9.2999999999999999E-2</v>
      </c>
      <c r="D65" s="98">
        <f>691995+129700</f>
        <v>821695</v>
      </c>
      <c r="E65" s="115">
        <f t="shared" si="8"/>
        <v>0</v>
      </c>
      <c r="F65" s="117">
        <f t="shared" si="6"/>
        <v>0</v>
      </c>
      <c r="G65" s="91" t="str">
        <f t="shared" si="7"/>
        <v>-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99</v>
      </c>
      <c r="C66" s="82"/>
      <c r="D66" s="99">
        <f>SUM(D57:D65)</f>
        <v>17414599</v>
      </c>
      <c r="E66" s="92">
        <f>SUM(E57:E65)</f>
        <v>10457098</v>
      </c>
      <c r="F66" s="114">
        <f>SUM(F57:F65)</f>
        <v>6361.4396800000004</v>
      </c>
      <c r="G66" s="116">
        <f>F66/E66</f>
        <v>6.0833700516147024E-4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98"/>
      <c r="E67" s="87"/>
      <c r="F67" s="105"/>
      <c r="G67" s="125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100</v>
      </c>
    </row>
    <row r="70" spans="2:28">
      <c r="B70" s="1" t="s">
        <v>103</v>
      </c>
    </row>
    <row r="71" spans="2:28">
      <c r="B71" s="1" t="s">
        <v>109</v>
      </c>
    </row>
    <row r="72" spans="2:28">
      <c r="B72" s="1" t="s">
        <v>104</v>
      </c>
    </row>
    <row r="73" spans="2:28">
      <c r="B73" s="1" t="s">
        <v>105</v>
      </c>
    </row>
  </sheetData>
  <sheetProtection sheet="1" objects="1" scenarios="1"/>
  <phoneticPr fontId="14" type="noConversion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G38" r:id="rId4" location="/CBS/nl/dataset/84646NED/table?ts=1584394178496"/>
    <hyperlink ref="G36" r:id="rId5"/>
    <hyperlink ref="G37" r:id="rId6"/>
  </hyperlinks>
  <pageMargins left="0" right="0" top="0.39000000000000007" bottom="0.39000000000000007" header="0" footer="0"/>
  <pageSetup paperSize="9" scale="45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E57:E65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6"/>
  <sheetViews>
    <sheetView showGridLines="0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134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B53</f>
        <v>6.0945326299056038E-2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3790.3587261534417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3790.3587261534417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66.888683402707798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33</v>
      </c>
      <c r="D24" s="44">
        <f>D13</f>
        <v>9.1999999999999998E-2</v>
      </c>
      <c r="F24" s="1" t="s">
        <v>23</v>
      </c>
      <c r="G24" s="52" t="s">
        <v>59</v>
      </c>
    </row>
    <row r="25" spans="2:7" ht="17" customHeight="1">
      <c r="C25" s="20" t="s">
        <v>36</v>
      </c>
      <c r="D25" s="35">
        <f>L45</f>
        <v>1.5666528897405377E-3</v>
      </c>
      <c r="F25" s="1" t="s">
        <v>0</v>
      </c>
      <c r="G25" s="52" t="s">
        <v>60</v>
      </c>
    </row>
    <row r="26" spans="2:7" ht="17" customHeight="1" thickBot="1">
      <c r="C26" s="33" t="s">
        <v>37</v>
      </c>
      <c r="D26" s="26">
        <f>D23*D24*D25</f>
        <v>1507.2030799471734</v>
      </c>
      <c r="E26" s="46" t="s">
        <v>24</v>
      </c>
      <c r="F26" s="19"/>
    </row>
    <row r="27" spans="2:7" ht="17" customHeight="1" thickTop="1">
      <c r="C27" s="33"/>
      <c r="D27" s="41"/>
      <c r="E27" s="43"/>
      <c r="F27" s="19"/>
    </row>
    <row r="28" spans="2:7" ht="17" customHeight="1">
      <c r="C28" s="33"/>
      <c r="D28" s="41"/>
      <c r="E28" s="43"/>
      <c r="F28" s="19"/>
    </row>
    <row r="29" spans="2:7" ht="17" customHeight="1">
      <c r="C29" s="24"/>
    </row>
    <row r="30" spans="2:7" ht="17" customHeight="1">
      <c r="B30" s="23" t="s">
        <v>78</v>
      </c>
    </row>
    <row r="31" spans="2:7" ht="17" customHeight="1">
      <c r="B31" s="1" t="s">
        <v>39</v>
      </c>
      <c r="C31" s="53" t="s">
        <v>40</v>
      </c>
    </row>
    <row r="32" spans="2:7" ht="17" customHeight="1">
      <c r="B32" s="1" t="s">
        <v>41</v>
      </c>
      <c r="C32" s="53" t="s">
        <v>42</v>
      </c>
    </row>
    <row r="33" spans="2:12" ht="17" customHeight="1"/>
    <row r="34" spans="2:12" ht="17" customHeight="1">
      <c r="B34" s="4" t="s">
        <v>61</v>
      </c>
      <c r="H34" s="4" t="s">
        <v>48</v>
      </c>
    </row>
    <row r="35" spans="2:12" ht="17" customHeight="1">
      <c r="B35" s="21" t="s">
        <v>16</v>
      </c>
      <c r="C35" s="20" t="s">
        <v>15</v>
      </c>
      <c r="D35" s="20" t="s">
        <v>14</v>
      </c>
      <c r="E35" s="20" t="s">
        <v>62</v>
      </c>
      <c r="F35" s="22" t="s">
        <v>13</v>
      </c>
      <c r="G35" s="21"/>
      <c r="H35" s="21" t="s">
        <v>16</v>
      </c>
      <c r="I35" s="20" t="s">
        <v>15</v>
      </c>
      <c r="J35" s="20" t="s">
        <v>14</v>
      </c>
      <c r="K35" s="20" t="s">
        <v>62</v>
      </c>
      <c r="L35" s="19" t="s">
        <v>13</v>
      </c>
    </row>
    <row r="36" spans="2:12" ht="17" customHeight="1">
      <c r="B36" s="14" t="s">
        <v>12</v>
      </c>
      <c r="C36" s="17">
        <v>1E-4</v>
      </c>
      <c r="D36" s="16">
        <v>1776481</v>
      </c>
      <c r="E36" s="9">
        <f t="shared" ref="E36:E44" si="0">D36*C36</f>
        <v>177.6481</v>
      </c>
      <c r="F36" s="12">
        <f t="shared" ref="F36:F45" si="1">E36/D36</f>
        <v>1E-4</v>
      </c>
      <c r="H36" s="1" t="s">
        <v>12</v>
      </c>
      <c r="I36" s="17">
        <v>1E-4</v>
      </c>
      <c r="J36" s="15">
        <v>1776481</v>
      </c>
      <c r="K36" s="9">
        <f t="shared" ref="K36:K44" si="2">J36*I36</f>
        <v>177.6481</v>
      </c>
      <c r="L36" s="45">
        <f t="shared" ref="L36:L43" si="3">IF(J36&gt;0, K36/J36,"-")</f>
        <v>1E-4</v>
      </c>
    </row>
    <row r="37" spans="2:12" ht="17" customHeight="1">
      <c r="B37" s="14" t="s">
        <v>11</v>
      </c>
      <c r="C37" s="17">
        <v>2.0000000000000001E-4</v>
      </c>
      <c r="D37" s="16">
        <v>2001656</v>
      </c>
      <c r="E37" s="9">
        <f t="shared" si="0"/>
        <v>400.33120000000002</v>
      </c>
      <c r="F37" s="12">
        <f t="shared" si="1"/>
        <v>2.0000000000000001E-4</v>
      </c>
      <c r="G37" s="11"/>
      <c r="H37" s="18" t="s">
        <v>11</v>
      </c>
      <c r="I37" s="17">
        <v>2.0000000000000001E-4</v>
      </c>
      <c r="J37" s="15">
        <v>2001656</v>
      </c>
      <c r="K37" s="9">
        <f t="shared" si="2"/>
        <v>400.33120000000002</v>
      </c>
      <c r="L37" s="45">
        <f t="shared" si="3"/>
        <v>2.0000000000000001E-4</v>
      </c>
    </row>
    <row r="38" spans="2:12" ht="17" customHeight="1">
      <c r="B38" s="14" t="s">
        <v>10</v>
      </c>
      <c r="C38" s="17">
        <v>8.9999999999999998E-4</v>
      </c>
      <c r="D38" s="16">
        <v>2244283</v>
      </c>
      <c r="E38" s="9">
        <f t="shared" si="0"/>
        <v>2019.8546999999999</v>
      </c>
      <c r="F38" s="12">
        <f t="shared" si="1"/>
        <v>8.9999999999999998E-4</v>
      </c>
      <c r="G38" s="11"/>
      <c r="H38" s="1" t="s">
        <v>10</v>
      </c>
      <c r="I38" s="17">
        <v>8.9999999999999998E-4</v>
      </c>
      <c r="J38" s="15">
        <v>2244283</v>
      </c>
      <c r="K38" s="9">
        <f t="shared" si="2"/>
        <v>2019.8546999999999</v>
      </c>
      <c r="L38" s="45">
        <f t="shared" si="3"/>
        <v>8.9999999999999998E-4</v>
      </c>
    </row>
    <row r="39" spans="2:12" ht="17" customHeight="1">
      <c r="B39" s="14" t="s">
        <v>8</v>
      </c>
      <c r="C39" s="10">
        <v>1.8E-3</v>
      </c>
      <c r="D39" s="16">
        <v>2143651</v>
      </c>
      <c r="E39" s="9">
        <f t="shared" si="0"/>
        <v>3858.5717999999997</v>
      </c>
      <c r="F39" s="12">
        <f t="shared" si="1"/>
        <v>1.8E-3</v>
      </c>
      <c r="G39" s="127" t="s">
        <v>9</v>
      </c>
      <c r="H39" s="1" t="s">
        <v>8</v>
      </c>
      <c r="I39" s="10">
        <v>1.8E-3</v>
      </c>
      <c r="J39" s="15">
        <v>2143651</v>
      </c>
      <c r="K39" s="9">
        <f t="shared" si="2"/>
        <v>3858.5717999999997</v>
      </c>
      <c r="L39" s="45">
        <f t="shared" si="3"/>
        <v>1.8E-3</v>
      </c>
    </row>
    <row r="40" spans="2:12" ht="17" customHeight="1">
      <c r="B40" s="14" t="s">
        <v>7</v>
      </c>
      <c r="C40" s="10">
        <v>4.0000000000000001E-3</v>
      </c>
      <c r="D40" s="16">
        <v>2206346</v>
      </c>
      <c r="E40" s="9">
        <f t="shared" si="0"/>
        <v>8825.384</v>
      </c>
      <c r="F40" s="12">
        <f t="shared" si="1"/>
        <v>4.0000000000000001E-3</v>
      </c>
      <c r="G40" s="127"/>
      <c r="H40" s="1" t="s">
        <v>7</v>
      </c>
      <c r="I40" s="10">
        <v>4.0000000000000001E-3</v>
      </c>
      <c r="J40" s="15">
        <v>2206346</v>
      </c>
      <c r="K40" s="9">
        <f t="shared" si="2"/>
        <v>8825.384</v>
      </c>
      <c r="L40" s="45">
        <f t="shared" si="3"/>
        <v>4.0000000000000001E-3</v>
      </c>
    </row>
    <row r="41" spans="2:12" ht="17" customHeight="1">
      <c r="B41" s="14" t="s">
        <v>6</v>
      </c>
      <c r="C41" s="10">
        <v>1.2999999999999999E-2</v>
      </c>
      <c r="D41" s="16">
        <v>2531817</v>
      </c>
      <c r="E41" s="9">
        <f t="shared" si="0"/>
        <v>32913.620999999999</v>
      </c>
      <c r="F41" s="12">
        <f t="shared" si="1"/>
        <v>1.2999999999999999E-2</v>
      </c>
      <c r="G41" s="127"/>
      <c r="H41" s="1" t="s">
        <v>6</v>
      </c>
      <c r="I41" s="10">
        <v>1.2999999999999999E-2</v>
      </c>
      <c r="J41" s="15">
        <v>84681</v>
      </c>
      <c r="K41" s="9">
        <f t="shared" si="2"/>
        <v>1100.8529999999998</v>
      </c>
      <c r="L41" s="45">
        <f t="shared" si="3"/>
        <v>1.2999999999999998E-2</v>
      </c>
    </row>
    <row r="42" spans="2:12" ht="17" customHeight="1">
      <c r="B42" s="14" t="s">
        <v>5</v>
      </c>
      <c r="C42" s="10">
        <v>4.5999999999999999E-2</v>
      </c>
      <c r="D42" s="16">
        <v>2114090</v>
      </c>
      <c r="E42" s="9">
        <f t="shared" si="0"/>
        <v>97248.14</v>
      </c>
      <c r="F42" s="12">
        <f t="shared" si="1"/>
        <v>4.5999999999999999E-2</v>
      </c>
      <c r="G42" s="11"/>
      <c r="H42" s="1" t="s">
        <v>5</v>
      </c>
      <c r="I42" s="10">
        <v>4.5999999999999999E-2</v>
      </c>
      <c r="J42" s="15">
        <v>0</v>
      </c>
      <c r="K42" s="9">
        <f t="shared" si="2"/>
        <v>0</v>
      </c>
      <c r="L42" s="45" t="str">
        <f t="shared" si="3"/>
        <v>-</v>
      </c>
    </row>
    <row r="43" spans="2:12" ht="17" customHeight="1">
      <c r="B43" s="14" t="s">
        <v>4</v>
      </c>
      <c r="C43" s="10">
        <v>9.8000000000000004E-2</v>
      </c>
      <c r="D43" s="16">
        <v>1574580</v>
      </c>
      <c r="E43" s="9">
        <f t="shared" si="0"/>
        <v>154308.84</v>
      </c>
      <c r="F43" s="12">
        <f t="shared" si="1"/>
        <v>9.8000000000000004E-2</v>
      </c>
      <c r="G43" s="11"/>
      <c r="H43" s="1" t="s">
        <v>4</v>
      </c>
      <c r="I43" s="10">
        <v>9.8000000000000004E-2</v>
      </c>
      <c r="J43" s="15">
        <v>0</v>
      </c>
      <c r="K43" s="9">
        <f t="shared" si="2"/>
        <v>0</v>
      </c>
      <c r="L43" s="45" t="str">
        <f t="shared" si="3"/>
        <v>-</v>
      </c>
    </row>
    <row r="44" spans="2:12" ht="17" customHeight="1">
      <c r="B44" s="14" t="s">
        <v>3</v>
      </c>
      <c r="C44" s="10">
        <v>0.18</v>
      </c>
      <c r="D44" s="13">
        <f>691995+129700</f>
        <v>821695</v>
      </c>
      <c r="E44" s="9">
        <f t="shared" si="0"/>
        <v>147905.1</v>
      </c>
      <c r="F44" s="12">
        <f t="shared" si="1"/>
        <v>0.18</v>
      </c>
      <c r="G44" s="11"/>
      <c r="H44" s="1" t="s">
        <v>3</v>
      </c>
      <c r="I44" s="10">
        <v>0.18</v>
      </c>
      <c r="J44" s="15">
        <v>0</v>
      </c>
      <c r="K44" s="9">
        <f t="shared" si="2"/>
        <v>0</v>
      </c>
      <c r="L44" s="45" t="str">
        <f>IF(J44&gt;0, K44/J44,"-")</f>
        <v>-</v>
      </c>
    </row>
    <row r="45" spans="2:12" ht="17" customHeight="1">
      <c r="B45" s="7" t="s">
        <v>2</v>
      </c>
      <c r="C45" s="40"/>
      <c r="D45" s="8">
        <f>SUM(D36:D44)</f>
        <v>17414599</v>
      </c>
      <c r="E45" s="6">
        <f>SUM(E36:E44)</f>
        <v>447657.49080000003</v>
      </c>
      <c r="F45" s="5">
        <f t="shared" si="1"/>
        <v>2.5705874180622822E-2</v>
      </c>
      <c r="H45" s="7" t="s">
        <v>2</v>
      </c>
      <c r="I45" s="40"/>
      <c r="J45" s="39">
        <f>SUM(J36:J44)</f>
        <v>10457098</v>
      </c>
      <c r="K45" s="6">
        <f>SUM(K36:K44)</f>
        <v>16382.642799999998</v>
      </c>
      <c r="L45" s="48">
        <f>K45/J45</f>
        <v>1.5666528897405377E-3</v>
      </c>
    </row>
    <row r="46" spans="2:12" ht="17" customHeight="1"/>
    <row r="47" spans="2:12" ht="17" customHeight="1"/>
    <row r="48" spans="2:12" ht="17" customHeight="1">
      <c r="B48" s="23" t="s">
        <v>65</v>
      </c>
    </row>
    <row r="49" spans="2:3" ht="17" customHeight="1">
      <c r="B49" s="1" t="s">
        <v>47</v>
      </c>
    </row>
    <row r="50" spans="2:3" ht="17" customHeight="1"/>
    <row r="51" spans="2:3" ht="17" customHeight="1">
      <c r="B51" s="49">
        <f>L45</f>
        <v>1.5666528897405377E-3</v>
      </c>
      <c r="C51" s="1" t="s">
        <v>1</v>
      </c>
    </row>
    <row r="52" spans="2:3" ht="17" customHeight="1">
      <c r="B52" s="3">
        <f>F45</f>
        <v>2.5705874180622822E-2</v>
      </c>
      <c r="C52" s="1" t="s">
        <v>0</v>
      </c>
    </row>
    <row r="53" spans="2:3" ht="17" customHeight="1">
      <c r="B53" s="2">
        <f>L45/F45</f>
        <v>6.0945326299056038E-2</v>
      </c>
    </row>
    <row r="54" spans="2:3" ht="17" customHeight="1"/>
    <row r="55" spans="2:3" ht="17" customHeight="1">
      <c r="B55" s="1" t="s">
        <v>64</v>
      </c>
    </row>
    <row r="56" spans="2:3" ht="17" customHeight="1">
      <c r="B56" s="1" t="s">
        <v>63</v>
      </c>
    </row>
  </sheetData>
  <sheetProtection sheet="1" objects="1" scenarios="1"/>
  <mergeCells count="1">
    <mergeCell ref="G39:G41"/>
  </mergeCells>
  <phoneticPr fontId="14" type="noConversion"/>
  <conditionalFormatting sqref="J45">
    <cfRule type="cellIs" dxfId="2" priority="7" operator="between">
      <formula>$D$9-0.5</formula>
      <formula>$D$9+0.5</formula>
    </cfRule>
  </conditionalFormatting>
  <conditionalFormatting sqref="D14">
    <cfRule type="cellIs" dxfId="1" priority="8" operator="equal">
      <formula>$B$53</formula>
    </cfRule>
  </conditionalFormatting>
  <conditionalFormatting sqref="D25">
    <cfRule type="cellIs" dxfId="0" priority="2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1" r:id="rId7"/>
    <hyperlink ref="C32" r:id="rId8" location="/CBS/nl/dataset/84646NED/table?ts=1584394178496"/>
    <hyperlink ref="K13" r:id="rId9"/>
  </hyperlinks>
  <pageMargins left="0" right="0" top="0.39370078740157483" bottom="0.39370078740157483" header="0" footer="0"/>
  <pageSetup paperSize="9" scale="56"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J36:J40 D18:D19 D12:D14 D7:D8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J41:J44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Ruler="0" workbookViewId="0">
      <selection activeCell="A3" sqref="A3"/>
    </sheetView>
  </sheetViews>
  <sheetFormatPr baseColWidth="10" defaultRowHeight="15" x14ac:dyDescent="0"/>
  <cols>
    <col min="4" max="4" width="13.1640625" customWidth="1"/>
    <col min="5" max="13" width="10.83203125" style="58"/>
    <col min="15" max="15" width="10.83203125" style="59"/>
    <col min="16" max="18" width="10.83203125" style="60"/>
  </cols>
  <sheetData>
    <row r="1" spans="1:18">
      <c r="A1" s="77" t="s">
        <v>123</v>
      </c>
      <c r="L1"/>
      <c r="M1"/>
      <c r="O1"/>
      <c r="P1"/>
      <c r="Q1"/>
      <c r="R1"/>
    </row>
    <row r="2" spans="1:18">
      <c r="A2" s="51" t="s">
        <v>38</v>
      </c>
      <c r="C2" s="51"/>
      <c r="L2"/>
      <c r="M2"/>
      <c r="O2"/>
      <c r="P2"/>
      <c r="Q2"/>
      <c r="R2"/>
    </row>
    <row r="3" spans="1:18">
      <c r="A3" s="51"/>
      <c r="C3" s="51"/>
      <c r="L3"/>
      <c r="M3"/>
      <c r="O3"/>
      <c r="P3"/>
      <c r="Q3"/>
      <c r="R3"/>
    </row>
    <row r="4" spans="1:18">
      <c r="A4" s="50" t="s">
        <v>88</v>
      </c>
      <c r="B4" t="s">
        <v>44</v>
      </c>
      <c r="C4" t="s">
        <v>45</v>
      </c>
      <c r="D4" s="78" t="s">
        <v>89</v>
      </c>
      <c r="E4" s="58" t="s">
        <v>97</v>
      </c>
      <c r="F4" s="58" t="s">
        <v>86</v>
      </c>
      <c r="G4" s="58" t="s">
        <v>87</v>
      </c>
      <c r="H4" s="58" t="s">
        <v>90</v>
      </c>
      <c r="I4" s="58" t="s">
        <v>91</v>
      </c>
      <c r="J4" s="58" t="s">
        <v>92</v>
      </c>
      <c r="L4"/>
      <c r="M4"/>
      <c r="O4"/>
      <c r="P4"/>
      <c r="Q4"/>
      <c r="R4"/>
    </row>
    <row r="5" spans="1:18">
      <c r="A5" s="50" t="s">
        <v>12</v>
      </c>
      <c r="B5">
        <v>0</v>
      </c>
      <c r="C5">
        <v>1</v>
      </c>
      <c r="D5" s="78">
        <f>B5+C5</f>
        <v>1</v>
      </c>
      <c r="E5" s="58">
        <f>B5/D5</f>
        <v>0</v>
      </c>
      <c r="F5" s="58">
        <v>0</v>
      </c>
      <c r="G5" s="58">
        <v>0.97499999999999998</v>
      </c>
      <c r="H5" s="58">
        <f t="shared" ref="H5:H13" si="0">E5-F5</f>
        <v>0</v>
      </c>
      <c r="I5" s="58">
        <f t="shared" ref="I5:I13" si="1">G5-E5</f>
        <v>0.97499999999999998</v>
      </c>
      <c r="J5" s="58">
        <f t="shared" ref="J5:J13" si="2">AVERAGE(F5:G5)</f>
        <v>0.48749999999999999</v>
      </c>
      <c r="L5"/>
      <c r="M5"/>
      <c r="O5"/>
      <c r="P5"/>
      <c r="Q5"/>
      <c r="R5"/>
    </row>
    <row r="6" spans="1:18">
      <c r="A6" s="50" t="s">
        <v>11</v>
      </c>
      <c r="B6">
        <v>2</v>
      </c>
      <c r="C6">
        <v>3</v>
      </c>
      <c r="D6" s="78">
        <f t="shared" ref="D6:D13" si="3">B6+C6</f>
        <v>5</v>
      </c>
      <c r="E6" s="58">
        <f t="shared" ref="E6:E13" si="4">B6/D6</f>
        <v>0.4</v>
      </c>
      <c r="F6" s="58">
        <v>5.2744949999999999E-2</v>
      </c>
      <c r="G6" s="58">
        <v>0.85336719999999999</v>
      </c>
      <c r="H6" s="58">
        <f t="shared" si="0"/>
        <v>0.34725505000000001</v>
      </c>
      <c r="I6" s="58">
        <f t="shared" si="1"/>
        <v>0.45336719999999997</v>
      </c>
      <c r="J6" s="58">
        <f t="shared" si="2"/>
        <v>0.453056075</v>
      </c>
      <c r="L6"/>
      <c r="M6"/>
      <c r="O6"/>
      <c r="P6"/>
      <c r="Q6"/>
      <c r="R6"/>
    </row>
    <row r="7" spans="1:18">
      <c r="A7" s="50" t="s">
        <v>10</v>
      </c>
      <c r="B7">
        <v>25</v>
      </c>
      <c r="C7">
        <v>3</v>
      </c>
      <c r="D7" s="78">
        <f t="shared" si="3"/>
        <v>28</v>
      </c>
      <c r="E7" s="58">
        <f t="shared" si="4"/>
        <v>0.8928571428571429</v>
      </c>
      <c r="F7" s="58">
        <v>0.71773560000000003</v>
      </c>
      <c r="G7" s="58">
        <v>0.97733490000000001</v>
      </c>
      <c r="H7" s="58">
        <f t="shared" si="0"/>
        <v>0.17512154285714288</v>
      </c>
      <c r="I7" s="58">
        <f t="shared" si="1"/>
        <v>8.4477757142857102E-2</v>
      </c>
      <c r="J7" s="58">
        <f t="shared" si="2"/>
        <v>0.84753524999999996</v>
      </c>
      <c r="L7"/>
      <c r="M7"/>
      <c r="O7"/>
      <c r="P7"/>
      <c r="Q7"/>
      <c r="R7"/>
    </row>
    <row r="8" spans="1:18">
      <c r="A8" s="50" t="s">
        <v>8</v>
      </c>
      <c r="B8">
        <v>27</v>
      </c>
      <c r="C8">
        <v>7</v>
      </c>
      <c r="D8" s="78">
        <f t="shared" si="3"/>
        <v>34</v>
      </c>
      <c r="E8" s="58">
        <f t="shared" si="4"/>
        <v>0.79411764705882348</v>
      </c>
      <c r="F8" s="58">
        <v>0.62102230000000003</v>
      </c>
      <c r="G8" s="58">
        <v>0.91297870000000003</v>
      </c>
      <c r="H8" s="58">
        <f t="shared" si="0"/>
        <v>0.17309534705882346</v>
      </c>
      <c r="I8" s="58">
        <f t="shared" si="1"/>
        <v>0.11886105294117655</v>
      </c>
      <c r="J8" s="58">
        <f t="shared" si="2"/>
        <v>0.76700049999999997</v>
      </c>
      <c r="L8"/>
      <c r="M8"/>
      <c r="O8"/>
      <c r="P8"/>
      <c r="Q8"/>
      <c r="R8"/>
    </row>
    <row r="9" spans="1:18">
      <c r="A9" s="50" t="s">
        <v>7</v>
      </c>
      <c r="B9">
        <v>19</v>
      </c>
      <c r="C9">
        <v>8</v>
      </c>
      <c r="D9" s="78">
        <f t="shared" si="3"/>
        <v>27</v>
      </c>
      <c r="E9" s="58">
        <f t="shared" si="4"/>
        <v>0.70370370370370372</v>
      </c>
      <c r="F9" s="58">
        <v>0.49818630000000003</v>
      </c>
      <c r="G9" s="58">
        <v>0.86247339999999995</v>
      </c>
      <c r="H9" s="58">
        <f t="shared" si="0"/>
        <v>0.20551740370370369</v>
      </c>
      <c r="I9" s="58">
        <f t="shared" si="1"/>
        <v>0.15876969629629623</v>
      </c>
      <c r="J9" s="58">
        <f t="shared" si="2"/>
        <v>0.68032985000000001</v>
      </c>
      <c r="L9"/>
      <c r="M9"/>
      <c r="O9"/>
      <c r="P9"/>
      <c r="Q9"/>
      <c r="R9"/>
    </row>
    <row r="10" spans="1:18">
      <c r="A10" s="50" t="s">
        <v>6</v>
      </c>
      <c r="B10">
        <v>28</v>
      </c>
      <c r="C10">
        <v>31</v>
      </c>
      <c r="D10" s="78">
        <f t="shared" si="3"/>
        <v>59</v>
      </c>
      <c r="E10" s="58">
        <f t="shared" si="4"/>
        <v>0.47457627118644069</v>
      </c>
      <c r="F10" s="58">
        <v>0.3429836</v>
      </c>
      <c r="G10" s="58">
        <v>0.60880710000000005</v>
      </c>
      <c r="H10" s="58">
        <f t="shared" si="0"/>
        <v>0.13159267118644069</v>
      </c>
      <c r="I10" s="58">
        <f t="shared" si="1"/>
        <v>0.13423082881355936</v>
      </c>
      <c r="J10" s="58">
        <f t="shared" si="2"/>
        <v>0.47589535000000005</v>
      </c>
      <c r="L10"/>
      <c r="M10"/>
      <c r="O10"/>
      <c r="P10"/>
      <c r="Q10"/>
      <c r="R10"/>
    </row>
    <row r="11" spans="1:18">
      <c r="A11" s="50" t="s">
        <v>5</v>
      </c>
      <c r="B11">
        <v>76</v>
      </c>
      <c r="C11">
        <v>101</v>
      </c>
      <c r="D11" s="78">
        <f t="shared" si="3"/>
        <v>177</v>
      </c>
      <c r="E11" s="58">
        <f t="shared" si="4"/>
        <v>0.42937853107344631</v>
      </c>
      <c r="F11" s="58">
        <v>0.35537190000000002</v>
      </c>
      <c r="G11" s="58">
        <v>0.50579090000000004</v>
      </c>
      <c r="H11" s="58">
        <f t="shared" si="0"/>
        <v>7.4006631073446294E-2</v>
      </c>
      <c r="I11" s="58">
        <f t="shared" si="1"/>
        <v>7.6412368926553731E-2</v>
      </c>
      <c r="J11" s="58">
        <f t="shared" si="2"/>
        <v>0.4305814</v>
      </c>
      <c r="L11"/>
      <c r="M11"/>
      <c r="O11"/>
      <c r="P11"/>
      <c r="Q11"/>
      <c r="R11"/>
    </row>
    <row r="12" spans="1:18">
      <c r="A12" s="50" t="s">
        <v>4</v>
      </c>
      <c r="B12">
        <v>95</v>
      </c>
      <c r="C12">
        <v>139</v>
      </c>
      <c r="D12" s="78">
        <f t="shared" si="3"/>
        <v>234</v>
      </c>
      <c r="E12" s="58">
        <f t="shared" si="4"/>
        <v>0.40598290598290598</v>
      </c>
      <c r="F12" s="58">
        <v>0.34247650000000002</v>
      </c>
      <c r="G12" s="58">
        <v>0.47190280000000001</v>
      </c>
      <c r="H12" s="58">
        <f t="shared" si="0"/>
        <v>6.3506405982905967E-2</v>
      </c>
      <c r="I12" s="58">
        <f t="shared" si="1"/>
        <v>6.5919894017094027E-2</v>
      </c>
      <c r="J12" s="58">
        <f t="shared" si="2"/>
        <v>0.40718965000000001</v>
      </c>
      <c r="L12"/>
      <c r="M12"/>
      <c r="O12"/>
      <c r="P12"/>
      <c r="Q12"/>
      <c r="R12"/>
    </row>
    <row r="13" spans="1:18">
      <c r="A13" s="50" t="s">
        <v>3</v>
      </c>
      <c r="B13">
        <v>29</v>
      </c>
      <c r="C13">
        <v>25</v>
      </c>
      <c r="D13" s="78">
        <f t="shared" si="3"/>
        <v>54</v>
      </c>
      <c r="E13" s="58">
        <f t="shared" si="4"/>
        <v>0.53703703703703709</v>
      </c>
      <c r="F13" s="58">
        <v>0.39609499999999997</v>
      </c>
      <c r="G13" s="58">
        <v>0.67377540000000002</v>
      </c>
      <c r="H13" s="58">
        <f t="shared" si="0"/>
        <v>0.14094203703703712</v>
      </c>
      <c r="I13" s="58">
        <f t="shared" si="1"/>
        <v>0.13673836296296293</v>
      </c>
      <c r="J13" s="58">
        <f t="shared" si="2"/>
        <v>0.53493520000000006</v>
      </c>
      <c r="L13"/>
      <c r="M13"/>
      <c r="O13"/>
      <c r="P13"/>
      <c r="Q13"/>
      <c r="R13"/>
    </row>
    <row r="14" spans="1:18">
      <c r="A14" s="50"/>
      <c r="L14"/>
      <c r="M14"/>
      <c r="O14"/>
      <c r="P14"/>
      <c r="Q14"/>
      <c r="R14"/>
    </row>
    <row r="15" spans="1:18">
      <c r="L15"/>
      <c r="M15"/>
      <c r="O15"/>
      <c r="P15"/>
      <c r="Q15"/>
      <c r="R15"/>
    </row>
    <row r="16" spans="1:18">
      <c r="L16"/>
      <c r="M16"/>
      <c r="O16"/>
      <c r="P16"/>
      <c r="Q16"/>
      <c r="R16"/>
    </row>
    <row r="17" spans="12:18">
      <c r="L17"/>
      <c r="M17"/>
      <c r="O17"/>
      <c r="P17"/>
      <c r="Q17"/>
      <c r="R17"/>
    </row>
  </sheetData>
  <hyperlinks>
    <hyperlink ref="A2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2020-03-19T17:01:34Z</cp:lastPrinted>
  <dcterms:created xsi:type="dcterms:W3CDTF">2020-03-17T21:22:13Z</dcterms:created>
  <dcterms:modified xsi:type="dcterms:W3CDTF">2020-03-19T17:02:52Z</dcterms:modified>
  <cp:category/>
</cp:coreProperties>
</file>