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heckmarx-my.sharepoint.com/personal/michael_fowler_checkmarx_com/Documents/Scripts/Templates/CXOne EHC/"/>
    </mc:Choice>
  </mc:AlternateContent>
  <xr:revisionPtr revIDLastSave="2670" documentId="10_ncr:20000_{88B34991-1F1D-4D77-AE99-5C740012A695}" xr6:coauthVersionLast="47" xr6:coauthVersionMax="47" xr10:uidLastSave="{4303DBEE-7FB5-4141-A28B-D4424DC912BD}"/>
  <bookViews>
    <workbookView xWindow="5715" yWindow="4860" windowWidth="25140" windowHeight="14430" tabRatio="775" activeTab="1" xr2:uid="{B39F2178-6D7B-474E-A062-952B25E6CD37}"/>
  </bookViews>
  <sheets>
    <sheet name="About" sheetId="1" r:id="rId1"/>
    <sheet name="Summary" sheetId="7" r:id="rId2"/>
    <sheet name="Avg Scan Time" sheetId="11" r:id="rId3"/>
    <sheet name="ScanCharts" sheetId="18" r:id="rId4"/>
    <sheet name="Engines" sheetId="15" r:id="rId5"/>
    <sheet name="Vulnerabilities" sheetId="16" r:id="rId6"/>
    <sheet name="Applications" sheetId="5" r:id="rId7"/>
    <sheet name="Projects" sheetId="6" r:id="rId8"/>
    <sheet name="Scans" sheetId="9" r:id="rId9"/>
    <sheet name="Change Management" sheetId="19" state="hidden" r:id="rId10"/>
    <sheet name="Lookups" sheetId="10" state="hidden" r:id="rId11"/>
  </sheets>
  <definedNames>
    <definedName name="_xlnm._FilterDatabase" localSheetId="8" hidden="1">Scans!$BD$9:$BE$9</definedName>
    <definedName name="_xlcn.WorksheetConnection_CxOneReport.xlsxApplicationsTable" hidden="1">ApplicationsTable[]</definedName>
    <definedName name="APPLICATIONS">About!$D$9</definedName>
    <definedName name="COUNTS">About!$D$12</definedName>
    <definedName name="DATA_PATH">About!$D$7</definedName>
    <definedName name="EndDate">Summary!$C$4</definedName>
    <definedName name="ExternalData_1" localSheetId="6" hidden="1">Applications!$A$1:$H$2</definedName>
    <definedName name="ExternalData_1" localSheetId="7" hidden="1">Projects!$A$1:$H$2</definedName>
    <definedName name="ExternalData_1" localSheetId="1" hidden="1">Summary!$B$2:$C$10</definedName>
    <definedName name="ExternalData_2" localSheetId="0" hidden="1">About!$C$6:$F$13</definedName>
    <definedName name="ExternalData_2" localSheetId="8" hidden="1">Scans!$A$1:$BR$2</definedName>
    <definedName name="GENERAL">About!$D$8</definedName>
    <definedName name="PROJECTS">About!$D$10</definedName>
    <definedName name="SCANS">About!$D$11</definedName>
    <definedName name="StartDate">Summary!$C$3</definedName>
    <definedName name="STATUSES">About!$D$13</definedName>
  </definedNames>
  <calcPr calcId="191029"/>
  <pivotCaches>
    <pivotCache cacheId="39" r:id="rId12"/>
    <pivotCache cacheId="81" r:id="rId13"/>
    <pivotCache cacheId="84" r:id="rId14"/>
    <pivotCache cacheId="123" r:id="rId15"/>
    <pivotCache cacheId="126" r:id="rId16"/>
    <pivotCache cacheId="132" r:id="rId17"/>
    <pivotCache cacheId="135" r:id="rId18"/>
  </pivotCaches>
  <extLst>
    <ext xmlns:x15="http://schemas.microsoft.com/office/spreadsheetml/2010/11/main" uri="{841E416B-1EF1-43b6-AB56-02D37102CBD5}">
      <x15:pivotCaches>
        <pivotCache cacheId="90" r:id="rId19"/>
        <pivotCache cacheId="93" r:id="rId20"/>
        <pivotCache cacheId="96" r:id="rId21"/>
        <pivotCache cacheId="114" r:id="rId22"/>
        <pivotCache cacheId="117" r:id="rId23"/>
        <pivotCache cacheId="120" r:id="rId24"/>
      </x15:pivotCaches>
    </ext>
    <ext xmlns:x15="http://schemas.microsoft.com/office/spreadsheetml/2010/11/main" uri="{983426D0-5260-488c-9760-48F4B6AC55F4}">
      <x15:pivotTableReferences>
        <x15:pivotTableReference r:id="rId25"/>
        <x15:pivotTableReference r:id="rId26"/>
        <x15:pivotTableReference r:id="rId27"/>
        <x15:pivotTableReference r:id="rId28"/>
        <x15:pivotTableReference r:id="rId29"/>
        <x15:pivotTableReference r:id="rId30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pplications_95d2493d-fd31-4a19-a338-9a3105860b53" name="Applications" connection="Query - Applications"/>
          <x15:modelTable id="Applications-Projects_2b47750c-393a-40e7-bd74-f4305fa9cbb8" name="Applications-Projects" connection="Query - Applications-Projects"/>
          <x15:modelTable id="Projects_57fbcf55-c43f-4c05-8876-6e01dfa9484f" name="Projects" connection="Query - Projects"/>
          <x15:modelTable id="Projects-Branches_684162db-56c4-4fcd-9a85-65fb6e152f6e" name="Projects-Branches" connection="Query - Projects-Branches"/>
          <x15:modelTable id="Scans_3f640756-64ed-4a9c-932f-813b3246eadb" name="Scans" connection="Query - Scans"/>
          <x15:modelTable id="Statuses_7abaea5e-0dcf-48e4-8a22-ab3c8f6dbc68" name="Statuses" connection="Query - Statuses"/>
          <x15:modelTable id="DateTable_16d59077-171f-4213-81e1-6dcb6c85c658" name="DateTable" connection="Query - DateTable"/>
          <x15:modelTable id="ApplicationsTable" name="ApplicationsTable" connection="WorksheetConnection_CxOne Report.xlsx!ApplicationsTable"/>
        </x15:modelTables>
        <x15:modelRelationships>
          <x15:modelRelationship fromTable="Applications-Projects" fromColumn="ApplicationID" toTable="Applications" toColumn="ApplicationID"/>
          <x15:modelRelationship fromTable="Applications-Projects" fromColumn="ProjectID" toTable="Projects" toColumn="ProjectID"/>
          <x15:modelRelationship fromTable="Projects-Branches" fromColumn="ProjectID" toTable="Projects" toColumn="ProjectID"/>
          <x15:modelRelationship fromTable="Scans" fromColumn="ProjectId" toTable="Projects" toColumn="ProjectID"/>
          <x15:modelRelationship fromTable="Scans" fromColumn="ScanDate" toTable="DateTable" toColumn="Date"/>
          <x15:modelRelationship fromTable="Statuses" fromColumn="ScanID" toTable="Scans" toColumn="Scan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tatuses" columnName="Runtime" columnId="Runtime">
                <x16:calculatedTimeColumn columnName="Runtime (Hour)" columnId="Runtime (Hour)" contentType="hours" isSelected="1"/>
                <x16:calculatedTimeColumn columnName="Runtime (Minute)" columnId="Runtime (Minute)" contentType="minutes" isSelected="1"/>
                <x16:calculatedTimeColumn columnName="Runtime (Second)" columnId="Runtime (Second)" contentType="seconds" isSelected="1"/>
              </x16:modelTimeGrouping>
              <x16:modelTimeGrouping tableName="Statuses" columnName="StartDate" columnId="StartDate">
                <x16:calculatedTimeColumn columnName="StartDate (Year)" columnId="StartDate (Year)" contentType="years" isSelected="1"/>
                <x16:calculatedTimeColumn columnName="StartDate (Quarter)" columnId="StartDate (Quarter)" contentType="quarters" isSelected="1"/>
                <x16:calculatedTimeColumn columnName="StartDate (Month Index)" columnId="StartDate (Month Index)" contentType="monthsindex" isSelected="1"/>
                <x16:calculatedTimeColumn columnName="StartDate (Month)" columnId="Start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1" l="1"/>
  <c r="E13" i="11"/>
  <c r="E12" i="11"/>
  <c r="E11" i="11"/>
  <c r="E10" i="11"/>
  <c r="E9" i="11"/>
  <c r="E8" i="11"/>
  <c r="E7" i="11"/>
  <c r="E6" i="11"/>
  <c r="E5" i="11"/>
  <c r="E4" i="11"/>
  <c r="E3" i="11"/>
  <c r="J3" i="11" l="1"/>
  <c r="N29" i="7"/>
  <c r="O29" i="7" s="1"/>
  <c r="N21" i="7"/>
  <c r="N20" i="7"/>
  <c r="N17" i="7"/>
  <c r="N16" i="7"/>
  <c r="N15" i="7"/>
  <c r="N14" i="7"/>
  <c r="N13" i="7"/>
  <c r="N12" i="7"/>
  <c r="M9" i="16"/>
  <c r="M8" i="16"/>
  <c r="M7" i="16"/>
  <c r="M6" i="16"/>
  <c r="M5" i="16"/>
  <c r="M4" i="16"/>
  <c r="O9" i="16"/>
  <c r="O8" i="16"/>
  <c r="O7" i="16"/>
  <c r="O6" i="16"/>
  <c r="O5" i="16"/>
  <c r="O4" i="16"/>
  <c r="Q9" i="16"/>
  <c r="Q8" i="16"/>
  <c r="Q7" i="16"/>
  <c r="Q6" i="16"/>
  <c r="Q5" i="16"/>
  <c r="Q4" i="16"/>
  <c r="K9" i="16"/>
  <c r="K8" i="16"/>
  <c r="K7" i="16"/>
  <c r="K6" i="16"/>
  <c r="K5" i="16"/>
  <c r="I9" i="16"/>
  <c r="I8" i="16"/>
  <c r="I7" i="16"/>
  <c r="I6" i="16"/>
  <c r="I5" i="16"/>
  <c r="I4" i="16"/>
  <c r="G5" i="16"/>
  <c r="G6" i="16"/>
  <c r="G7" i="16"/>
  <c r="G8" i="16"/>
  <c r="G9" i="16"/>
  <c r="E9" i="16"/>
  <c r="E8" i="16"/>
  <c r="E7" i="16"/>
  <c r="E6" i="16"/>
  <c r="E5" i="16"/>
  <c r="E4" i="16"/>
  <c r="C9" i="16"/>
  <c r="C8" i="16"/>
  <c r="C7" i="16"/>
  <c r="C6" i="16"/>
  <c r="C5" i="16"/>
  <c r="C4" i="16"/>
  <c r="G4" i="16"/>
  <c r="K4" i="16"/>
  <c r="V6" i="7"/>
  <c r="V7" i="7"/>
  <c r="V8" i="7"/>
  <c r="N3" i="7"/>
  <c r="D6" i="16"/>
  <c r="D7" i="16"/>
  <c r="D8" i="16"/>
  <c r="D9" i="16"/>
  <c r="D5" i="16"/>
  <c r="J6" i="16"/>
  <c r="J7" i="16"/>
  <c r="J8" i="16"/>
  <c r="J9" i="16"/>
  <c r="J5" i="16"/>
  <c r="J4" i="16"/>
  <c r="R9" i="16"/>
  <c r="R8" i="16"/>
  <c r="R7" i="16"/>
  <c r="R6" i="16"/>
  <c r="R5" i="16"/>
  <c r="R4" i="16"/>
  <c r="P9" i="16"/>
  <c r="P8" i="16"/>
  <c r="P7" i="16"/>
  <c r="P6" i="16"/>
  <c r="P5" i="16"/>
  <c r="P4" i="16"/>
  <c r="N9" i="16"/>
  <c r="N8" i="16"/>
  <c r="N7" i="16"/>
  <c r="N6" i="16"/>
  <c r="N5" i="16"/>
  <c r="N4" i="16"/>
  <c r="L9" i="16"/>
  <c r="L8" i="16"/>
  <c r="L7" i="16"/>
  <c r="L6" i="16"/>
  <c r="L5" i="16"/>
  <c r="L4" i="16"/>
  <c r="H9" i="16"/>
  <c r="H8" i="16"/>
  <c r="H7" i="16"/>
  <c r="H6" i="16"/>
  <c r="H5" i="16"/>
  <c r="H4" i="16"/>
  <c r="F5" i="16"/>
  <c r="F4" i="16"/>
  <c r="F9" i="16"/>
  <c r="F8" i="16"/>
  <c r="F7" i="16"/>
  <c r="F6" i="16"/>
  <c r="D4" i="16"/>
  <c r="G4" i="11"/>
  <c r="K4" i="11" s="1"/>
  <c r="G5" i="11"/>
  <c r="K5" i="11" s="1"/>
  <c r="G6" i="11"/>
  <c r="K6" i="11" s="1"/>
  <c r="G7" i="11"/>
  <c r="K7" i="11" s="1"/>
  <c r="G8" i="11"/>
  <c r="K8" i="11" s="1"/>
  <c r="G9" i="11"/>
  <c r="K9" i="11" s="1"/>
  <c r="G10" i="11"/>
  <c r="K10" i="11" s="1"/>
  <c r="G11" i="11"/>
  <c r="K11" i="11" s="1"/>
  <c r="G12" i="11"/>
  <c r="K12" i="11" s="1"/>
  <c r="G13" i="11"/>
  <c r="K13" i="11" s="1"/>
  <c r="G14" i="11"/>
  <c r="K14" i="11" s="1"/>
  <c r="G3" i="11"/>
  <c r="K3" i="11" s="1"/>
  <c r="J4" i="11"/>
  <c r="J5" i="11"/>
  <c r="J6" i="11"/>
  <c r="J7" i="11"/>
  <c r="J8" i="11"/>
  <c r="J10" i="11"/>
  <c r="J11" i="11"/>
  <c r="J12" i="11"/>
  <c r="J13" i="11"/>
  <c r="J14" i="1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3" i="7"/>
  <c r="N5" i="7"/>
  <c r="N28" i="7"/>
  <c r="O28" i="7" s="1"/>
  <c r="N27" i="7"/>
  <c r="O27" i="7" s="1"/>
  <c r="N26" i="7"/>
  <c r="O26" i="7" s="1"/>
  <c r="N25" i="7"/>
  <c r="O25" i="7" s="1"/>
  <c r="N24" i="7"/>
  <c r="O24" i="7" s="1"/>
  <c r="O21" i="7"/>
  <c r="O20" i="7"/>
  <c r="O17" i="7"/>
  <c r="O16" i="7"/>
  <c r="O15" i="7"/>
  <c r="O14" i="7"/>
  <c r="O13" i="7"/>
  <c r="O12" i="7"/>
  <c r="V5" i="7" l="1"/>
  <c r="E15" i="11"/>
  <c r="F9" i="11" s="1"/>
  <c r="J9" i="11"/>
  <c r="R22" i="7"/>
  <c r="N4" i="7"/>
  <c r="V3" i="7" s="1"/>
  <c r="R25" i="7"/>
  <c r="R17" i="7"/>
  <c r="R9" i="7"/>
  <c r="R26" i="7"/>
  <c r="R23" i="7"/>
  <c r="R14" i="7"/>
  <c r="R6" i="7"/>
  <c r="R20" i="7"/>
  <c r="R12" i="7"/>
  <c r="R3" i="7"/>
  <c r="R19" i="7"/>
  <c r="R15" i="7"/>
  <c r="R7" i="7"/>
  <c r="R4" i="7"/>
  <c r="R11" i="7"/>
  <c r="R18" i="7"/>
  <c r="R10" i="7"/>
  <c r="R21" i="7"/>
  <c r="R13" i="7"/>
  <c r="R5" i="7"/>
  <c r="R24" i="7"/>
  <c r="R16" i="7"/>
  <c r="R8" i="7"/>
  <c r="F5" i="11" l="1"/>
  <c r="F4" i="11"/>
  <c r="F13" i="11"/>
  <c r="F7" i="11"/>
  <c r="F11" i="11"/>
  <c r="F8" i="11"/>
  <c r="F6" i="11"/>
  <c r="F10" i="11"/>
  <c r="F3" i="11"/>
  <c r="F14" i="11"/>
  <c r="F12" i="11"/>
  <c r="V4" i="7"/>
  <c r="N9" i="7" l="1"/>
  <c r="O9" i="7" s="1"/>
  <c r="N7" i="7"/>
  <c r="O7" i="7" s="1"/>
  <c r="N8" i="7"/>
  <c r="O8" i="7" s="1"/>
  <c r="N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12A338E-0A1C-42A0-99AA-F644335A206B}" keepAlive="1" name="ModelConnection_ExternalData_1" description="Data Model" type="5" refreshedVersion="8" minRefreshableVersion="5" saveData="1">
    <dbPr connection="Data Model Connection" command="Application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6222644-1105-4AAC-BFBF-395CE4276E04}" keepAlive="1" name="ModelConnection_ExternalData_11" description="Data Model" type="5" refreshedVersion="8" minRefreshableVersion="5" saveData="1">
    <dbPr connection="Data Model Connection" command="Project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39A16E04-9CD4-400B-9D3E-5FACA217E60E}" keepAlive="1" name="ModelConnection_ExternalData_2" description="Data Model" type="5" refreshedVersion="8" minRefreshableVersion="5" saveData="1">
    <dbPr connection="Data Model Connection" command="Scan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761FB81-8DCB-4876-9D06-9E1774BD55DD}" keepAlive="1" name="Query - About" description="Connection to the 'About' query in the workbook." type="5" refreshedVersion="8" background="1" saveData="1">
    <dbPr connection="Provider=Microsoft.Mashup.OleDb.1;Data Source=$Workbook$;Location=About;Extended Properties=&quot;&quot;" command="SELECT * FROM [About]"/>
  </connection>
  <connection id="5" xr16:uid="{598730A3-A5A7-44F0-8516-27740EAF6E20}" name="Query - Applications" description="Connection to the 'Applications' query in the workbook." type="100" refreshedVersion="8" minRefreshableVersion="5">
    <extLst>
      <ext xmlns:x15="http://schemas.microsoft.com/office/spreadsheetml/2010/11/main" uri="{DE250136-89BD-433C-8126-D09CA5730AF9}">
        <x15:connection id="e8859693-82c0-4998-826d-2083230d2ef4"/>
      </ext>
    </extLst>
  </connection>
  <connection id="6" xr16:uid="{354E809B-39C4-46C7-A772-8575A30FA299}" name="Query - Applications-Projects" description="Connection to the 'Applications-Projects' query in the workbook." type="100" refreshedVersion="8" minRefreshableVersion="5">
    <extLst>
      <ext xmlns:x15="http://schemas.microsoft.com/office/spreadsheetml/2010/11/main" uri="{DE250136-89BD-433C-8126-D09CA5730AF9}">
        <x15:connection id="86152fd9-2747-4be8-bd4e-29318f6ee36c"/>
      </ext>
    </extLst>
  </connection>
  <connection id="7" xr16:uid="{0AC6E69C-5818-4770-9AAA-65632C8AFC2A}" keepAlive="1" name="Query - Counts" description="Connection to the 'Counts' query in the workbook." type="5" refreshedVersion="0" background="1">
    <dbPr connection="Provider=Microsoft.Mashup.OleDb.1;Data Source=$Workbook$;Location=Counts;Extended Properties=&quot;&quot;" command="SELECT * FROM [Counts]"/>
  </connection>
  <connection id="8" xr16:uid="{CD576097-B467-4CAC-A4A8-4C269D95EDB8}" name="Query - DateTable" description="Connection to the 'DateTable' query in the workbook." type="100" refreshedVersion="8" minRefreshableVersion="5">
    <extLst>
      <ext xmlns:x15="http://schemas.microsoft.com/office/spreadsheetml/2010/11/main" uri="{DE250136-89BD-433C-8126-D09CA5730AF9}">
        <x15:connection id="fb91f2b2-0d6b-4e31-8576-2d2ef7d21a37">
          <x15:oledbPr connection="Provider=Microsoft.Mashup.OleDb.1;Data Source=$Workbook$;Location=DateTable;Extended Properties=&quot;&quot;">
            <x15:dbTables>
              <x15:dbTable name="DateTable"/>
            </x15:dbTables>
          </x15:oledbPr>
        </x15:connection>
      </ext>
    </extLst>
  </connection>
  <connection id="9" xr16:uid="{12ECD967-F56B-4D62-ACC6-E107E9C8638F}" keepAlive="1" name="Query - General(1)" description="Connection to the 'General' query in the workbook." type="5" refreshedVersion="8" background="1" saveData="1">
    <dbPr connection="Provider=Microsoft.Mashup.OleDb.1;Data Source=$Workbook$;Location=General;Extended Properties=&quot;&quot;" command="SELECT * FROM [General]"/>
  </connection>
  <connection id="10" xr16:uid="{EA0272DE-9702-4729-A7B6-3D58D283D206}" name="Query - Projects" description="Connection to the 'Projects' query in the workbook." type="100" refreshedVersion="8" minRefreshableVersion="5">
    <extLst>
      <ext xmlns:x15="http://schemas.microsoft.com/office/spreadsheetml/2010/11/main" uri="{DE250136-89BD-433C-8126-D09CA5730AF9}">
        <x15:connection id="7078746d-2ffa-40d4-ae0a-761be63ede86"/>
      </ext>
    </extLst>
  </connection>
  <connection id="11" xr16:uid="{EA6A66AD-3C0B-4ED9-AFBD-F07AF3A51F17}" name="Query - Projects-Branches" description="Connection to the 'Projects-Branches' query in the workbook." type="100" refreshedVersion="8" minRefreshableVersion="5">
    <extLst>
      <ext xmlns:x15="http://schemas.microsoft.com/office/spreadsheetml/2010/11/main" uri="{DE250136-89BD-433C-8126-D09CA5730AF9}">
        <x15:connection id="6257f076-ddd8-4aaf-addd-6eec27d2253b"/>
      </ext>
    </extLst>
  </connection>
  <connection id="12" xr16:uid="{787FB1CB-5152-46F0-B066-C0D4DB29FDD9}" name="Query - Scans" description="Connection to the 'Scans' query in the workbook." type="100" refreshedVersion="8" minRefreshableVersion="5">
    <extLst>
      <ext xmlns:x15="http://schemas.microsoft.com/office/spreadsheetml/2010/11/main" uri="{DE250136-89BD-433C-8126-D09CA5730AF9}">
        <x15:connection id="5c1d90f8-f087-443b-8cf2-528ec9e837f8"/>
      </ext>
    </extLst>
  </connection>
  <connection id="13" xr16:uid="{49777660-C638-42B3-99E5-23F4F3054EB8}" name="Query - Statuses" description="Connection to the 'Statuses' query in the workbook." type="100" refreshedVersion="8" minRefreshableVersion="5">
    <extLst>
      <ext xmlns:x15="http://schemas.microsoft.com/office/spreadsheetml/2010/11/main" uri="{DE250136-89BD-433C-8126-D09CA5730AF9}">
        <x15:connection id="0a9b43d9-e998-435e-be71-71081d681086">
          <x15:oledbPr connection="Provider=Microsoft.Mashup.OleDb.1;Data Source=$Workbook$;Location=Statuses;Extended Properties=&quot;&quot;">
            <x15:dbTables>
              <x15:dbTable name="Statuses"/>
            </x15:dbTables>
          </x15:oledbPr>
        </x15:connection>
      </ext>
    </extLst>
  </connection>
  <connection id="14" xr16:uid="{8CC58C5A-1BDB-4B87-9680-8016E7FFA6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A435D988-CBC7-4A88-B796-66B27B1C68DC}" name="WorksheetConnection_CxOne Report.xlsx!ApplicationsTable" type="102" refreshedVersion="8" minRefreshableVersion="5">
    <extLst>
      <ext xmlns:x15="http://schemas.microsoft.com/office/spreadsheetml/2010/11/main" uri="{DE250136-89BD-433C-8126-D09CA5730AF9}">
        <x15:connection id="ApplicationsTable">
          <x15:rangePr sourceName="_xlcn.WorksheetConnection_CxOneReport.xlsxApplicationsTable"/>
        </x15:connection>
      </ext>
    </extLst>
  </connection>
</connections>
</file>

<file path=xl/sharedStrings.xml><?xml version="1.0" encoding="utf-8"?>
<sst xmlns="http://schemas.openxmlformats.org/spreadsheetml/2006/main" count="292" uniqueCount="207">
  <si>
    <t>DATA_PATH</t>
  </si>
  <si>
    <t>APPLICATIONS</t>
  </si>
  <si>
    <t>applications.csv</t>
  </si>
  <si>
    <t>ApplicationID</t>
  </si>
  <si>
    <t>ApplicationName</t>
  </si>
  <si>
    <t>Description</t>
  </si>
  <si>
    <t>CreatedAt</t>
  </si>
  <si>
    <t>UpdatedAt</t>
  </si>
  <si>
    <t>Criticality</t>
  </si>
  <si>
    <t>PROJECTS</t>
  </si>
  <si>
    <t>projects.csv</t>
  </si>
  <si>
    <t>ProjectID</t>
  </si>
  <si>
    <t>ProjectName</t>
  </si>
  <si>
    <t>MainBranch</t>
  </si>
  <si>
    <t>Origin</t>
  </si>
  <si>
    <t>PrivatePackage</t>
  </si>
  <si>
    <t># of Projects</t>
  </si>
  <si>
    <t>Projects</t>
  </si>
  <si>
    <t>Applications</t>
  </si>
  <si>
    <t>SCANS</t>
  </si>
  <si>
    <t>COUNTS</t>
  </si>
  <si>
    <t>scans.csv</t>
  </si>
  <si>
    <t>counts.csv</t>
  </si>
  <si>
    <t>ScanID</t>
  </si>
  <si>
    <t>ProjectId</t>
  </si>
  <si>
    <t>Status</t>
  </si>
  <si>
    <t>Branch</t>
  </si>
  <si>
    <t>Loc</t>
  </si>
  <si>
    <t>Engines</t>
  </si>
  <si>
    <t>SourceOrigin</t>
  </si>
  <si>
    <t>Sast</t>
  </si>
  <si>
    <t>Sca</t>
  </si>
  <si>
    <t>Kics</t>
  </si>
  <si>
    <t>Containers</t>
  </si>
  <si>
    <t>Api</t>
  </si>
  <si>
    <t>Number of Scans</t>
  </si>
  <si>
    <t>Projects Scanned</t>
  </si>
  <si>
    <t>Failed Scans</t>
  </si>
  <si>
    <t>Completed Scans</t>
  </si>
  <si>
    <t>Partial Scans</t>
  </si>
  <si>
    <t>Scans</t>
  </si>
  <si>
    <t>Count</t>
  </si>
  <si>
    <t>%</t>
  </si>
  <si>
    <t>Total_Vulnerabilties</t>
  </si>
  <si>
    <t>Total_Critical</t>
  </si>
  <si>
    <t>Total_High</t>
  </si>
  <si>
    <t>Total_Medium</t>
  </si>
  <si>
    <t>Total_Low</t>
  </si>
  <si>
    <t>Total_Info</t>
  </si>
  <si>
    <t>StartDate</t>
  </si>
  <si>
    <t>EndDate</t>
  </si>
  <si>
    <t>Runtime</t>
  </si>
  <si>
    <t>SourceType</t>
  </si>
  <si>
    <t># Scans</t>
  </si>
  <si>
    <t>Scan Results / Severity</t>
  </si>
  <si>
    <t>Average</t>
  </si>
  <si>
    <t>Max</t>
  </si>
  <si>
    <t>Total</t>
  </si>
  <si>
    <t>Critical</t>
  </si>
  <si>
    <t>High</t>
  </si>
  <si>
    <t>Medium</t>
  </si>
  <si>
    <t>Low</t>
  </si>
  <si>
    <t>Informational</t>
  </si>
  <si>
    <t>LOC per Scan</t>
  </si>
  <si>
    <t>Scan Duration</t>
  </si>
  <si>
    <t>Metrics</t>
  </si>
  <si>
    <t>SAST</t>
  </si>
  <si>
    <t>SCA</t>
  </si>
  <si>
    <t>KICS</t>
  </si>
  <si>
    <t>API</t>
  </si>
  <si>
    <t>HourRequested</t>
  </si>
  <si>
    <t>Hour of Day</t>
  </si>
  <si>
    <t># Brnch</t>
  </si>
  <si>
    <t># Apps</t>
  </si>
  <si>
    <t>Start Date</t>
  </si>
  <si>
    <t>End Date</t>
  </si>
  <si>
    <t>Days</t>
  </si>
  <si>
    <t>Weeks</t>
  </si>
  <si>
    <t>Avg Scans per Week</t>
  </si>
  <si>
    <t>Avg Scans per Day</t>
  </si>
  <si>
    <t>Avg Scans per Weekday</t>
  </si>
  <si>
    <t>Friday</t>
  </si>
  <si>
    <t>Wednesday</t>
  </si>
  <si>
    <t>Thursday</t>
  </si>
  <si>
    <t>Monday</t>
  </si>
  <si>
    <t>Tuesday</t>
  </si>
  <si>
    <t>Saturday</t>
  </si>
  <si>
    <t>Sunday</t>
  </si>
  <si>
    <t>Average Scans per Weekend Day</t>
  </si>
  <si>
    <t>Max Daily Scans Submitted</t>
  </si>
  <si>
    <t>Max Date of Scans</t>
  </si>
  <si>
    <t>ScanDate</t>
  </si>
  <si>
    <t>Scan Submission Summary</t>
  </si>
  <si>
    <t>Value</t>
  </si>
  <si>
    <t>LOC</t>
  </si>
  <si>
    <t># of Scans</t>
  </si>
  <si>
    <t>% Scans</t>
  </si>
  <si>
    <t>LOC Range</t>
  </si>
  <si>
    <t>to</t>
  </si>
  <si>
    <t>% of Scans</t>
  </si>
  <si>
    <t>Avg Scan Time</t>
  </si>
  <si>
    <t>0-20K</t>
  </si>
  <si>
    <t>20K-50K</t>
  </si>
  <si>
    <t>50K-100K</t>
  </si>
  <si>
    <t>100K-250K</t>
  </si>
  <si>
    <t>250K-500K</t>
  </si>
  <si>
    <t>500K-1M</t>
  </si>
  <si>
    <t>1M-2M</t>
  </si>
  <si>
    <t>2M-3M</t>
  </si>
  <si>
    <t>3M-5M</t>
  </si>
  <si>
    <t>5M-7M</t>
  </si>
  <si>
    <t>7M-10M</t>
  </si>
  <si>
    <t>10M-100M</t>
  </si>
  <si>
    <t>Initiator</t>
  </si>
  <si>
    <t>Sast_Total_Vulnerabilties</t>
  </si>
  <si>
    <t>Sast_Critical</t>
  </si>
  <si>
    <t>Sast_High</t>
  </si>
  <si>
    <t>Sast_Medium</t>
  </si>
  <si>
    <t>Sast_Low</t>
  </si>
  <si>
    <t>Sast_Info</t>
  </si>
  <si>
    <t>Kics_Total_Vulnerabilties</t>
  </si>
  <si>
    <t>Kics_Critical</t>
  </si>
  <si>
    <t>Kics_High</t>
  </si>
  <si>
    <t>Kics_Medium</t>
  </si>
  <si>
    <t>Kics_Low</t>
  </si>
  <si>
    <t>Kics_Info</t>
  </si>
  <si>
    <t>Sca_Total_Vulnerabilties</t>
  </si>
  <si>
    <t>Sca_Critical</t>
  </si>
  <si>
    <t>Sca_High</t>
  </si>
  <si>
    <t>Sca_Medium</t>
  </si>
  <si>
    <t>Sca_Low</t>
  </si>
  <si>
    <t>Sca_Info</t>
  </si>
  <si>
    <t>Packages_Total_Vulnerabilties</t>
  </si>
  <si>
    <t>Packages_Critical</t>
  </si>
  <si>
    <t>Packages_High</t>
  </si>
  <si>
    <t>Packages_Medium</t>
  </si>
  <si>
    <t>Packages_Low</t>
  </si>
  <si>
    <t>Packages_Info</t>
  </si>
  <si>
    <t>Api_Total_Vulnerabilties</t>
  </si>
  <si>
    <t>Api_Critical</t>
  </si>
  <si>
    <t>Api_High</t>
  </si>
  <si>
    <t>Api_Medium</t>
  </si>
  <si>
    <t>Api_Low</t>
  </si>
  <si>
    <t>Api_Info</t>
  </si>
  <si>
    <t>Containers_Total_Vulnerabilties</t>
  </si>
  <si>
    <t>Containers_Critical</t>
  </si>
  <si>
    <t>Containers_High</t>
  </si>
  <si>
    <t>Containers_Medium</t>
  </si>
  <si>
    <t>Containers_Low</t>
  </si>
  <si>
    <t>Containers_Info</t>
  </si>
  <si>
    <t>STATUSES</t>
  </si>
  <si>
    <t>statuses.csv</t>
  </si>
  <si>
    <t>Engine</t>
  </si>
  <si>
    <t>Avg Runtime</t>
  </si>
  <si>
    <t>Max Runtime</t>
  </si>
  <si>
    <t>Min Runtime</t>
  </si>
  <si>
    <t>Severity</t>
  </si>
  <si>
    <t>Packages</t>
  </si>
  <si>
    <t>Info</t>
  </si>
  <si>
    <t>RiskScore</t>
  </si>
  <si>
    <t>RiskSeverity</t>
  </si>
  <si>
    <t>CxOne version</t>
  </si>
  <si>
    <t>SAST version</t>
  </si>
  <si>
    <t>CxIam version</t>
  </si>
  <si>
    <t>KICS version</t>
  </si>
  <si>
    <t>GENERAL</t>
  </si>
  <si>
    <t>general.csv</t>
  </si>
  <si>
    <t>Current Contributors</t>
  </si>
  <si>
    <t>Detail</t>
  </si>
  <si>
    <t>N/A</t>
  </si>
  <si>
    <t>Licenced Contributors</t>
  </si>
  <si>
    <t>NOTE: Only shows scans where LOC is available</t>
  </si>
  <si>
    <t>Totals</t>
  </si>
  <si>
    <t>Status Overall</t>
  </si>
  <si>
    <t>Status Counts By Engine</t>
  </si>
  <si>
    <t>Parameter</t>
  </si>
  <si>
    <t>Message</t>
  </si>
  <si>
    <t>FOUND</t>
  </si>
  <si>
    <t>General CSV File</t>
  </si>
  <si>
    <t>Applications CSV File</t>
  </si>
  <si>
    <t>Projects CSV File</t>
  </si>
  <si>
    <t>Scans CSV File</t>
  </si>
  <si>
    <t>Counts CSV File</t>
  </si>
  <si>
    <t>Statuses CSV File</t>
  </si>
  <si>
    <t>Checkmarx One Report</t>
  </si>
  <si>
    <t>Version</t>
  </si>
  <si>
    <t>File path for CSV files</t>
  </si>
  <si>
    <t>Date</t>
  </si>
  <si>
    <t>Instructions</t>
  </si>
  <si>
    <t>1. Run the powershell script "CxOne-Report.ps1" to generate the file "data.zip"
2. Extract the CSV files to single folder
3. Update the value of DATA_PATH to the location of the extracted files
4. Select Refresh All from the Data tab of this workbook</t>
  </si>
  <si>
    <t>Day of Week</t>
  </si>
  <si>
    <t>SSCS</t>
  </si>
  <si>
    <t>SSCS_Total_Vulnerabilties</t>
  </si>
  <si>
    <t>SSCS_Critical</t>
  </si>
  <si>
    <t>SSCS_High</t>
  </si>
  <si>
    <t>SSCS_Medium</t>
  </si>
  <si>
    <t>SSCS_Low</t>
  </si>
  <si>
    <t>SSCS_Info</t>
  </si>
  <si>
    <t>Comments</t>
  </si>
  <si>
    <t>Original Version</t>
  </si>
  <si>
    <t>Changed Secrets to SSCS to reflect data</t>
  </si>
  <si>
    <t>(blank)</t>
  </si>
  <si>
    <t>Add formula to Scans table to calculate latest scan</t>
  </si>
  <si>
    <t>Latest Branch Scan</t>
  </si>
  <si>
    <t>Updated queries to handle multiline error messages and modified scan time formulas to only count completed scans</t>
  </si>
  <si>
    <t>C:\Users\MichaelFo\OneDrive - Checkmarx\Scripts\Templates\CXOne EHC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</si>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</sst>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d\.hh:mm:ss"/>
    <numFmt numFmtId="165" formatCode="hh:mm:ss"/>
    <numFmt numFmtId="166" formatCode="_(* #,##0_);_(* \(#,##0\);_(* &quot;-&quot;??_);_(@_)"/>
    <numFmt numFmtId="167" formatCode="mmmm\ dd\,\ yyyy"/>
    <numFmt numFmtId="168" formatCode="yyyy\-mm\-dd"/>
    <numFmt numFmtId="169" formatCode="0.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theme="4" tint="0.79998168889431442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47">
    <xf numFmtId="0" fontId="0" fillId="0" borderId="0" xfId="0"/>
    <xf numFmtId="22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7" fillId="3" borderId="0" xfId="0" applyFont="1" applyFill="1"/>
    <xf numFmtId="3" fontId="7" fillId="3" borderId="0" xfId="0" applyNumberFormat="1" applyFont="1" applyFill="1"/>
    <xf numFmtId="21" fontId="7" fillId="3" borderId="0" xfId="0" applyNumberFormat="1" applyFont="1" applyFill="1"/>
    <xf numFmtId="0" fontId="0" fillId="0" borderId="0" xfId="0" applyAlignment="1">
      <alignment horizontal="center"/>
    </xf>
    <xf numFmtId="3" fontId="0" fillId="3" borderId="7" xfId="0" applyNumberFormat="1" applyFill="1" applyBorder="1" applyAlignment="1">
      <alignment horizontal="center"/>
    </xf>
    <xf numFmtId="3" fontId="0" fillId="3" borderId="8" xfId="0" applyNumberFormat="1" applyFill="1" applyBorder="1" applyAlignment="1">
      <alignment horizontal="center"/>
    </xf>
    <xf numFmtId="3" fontId="0" fillId="3" borderId="2" xfId="0" applyNumberFormat="1" applyFill="1" applyBorder="1" applyAlignment="1">
      <alignment horizontal="center"/>
    </xf>
    <xf numFmtId="3" fontId="0" fillId="3" borderId="3" xfId="0" applyNumberFormat="1" applyFill="1" applyBorder="1" applyAlignment="1">
      <alignment horizontal="center"/>
    </xf>
    <xf numFmtId="3" fontId="0" fillId="3" borderId="4" xfId="0" applyNumberFormat="1" applyFill="1" applyBorder="1" applyAlignment="1">
      <alignment horizontal="center"/>
    </xf>
    <xf numFmtId="3" fontId="0" fillId="3" borderId="5" xfId="0" applyNumberForma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9" fontId="8" fillId="3" borderId="1" xfId="1" applyFont="1" applyFill="1" applyBorder="1" applyAlignment="1">
      <alignment horizontal="center"/>
    </xf>
    <xf numFmtId="0" fontId="8" fillId="3" borderId="0" xfId="0" applyFont="1" applyFill="1"/>
    <xf numFmtId="166" fontId="8" fillId="3" borderId="0" xfId="2" applyNumberFormat="1" applyFont="1" applyFill="1" applyBorder="1"/>
    <xf numFmtId="0" fontId="2" fillId="3" borderId="7" xfId="0" applyFont="1" applyFill="1" applyBorder="1"/>
    <xf numFmtId="0" fontId="0" fillId="3" borderId="16" xfId="0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3" fontId="0" fillId="3" borderId="19" xfId="0" applyNumberFormat="1" applyFill="1" applyBorder="1" applyAlignment="1">
      <alignment horizontal="center"/>
    </xf>
    <xf numFmtId="3" fontId="4" fillId="3" borderId="21" xfId="1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/>
    <xf numFmtId="3" fontId="4" fillId="3" borderId="22" xfId="1" applyNumberFormat="1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9" fontId="0" fillId="3" borderId="3" xfId="1" applyFont="1" applyFill="1" applyBorder="1" applyAlignment="1">
      <alignment horizontal="center"/>
    </xf>
    <xf numFmtId="0" fontId="2" fillId="3" borderId="4" xfId="0" applyFont="1" applyFill="1" applyBorder="1"/>
    <xf numFmtId="0" fontId="0" fillId="3" borderId="23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9" fontId="0" fillId="3" borderId="5" xfId="1" applyFont="1" applyFill="1" applyBorder="1" applyAlignment="1">
      <alignment horizontal="center"/>
    </xf>
    <xf numFmtId="0" fontId="2" fillId="3" borderId="18" xfId="0" applyFont="1" applyFill="1" applyBorder="1"/>
    <xf numFmtId="3" fontId="0" fillId="3" borderId="20" xfId="0" applyNumberFormat="1" applyFill="1" applyBorder="1" applyAlignment="1">
      <alignment horizontal="center"/>
    </xf>
    <xf numFmtId="3" fontId="0" fillId="3" borderId="14" xfId="0" applyNumberFormat="1" applyFill="1" applyBorder="1" applyAlignment="1">
      <alignment horizontal="center"/>
    </xf>
    <xf numFmtId="3" fontId="0" fillId="3" borderId="17" xfId="0" applyNumberFormat="1" applyFill="1" applyBorder="1" applyAlignment="1">
      <alignment horizontal="center"/>
    </xf>
    <xf numFmtId="3" fontId="0" fillId="3" borderId="16" xfId="0" applyNumberFormat="1" applyFill="1" applyBorder="1" applyAlignment="1">
      <alignment horizontal="center"/>
    </xf>
    <xf numFmtId="165" fontId="0" fillId="3" borderId="17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9" fontId="0" fillId="3" borderId="8" xfId="1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6" fillId="3" borderId="0" xfId="0" applyFont="1" applyFill="1"/>
    <xf numFmtId="3" fontId="8" fillId="3" borderId="0" xfId="0" applyNumberFormat="1" applyFont="1" applyFill="1"/>
    <xf numFmtId="0" fontId="9" fillId="3" borderId="24" xfId="0" applyFont="1" applyFill="1" applyBorder="1"/>
    <xf numFmtId="0" fontId="9" fillId="3" borderId="25" xfId="0" applyFont="1" applyFill="1" applyBorder="1"/>
    <xf numFmtId="166" fontId="8" fillId="3" borderId="2" xfId="2" applyNumberFormat="1" applyFont="1" applyFill="1" applyBorder="1"/>
    <xf numFmtId="21" fontId="8" fillId="3" borderId="3" xfId="0" applyNumberFormat="1" applyFont="1" applyFill="1" applyBorder="1" applyAlignment="1">
      <alignment horizontal="center"/>
    </xf>
    <xf numFmtId="166" fontId="8" fillId="3" borderId="4" xfId="2" applyNumberFormat="1" applyFont="1" applyFill="1" applyBorder="1"/>
    <xf numFmtId="0" fontId="8" fillId="3" borderId="6" xfId="0" applyFont="1" applyFill="1" applyBorder="1" applyAlignment="1">
      <alignment horizontal="center"/>
    </xf>
    <xf numFmtId="9" fontId="8" fillId="3" borderId="6" xfId="1" applyFont="1" applyFill="1" applyBorder="1" applyAlignment="1">
      <alignment horizontal="center"/>
    </xf>
    <xf numFmtId="21" fontId="8" fillId="3" borderId="5" xfId="0" applyNumberFormat="1" applyFont="1" applyFill="1" applyBorder="1" applyAlignment="1">
      <alignment horizontal="center"/>
    </xf>
    <xf numFmtId="3" fontId="8" fillId="3" borderId="14" xfId="2" applyNumberFormat="1" applyFont="1" applyFill="1" applyBorder="1" applyAlignment="1">
      <alignment horizontal="center"/>
    </xf>
    <xf numFmtId="3" fontId="8" fillId="3" borderId="17" xfId="2" applyNumberFormat="1" applyFont="1" applyFill="1" applyBorder="1" applyAlignment="1">
      <alignment horizontal="center"/>
    </xf>
    <xf numFmtId="166" fontId="8" fillId="3" borderId="3" xfId="2" applyNumberFormat="1" applyFont="1" applyFill="1" applyBorder="1"/>
    <xf numFmtId="166" fontId="8" fillId="3" borderId="5" xfId="2" applyNumberFormat="1" applyFont="1" applyFill="1" applyBorder="1"/>
    <xf numFmtId="3" fontId="9" fillId="3" borderId="12" xfId="2" applyNumberFormat="1" applyFont="1" applyFill="1" applyBorder="1" applyAlignment="1">
      <alignment horizontal="center"/>
    </xf>
    <xf numFmtId="0" fontId="5" fillId="2" borderId="26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9" fillId="2" borderId="3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left" vertical="center" wrapText="1"/>
    </xf>
    <xf numFmtId="0" fontId="10" fillId="2" borderId="26" xfId="0" applyFont="1" applyFill="1" applyBorder="1" applyAlignment="1">
      <alignment horizontal="center" vertical="center" wrapText="1"/>
    </xf>
    <xf numFmtId="0" fontId="10" fillId="2" borderId="26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 wrapText="1"/>
    </xf>
    <xf numFmtId="0" fontId="10" fillId="2" borderId="12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left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12" fillId="5" borderId="9" xfId="0" applyFont="1" applyFill="1" applyBorder="1"/>
    <xf numFmtId="2" fontId="0" fillId="0" borderId="10" xfId="0" applyNumberFormat="1" applyBorder="1" applyAlignment="1">
      <alignment horizontal="left"/>
    </xf>
    <xf numFmtId="167" fontId="0" fillId="0" borderId="11" xfId="0" applyNumberFormat="1" applyBorder="1" applyAlignment="1">
      <alignment horizontal="center"/>
    </xf>
    <xf numFmtId="0" fontId="0" fillId="6" borderId="33" xfId="0" applyFill="1" applyBorder="1"/>
    <xf numFmtId="0" fontId="0" fillId="6" borderId="35" xfId="0" applyFill="1" applyBorder="1"/>
    <xf numFmtId="0" fontId="0" fillId="6" borderId="37" xfId="0" applyFill="1" applyBorder="1"/>
    <xf numFmtId="0" fontId="0" fillId="6" borderId="39" xfId="0" applyFill="1" applyBorder="1"/>
    <xf numFmtId="0" fontId="0" fillId="6" borderId="38" xfId="0" applyFill="1" applyBorder="1"/>
    <xf numFmtId="0" fontId="0" fillId="6" borderId="34" xfId="0" applyFill="1" applyBorder="1"/>
    <xf numFmtId="0" fontId="0" fillId="6" borderId="36" xfId="0" applyFill="1" applyBorder="1"/>
    <xf numFmtId="0" fontId="0" fillId="6" borderId="0" xfId="0" applyFill="1"/>
    <xf numFmtId="0" fontId="13" fillId="6" borderId="0" xfId="0" applyFont="1" applyFill="1" applyAlignment="1">
      <alignment horizontal="center"/>
    </xf>
    <xf numFmtId="0" fontId="0" fillId="0" borderId="0" xfId="0" applyProtection="1">
      <protection locked="0"/>
    </xf>
    <xf numFmtId="0" fontId="12" fillId="5" borderId="9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/>
    </xf>
    <xf numFmtId="0" fontId="2" fillId="0" borderId="41" xfId="0" applyFont="1" applyBorder="1" applyAlignment="1">
      <alignment horizontal="left"/>
    </xf>
    <xf numFmtId="0" fontId="2" fillId="0" borderId="35" xfId="0" applyFont="1" applyBorder="1" applyAlignment="1">
      <alignment horizontal="left"/>
    </xf>
    <xf numFmtId="168" fontId="0" fillId="3" borderId="29" xfId="0" applyNumberFormat="1" applyFill="1" applyBorder="1" applyAlignment="1">
      <alignment horizontal="center"/>
    </xf>
    <xf numFmtId="168" fontId="0" fillId="3" borderId="16" xfId="0" applyNumberFormat="1" applyFill="1" applyBorder="1" applyAlignment="1">
      <alignment horizontal="center"/>
    </xf>
    <xf numFmtId="0" fontId="0" fillId="0" borderId="13" xfId="0" applyBorder="1"/>
    <xf numFmtId="168" fontId="0" fillId="0" borderId="0" xfId="0" applyNumberFormat="1"/>
    <xf numFmtId="169" fontId="0" fillId="3" borderId="20" xfId="1" applyNumberFormat="1" applyFont="1" applyFill="1" applyBorder="1" applyAlignment="1">
      <alignment horizontal="center"/>
    </xf>
    <xf numFmtId="169" fontId="0" fillId="3" borderId="14" xfId="1" applyNumberFormat="1" applyFont="1" applyFill="1" applyBorder="1" applyAlignment="1">
      <alignment horizontal="center"/>
    </xf>
    <xf numFmtId="169" fontId="0" fillId="3" borderId="17" xfId="1" applyNumberFormat="1" applyFont="1" applyFill="1" applyBorder="1" applyAlignment="1">
      <alignment horizontal="center"/>
    </xf>
    <xf numFmtId="0" fontId="0" fillId="0" borderId="42" xfId="0" applyBorder="1"/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9" xfId="0" applyBorder="1"/>
    <xf numFmtId="0" fontId="0" fillId="0" borderId="9" xfId="0" pivotButton="1" applyBorder="1"/>
    <xf numFmtId="10" fontId="0" fillId="0" borderId="3" xfId="0" applyNumberFormat="1" applyBorder="1" applyAlignment="1">
      <alignment horizontal="center"/>
    </xf>
    <xf numFmtId="10" fontId="0" fillId="0" borderId="5" xfId="0" applyNumberFormat="1" applyBorder="1" applyAlignment="1">
      <alignment horizontal="center"/>
    </xf>
    <xf numFmtId="0" fontId="6" fillId="3" borderId="12" xfId="0" applyFont="1" applyFill="1" applyBorder="1"/>
    <xf numFmtId="0" fontId="6" fillId="3" borderId="13" xfId="0" applyFont="1" applyFill="1" applyBorder="1"/>
    <xf numFmtId="0" fontId="6" fillId="3" borderId="9" xfId="0" applyFont="1" applyFill="1" applyBorder="1"/>
    <xf numFmtId="0" fontId="6" fillId="3" borderId="15" xfId="0" applyFont="1" applyFill="1" applyBorder="1"/>
    <xf numFmtId="2" fontId="0" fillId="0" borderId="0" xfId="0" applyNumberFormat="1"/>
    <xf numFmtId="0" fontId="8" fillId="3" borderId="26" xfId="0" applyFont="1" applyFill="1" applyBorder="1"/>
    <xf numFmtId="0" fontId="0" fillId="3" borderId="0" xfId="0" applyFill="1" applyAlignment="1">
      <alignment horizontal="center"/>
    </xf>
    <xf numFmtId="0" fontId="0" fillId="3" borderId="43" xfId="0" applyFill="1" applyBorder="1"/>
    <xf numFmtId="0" fontId="2" fillId="3" borderId="12" xfId="0" applyFont="1" applyFill="1" applyBorder="1" applyAlignment="1">
      <alignment horizontal="left"/>
    </xf>
    <xf numFmtId="0" fontId="9" fillId="3" borderId="12" xfId="0" applyFont="1" applyFill="1" applyBorder="1" applyAlignment="1">
      <alignment horizontal="left"/>
    </xf>
    <xf numFmtId="0" fontId="13" fillId="6" borderId="40" xfId="0" applyFont="1" applyFill="1" applyBorder="1" applyAlignment="1">
      <alignment horizontal="center" vertical="center"/>
    </xf>
    <xf numFmtId="0" fontId="0" fillId="0" borderId="32" xfId="0" applyBorder="1" applyAlignment="1">
      <alignment horizontal="left" vertical="top" wrapText="1"/>
    </xf>
    <xf numFmtId="0" fontId="0" fillId="0" borderId="31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3" borderId="28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left"/>
    </xf>
    <xf numFmtId="0" fontId="5" fillId="7" borderId="26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3" borderId="12" xfId="0" applyNumberFormat="1" applyFont="1" applyFill="1" applyBorder="1" applyAlignment="1">
      <alignment horizontal="center"/>
    </xf>
    <xf numFmtId="0" fontId="0" fillId="3" borderId="12" xfId="0" applyFont="1" applyFill="1" applyBorder="1" applyAlignment="1">
      <alignment horizontal="left"/>
    </xf>
    <xf numFmtId="3" fontId="0" fillId="3" borderId="9" xfId="0" applyNumberFormat="1" applyFont="1" applyFill="1" applyBorder="1" applyAlignment="1">
      <alignment horizontal="center"/>
    </xf>
    <xf numFmtId="3" fontId="0" fillId="3" borderId="10" xfId="0" applyNumberFormat="1" applyFont="1" applyFill="1" applyBorder="1" applyAlignment="1">
      <alignment horizontal="center"/>
    </xf>
    <xf numFmtId="3" fontId="0" fillId="3" borderId="11" xfId="0" applyNumberFormat="1" applyFont="1" applyFill="1" applyBorder="1" applyAlignment="1">
      <alignment horizontal="center"/>
    </xf>
    <xf numFmtId="0" fontId="0" fillId="3" borderId="9" xfId="0" applyNumberFormat="1" applyFont="1" applyFill="1" applyBorder="1" applyAlignment="1">
      <alignment horizontal="center"/>
    </xf>
    <xf numFmtId="9" fontId="0" fillId="3" borderId="11" xfId="0" applyNumberFormat="1" applyFont="1" applyFill="1" applyBorder="1" applyAlignment="1">
      <alignment horizontal="center"/>
    </xf>
    <xf numFmtId="0" fontId="0" fillId="4" borderId="26" xfId="0" applyFont="1" applyFill="1" applyBorder="1" applyAlignment="1">
      <alignment horizontal="center"/>
    </xf>
    <xf numFmtId="0" fontId="0" fillId="4" borderId="13" xfId="0" applyFont="1" applyFill="1" applyBorder="1" applyAlignment="1">
      <alignment horizontal="center"/>
    </xf>
    <xf numFmtId="0" fontId="0" fillId="3" borderId="9" xfId="0" applyFont="1" applyFill="1" applyBorder="1" applyAlignment="1">
      <alignment horizontal="left"/>
    </xf>
    <xf numFmtId="0" fontId="0" fillId="3" borderId="12" xfId="0" applyNumberFormat="1" applyFill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0" fillId="0" borderId="4" xfId="0" applyNumberFormat="1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982"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font>
        <b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border>
        <right style="thin">
          <color indexed="64"/>
        </right>
      </border>
    </dxf>
    <dxf>
      <font>
        <b val="0"/>
      </font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64" formatCode="d\.hh:mm:ss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</font>
    </dxf>
    <dxf>
      <alignment horizontal="center"/>
    </dxf>
    <dxf>
      <alignment horizontal="center"/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ont>
        <b/>
      </font>
    </dxf>
    <dxf>
      <numFmt numFmtId="3" formatCode="#,##0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alignment horizontal="left"/>
    </dxf>
    <dxf>
      <border>
        <right style="thin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alignment horizontal="center"/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sz val="14"/>
      </font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/>
        <top/>
        <bottom/>
      </border>
    </dxf>
    <dxf>
      <border>
        <left/>
        <top/>
        <bottom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hh:mm:ss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alignment horizontal="center"/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7" tint="0.5999938962981048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8" formatCode="yyyy\-mm\-dd"/>
    </dxf>
    <dxf>
      <numFmt numFmtId="168" formatCode="yyyy\-mm\-dd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</font>
      <fill>
        <patternFill patternType="solid">
          <fgColor indexed="64"/>
          <bgColor theme="0"/>
        </patternFill>
      </fill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yyyy\-mm\-dd"/>
    </dxf>
    <dxf>
      <numFmt numFmtId="168" formatCode="yyyy\-mm\-dd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</border>
    </dxf>
    <dxf>
      <border>
        <left/>
        <right/>
        <top/>
        <bottom/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/>
        <top/>
        <bottom/>
      </border>
    </dxf>
    <dxf>
      <border>
        <left/>
        <top/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medium">
          <color indexed="64"/>
        </left>
        <top style="medium">
          <color indexed="64"/>
        </top>
      </border>
    </dxf>
    <dxf>
      <border>
        <left style="medium">
          <color indexed="64"/>
        </left>
        <top style="medium">
          <color indexed="64"/>
        </top>
      </border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alignment horizontal="center"/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b/>
        <sz val="12"/>
      </font>
      <fill>
        <patternFill patternType="solid">
          <fgColor indexed="64"/>
          <bgColor theme="0"/>
        </patternFill>
      </fill>
    </dxf>
    <dxf>
      <font>
        <sz val="14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>
          <bgColor theme="7" tint="0.59999389629810485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alignment horizontal="center"/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font>
        <sz val="14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hh:mm:ss"/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7" tint="0.59999389629810485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/>
    </dxf>
    <dxf>
      <alignment horizontal="center"/>
    </dxf>
    <dxf>
      <font>
        <b/>
      </font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7" tint="0.59999389629810485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numFmt numFmtId="13" formatCode="0%"/>
    </dxf>
    <dxf>
      <numFmt numFmtId="14" formatCode="0.00%"/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alignment horizontal="left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center" vertical="center" wrapText="1"/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3" formatCode="#,##0"/>
    </dxf>
    <dxf>
      <font>
        <b/>
      </font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fgColor theme="4" tint="0.79998168889431442"/>
        </patternFill>
      </fill>
    </dxf>
    <dxf>
      <fill>
        <patternFill>
          <fgColor theme="4" tint="0.7999816888943144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border>
        <left style="thin">
          <color indexed="64"/>
        </left>
      </border>
    </dxf>
    <dxf>
      <fill>
        <patternFill>
          <fgColor theme="4" tint="0.79998168889431442"/>
        </patternFill>
      </fill>
      <alignment horizontal="center"/>
    </dxf>
    <dxf>
      <fill>
        <patternFill>
          <fgColor theme="4" tint="0.79998168889431442"/>
        </patternFill>
      </fill>
      <alignment horizont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font>
        <b val="0"/>
      </font>
    </dxf>
    <dxf>
      <border>
        <right style="thin">
          <color indexed="64"/>
        </right>
      </border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vertical="center" wrapText="1"/>
    </dxf>
    <dxf>
      <font>
        <b/>
        <color auto="1"/>
      </font>
      <fill>
        <patternFill>
          <fgColor theme="4" tint="0.79998168889431442"/>
          <bgColor theme="4" tint="0.79998168889431442"/>
        </patternFill>
      </fill>
      <alignment horizontal="left" vertical="center" wrapText="1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b/>
      </font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0" formatCode="General"/>
    </dxf>
    <dxf>
      <numFmt numFmtId="0" formatCode="General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Table" Target="pivotTables/pivotTable2.xml"/><Relationship Id="rId39" Type="http://schemas.openxmlformats.org/officeDocument/2006/relationships/customXml" Target="../customXml/item3.xml"/><Relationship Id="rId21" Type="http://schemas.openxmlformats.org/officeDocument/2006/relationships/pivotCacheDefinition" Target="pivotCache/pivotCacheDefinition10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6.xml"/><Relationship Id="rId47" Type="http://schemas.openxmlformats.org/officeDocument/2006/relationships/customXml" Target="../customXml/item11.xml"/><Relationship Id="rId50" Type="http://schemas.openxmlformats.org/officeDocument/2006/relationships/customXml" Target="../customXml/item14.xml"/><Relationship Id="rId55" Type="http://schemas.openxmlformats.org/officeDocument/2006/relationships/customXml" Target="../customXml/item1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9" Type="http://schemas.openxmlformats.org/officeDocument/2006/relationships/pivotTable" Target="pivotTables/pivotTable5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onnections" Target="connections.xml"/><Relationship Id="rId37" Type="http://schemas.openxmlformats.org/officeDocument/2006/relationships/customXml" Target="../customXml/item1.xml"/><Relationship Id="rId40" Type="http://schemas.openxmlformats.org/officeDocument/2006/relationships/customXml" Target="../customXml/item4.xml"/><Relationship Id="rId45" Type="http://schemas.openxmlformats.org/officeDocument/2006/relationships/customXml" Target="../customXml/item9.xml"/><Relationship Id="rId53" Type="http://schemas.openxmlformats.org/officeDocument/2006/relationships/customXml" Target="../customXml/item17.xml"/><Relationship Id="rId58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25.xml"/><Relationship Id="rId19" Type="http://schemas.openxmlformats.org/officeDocument/2006/relationships/pivotCacheDefinition" Target="pivotCache/pivotCacheDefinition8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pivotTable" Target="pivotTables/pivotTable3.xml"/><Relationship Id="rId30" Type="http://schemas.openxmlformats.org/officeDocument/2006/relationships/pivotTable" Target="pivotTables/pivotTable6.xml"/><Relationship Id="rId35" Type="http://schemas.openxmlformats.org/officeDocument/2006/relationships/powerPivotData" Target="model/item.data"/><Relationship Id="rId43" Type="http://schemas.openxmlformats.org/officeDocument/2006/relationships/customXml" Target="../customXml/item7.xml"/><Relationship Id="rId48" Type="http://schemas.openxmlformats.org/officeDocument/2006/relationships/customXml" Target="../customXml/item12.xml"/><Relationship Id="rId56" Type="http://schemas.openxmlformats.org/officeDocument/2006/relationships/customXml" Target="../customXml/item20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Table" Target="pivotTables/pivotTable1.xml"/><Relationship Id="rId33" Type="http://schemas.openxmlformats.org/officeDocument/2006/relationships/styles" Target="styles.xml"/><Relationship Id="rId38" Type="http://schemas.openxmlformats.org/officeDocument/2006/relationships/customXml" Target="../customXml/item2.xml"/><Relationship Id="rId46" Type="http://schemas.openxmlformats.org/officeDocument/2006/relationships/customXml" Target="../customXml/item10.xml"/><Relationship Id="rId59" Type="http://schemas.openxmlformats.org/officeDocument/2006/relationships/customXml" Target="../customXml/item23.xml"/><Relationship Id="rId20" Type="http://schemas.openxmlformats.org/officeDocument/2006/relationships/pivotCacheDefinition" Target="pivotCache/pivotCacheDefinition9.xml"/><Relationship Id="rId41" Type="http://schemas.openxmlformats.org/officeDocument/2006/relationships/customXml" Target="../customXml/item5.xml"/><Relationship Id="rId54" Type="http://schemas.openxmlformats.org/officeDocument/2006/relationships/customXml" Target="../customXml/item18.xml"/><Relationship Id="rId62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pivotTable" Target="pivotTables/pivotTable4.xml"/><Relationship Id="rId36" Type="http://schemas.openxmlformats.org/officeDocument/2006/relationships/calcChain" Target="calcChain.xml"/><Relationship Id="rId49" Type="http://schemas.openxmlformats.org/officeDocument/2006/relationships/customXml" Target="../customXml/item13.xml"/><Relationship Id="rId57" Type="http://schemas.openxmlformats.org/officeDocument/2006/relationships/customXml" Target="../customXml/item21.xml"/><Relationship Id="rId10" Type="http://schemas.openxmlformats.org/officeDocument/2006/relationships/worksheet" Target="worksheets/sheet10.xml"/><Relationship Id="rId31" Type="http://schemas.openxmlformats.org/officeDocument/2006/relationships/theme" Target="theme/theme1.xml"/><Relationship Id="rId44" Type="http://schemas.openxmlformats.org/officeDocument/2006/relationships/customXml" Target="../customXml/item8.xml"/><Relationship Id="rId52" Type="http://schemas.openxmlformats.org/officeDocument/2006/relationships/customXml" Target="../customXml/item16.xml"/><Relationship Id="rId60" Type="http://schemas.openxmlformats.org/officeDocument/2006/relationships/customXml" Target="../customXml/item2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 sz="2000" b="1">
                <a:solidFill>
                  <a:srgbClr val="002060"/>
                </a:solidFill>
              </a:rPr>
              <a:t>Avg Scan</a:t>
            </a:r>
            <a:r>
              <a:rPr lang="en-AU" sz="2000" b="1" baseline="0">
                <a:solidFill>
                  <a:srgbClr val="002060"/>
                </a:solidFill>
              </a:rPr>
              <a:t> Time by LOC Range</a:t>
            </a:r>
            <a:endParaRPr lang="en-AU" sz="2000" b="1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'Avg Scan Time'!$J$2</c:f>
              <c:strCache>
                <c:ptCount val="1"/>
                <c:pt idx="0">
                  <c:v># of Scans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Time'!$J$3:$J$14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1488672"/>
        <c:axId val="2091470432"/>
      </c:barChart>
      <c:lineChart>
        <c:grouping val="standard"/>
        <c:varyColors val="0"/>
        <c:ser>
          <c:idx val="1"/>
          <c:order val="1"/>
          <c:tx>
            <c:strRef>
              <c:f>'Avg Scan Time'!$K$2</c:f>
              <c:strCache>
                <c:ptCount val="1"/>
                <c:pt idx="0">
                  <c:v>Avg Scan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Scan Time'!$I$3:$I$14</c:f>
              <c:strCache>
                <c:ptCount val="12"/>
                <c:pt idx="0">
                  <c:v>0-20K</c:v>
                </c:pt>
                <c:pt idx="1">
                  <c:v>20K-50K</c:v>
                </c:pt>
                <c:pt idx="2">
                  <c:v>50K-100K</c:v>
                </c:pt>
                <c:pt idx="3">
                  <c:v>100K-250K</c:v>
                </c:pt>
                <c:pt idx="4">
                  <c:v>250K-500K</c:v>
                </c:pt>
                <c:pt idx="5">
                  <c:v>500K-1M</c:v>
                </c:pt>
                <c:pt idx="6">
                  <c:v>1M-2M</c:v>
                </c:pt>
                <c:pt idx="7">
                  <c:v>2M-3M</c:v>
                </c:pt>
                <c:pt idx="8">
                  <c:v>3M-5M</c:v>
                </c:pt>
                <c:pt idx="9">
                  <c:v>5M-7M</c:v>
                </c:pt>
                <c:pt idx="10">
                  <c:v>7M-10M</c:v>
                </c:pt>
                <c:pt idx="11">
                  <c:v>10M-100M</c:v>
                </c:pt>
              </c:strCache>
            </c:strRef>
          </c:cat>
          <c:val>
            <c:numRef>
              <c:f>'Avg Scan Time'!$K$3:$K$14</c:f>
              <c:numCache>
                <c:formatCode>h:mm:ss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88-4DDA-AB04-C2E9C61E82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6379200"/>
        <c:axId val="1946387840"/>
      </c:lineChart>
      <c:catAx>
        <c:axId val="209148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70432"/>
        <c:crosses val="autoZero"/>
        <c:auto val="1"/>
        <c:lblAlgn val="ctr"/>
        <c:lblOffset val="100"/>
        <c:noMultiLvlLbl val="0"/>
      </c:catAx>
      <c:valAx>
        <c:axId val="209147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88672"/>
        <c:crosses val="autoZero"/>
        <c:crossBetween val="between"/>
      </c:valAx>
      <c:valAx>
        <c:axId val="1946387840"/>
        <c:scaling>
          <c:orientation val="minMax"/>
        </c:scaling>
        <c:delete val="0"/>
        <c:axPos val="r"/>
        <c:numFmt formatCode="h:mm:ss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379200"/>
        <c:crosses val="max"/>
        <c:crossBetween val="between"/>
      </c:valAx>
      <c:catAx>
        <c:axId val="194637920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46387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 by Month</a:t>
            </a: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Report.xlsx]PivotChartTable5</c15:name>
        <c15:fmtId val="8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Count of ScanID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</c:numLit>
          </c:val>
          <c:extLst>
            <c:ext xmlns:c16="http://schemas.microsoft.com/office/drawing/2014/chart" uri="{C3380CC4-5D6E-409C-BE32-E72D297353CC}">
              <c16:uniqueId val="{00000000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lineChart>
        <c:grouping val="standard"/>
        <c:varyColors val="0"/>
        <c:ser>
          <c:idx val="1"/>
          <c:order val="1"/>
          <c:tx>
            <c:v>Sum of Loc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91"/>
              <c:pt idx="0">
                <c:v>1/01/2026</c:v>
              </c:pt>
              <c:pt idx="1">
                <c:v>1/02/2026</c:v>
              </c:pt>
              <c:pt idx="2">
                <c:v>1/03/2026</c:v>
              </c:pt>
              <c:pt idx="3">
                <c:v>10/01/2026</c:v>
              </c:pt>
              <c:pt idx="4">
                <c:v>10/02/2026</c:v>
              </c:pt>
              <c:pt idx="5">
                <c:v>10/12/2025</c:v>
              </c:pt>
              <c:pt idx="6">
                <c:v>11/01/2026</c:v>
              </c:pt>
              <c:pt idx="7">
                <c:v>11/02/2026</c:v>
              </c:pt>
              <c:pt idx="8">
                <c:v>11/12/2025</c:v>
              </c:pt>
              <c:pt idx="9">
                <c:v>12/01/2026</c:v>
              </c:pt>
              <c:pt idx="10">
                <c:v>12/02/2026</c:v>
              </c:pt>
              <c:pt idx="11">
                <c:v>12/12/2025</c:v>
              </c:pt>
              <c:pt idx="12">
                <c:v>13/01/2026</c:v>
              </c:pt>
              <c:pt idx="13">
                <c:v>13/02/2026</c:v>
              </c:pt>
              <c:pt idx="14">
                <c:v>13/12/2025</c:v>
              </c:pt>
              <c:pt idx="15">
                <c:v>14/01/2026</c:v>
              </c:pt>
              <c:pt idx="16">
                <c:v>14/02/2026</c:v>
              </c:pt>
              <c:pt idx="17">
                <c:v>14/12/2025</c:v>
              </c:pt>
              <c:pt idx="18">
                <c:v>15/01/2026</c:v>
              </c:pt>
              <c:pt idx="19">
                <c:v>15/02/2026</c:v>
              </c:pt>
              <c:pt idx="20">
                <c:v>15/12/2025</c:v>
              </c:pt>
              <c:pt idx="21">
                <c:v>16/01/2026</c:v>
              </c:pt>
              <c:pt idx="22">
                <c:v>16/02/2026</c:v>
              </c:pt>
              <c:pt idx="23">
                <c:v>16/12/2025</c:v>
              </c:pt>
              <c:pt idx="24">
                <c:v>17/01/2026</c:v>
              </c:pt>
              <c:pt idx="25">
                <c:v>17/02/2026</c:v>
              </c:pt>
              <c:pt idx="26">
                <c:v>17/12/2025</c:v>
              </c:pt>
              <c:pt idx="27">
                <c:v>18/01/2026</c:v>
              </c:pt>
              <c:pt idx="28">
                <c:v>18/02/2026</c:v>
              </c:pt>
              <c:pt idx="29">
                <c:v>18/12/2025</c:v>
              </c:pt>
              <c:pt idx="30">
                <c:v>19/01/2026</c:v>
              </c:pt>
              <c:pt idx="31">
                <c:v>19/02/2026</c:v>
              </c:pt>
              <c:pt idx="32">
                <c:v>19/12/2025</c:v>
              </c:pt>
              <c:pt idx="33">
                <c:v>2/01/2026</c:v>
              </c:pt>
              <c:pt idx="34">
                <c:v>2/02/2026</c:v>
              </c:pt>
              <c:pt idx="35">
                <c:v>2/03/2026</c:v>
              </c:pt>
              <c:pt idx="36">
                <c:v>20/01/2026</c:v>
              </c:pt>
              <c:pt idx="37">
                <c:v>20/02/2026</c:v>
              </c:pt>
              <c:pt idx="38">
                <c:v>20/12/2025</c:v>
              </c:pt>
              <c:pt idx="39">
                <c:v>21/01/2026</c:v>
              </c:pt>
              <c:pt idx="40">
                <c:v>21/02/2026</c:v>
              </c:pt>
              <c:pt idx="41">
                <c:v>21/12/2025</c:v>
              </c:pt>
              <c:pt idx="42">
                <c:v>22/01/2026</c:v>
              </c:pt>
              <c:pt idx="43">
                <c:v>22/02/2026</c:v>
              </c:pt>
              <c:pt idx="44">
                <c:v>22/12/2025</c:v>
              </c:pt>
              <c:pt idx="45">
                <c:v>23/01/2026</c:v>
              </c:pt>
              <c:pt idx="46">
                <c:v>23/02/2026</c:v>
              </c:pt>
              <c:pt idx="47">
                <c:v>23/12/2025</c:v>
              </c:pt>
              <c:pt idx="48">
                <c:v>24/01/2026</c:v>
              </c:pt>
              <c:pt idx="49">
                <c:v>24/02/2026</c:v>
              </c:pt>
              <c:pt idx="50">
                <c:v>24/12/2025</c:v>
              </c:pt>
              <c:pt idx="51">
                <c:v>25/01/2026</c:v>
              </c:pt>
              <c:pt idx="52">
                <c:v>25/02/2026</c:v>
              </c:pt>
              <c:pt idx="53">
                <c:v>25/12/2025</c:v>
              </c:pt>
              <c:pt idx="54">
                <c:v>26/01/2026</c:v>
              </c:pt>
              <c:pt idx="55">
                <c:v>26/02/2026</c:v>
              </c:pt>
              <c:pt idx="56">
                <c:v>26/12/2025</c:v>
              </c:pt>
              <c:pt idx="57">
                <c:v>27/01/2026</c:v>
              </c:pt>
              <c:pt idx="58">
                <c:v>27/02/2026</c:v>
              </c:pt>
              <c:pt idx="59">
                <c:v>27/12/2025</c:v>
              </c:pt>
              <c:pt idx="60">
                <c:v>28/01/2026</c:v>
              </c:pt>
              <c:pt idx="61">
                <c:v>28/02/2026</c:v>
              </c:pt>
              <c:pt idx="62">
                <c:v>28/12/2025</c:v>
              </c:pt>
              <c:pt idx="63">
                <c:v>29/01/2026</c:v>
              </c:pt>
              <c:pt idx="64">
                <c:v>29/12/2025</c:v>
              </c:pt>
              <c:pt idx="65">
                <c:v>3/01/2026</c:v>
              </c:pt>
              <c:pt idx="66">
                <c:v>3/02/2026</c:v>
              </c:pt>
              <c:pt idx="67">
                <c:v>3/03/2026</c:v>
              </c:pt>
              <c:pt idx="68">
                <c:v>30/01/2026</c:v>
              </c:pt>
              <c:pt idx="69">
                <c:v>30/12/2025</c:v>
              </c:pt>
              <c:pt idx="70">
                <c:v>31/01/2026</c:v>
              </c:pt>
              <c:pt idx="71">
                <c:v>31/12/2025</c:v>
              </c:pt>
              <c:pt idx="72">
                <c:v>4/01/2026</c:v>
              </c:pt>
              <c:pt idx="73">
                <c:v>4/02/2026</c:v>
              </c:pt>
              <c:pt idx="74">
                <c:v>4/03/2026</c:v>
              </c:pt>
              <c:pt idx="75">
                <c:v>5/01/2026</c:v>
              </c:pt>
              <c:pt idx="76">
                <c:v>5/02/2026</c:v>
              </c:pt>
              <c:pt idx="77">
                <c:v>5/03/2026</c:v>
              </c:pt>
              <c:pt idx="78">
                <c:v>5/12/2025</c:v>
              </c:pt>
              <c:pt idx="79">
                <c:v>6/01/2026</c:v>
              </c:pt>
              <c:pt idx="80">
                <c:v>6/02/2026</c:v>
              </c:pt>
              <c:pt idx="81">
                <c:v>6/12/2025</c:v>
              </c:pt>
              <c:pt idx="82">
                <c:v>7/01/2026</c:v>
              </c:pt>
              <c:pt idx="83">
                <c:v>7/02/2026</c:v>
              </c:pt>
              <c:pt idx="84">
                <c:v>7/12/2025</c:v>
              </c:pt>
              <c:pt idx="85">
                <c:v>8/01/2026</c:v>
              </c:pt>
              <c:pt idx="86">
                <c:v>8/02/2026</c:v>
              </c:pt>
              <c:pt idx="87">
                <c:v>8/12/2025</c:v>
              </c:pt>
              <c:pt idx="88">
                <c:v>9/01/2026</c:v>
              </c:pt>
              <c:pt idx="89">
                <c:v>9/02/2026</c:v>
              </c:pt>
              <c:pt idx="90">
                <c:v>9/12/2025</c:v>
              </c:pt>
            </c:strLit>
          </c:cat>
          <c:val>
            <c:numLit>
              <c:formatCode>General</c:formatCode>
              <c:ptCount val="91"/>
            </c:numLit>
          </c:val>
          <c:smooth val="0"/>
          <c:extLst>
            <c:ext xmlns:c16="http://schemas.microsoft.com/office/drawing/2014/chart" uri="{C3380CC4-5D6E-409C-BE32-E72D297353CC}">
              <c16:uniqueId val="{00000001-CD50-4EB4-93AB-C33372AE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3070320"/>
        <c:axId val="783072240"/>
      </c:line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783072240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070320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783070320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7830722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Report.xlsx]PivotChartTable6</c15:name>
        <c15:fmtId val="1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AU" b="1">
                <a:solidFill>
                  <a:schemeClr val="tx1"/>
                </a:solidFill>
              </a:rPr>
              <a:t>Scans</a:t>
            </a:r>
            <a:r>
              <a:rPr lang="en-AU" b="1" baseline="0">
                <a:solidFill>
                  <a:schemeClr val="tx1"/>
                </a:solidFill>
              </a:rPr>
              <a:t> by Day of Week</a:t>
            </a:r>
            <a:endParaRPr lang="en-AU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45642833265398114"/>
          <c:y val="4.8815243802181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1372623"/>
        <c:axId val="531374543"/>
      </c:barChart>
      <c:catAx>
        <c:axId val="5313726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4543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53137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37262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Report.xlsx]PivotChartTable7</c15:name>
        <c15:fmtId val="12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Status Totals by Engine</a:t>
            </a:r>
          </a:p>
        </c:rich>
      </c:tx>
      <c:layout>
        <c:manualLayout>
          <c:xMode val="edge"/>
          <c:yMode val="edge"/>
          <c:x val="0.37780581563898369"/>
          <c:y val="1.3862293234364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004508976"/>
        <c:axId val="2004507056"/>
      </c:barChart>
      <c:catAx>
        <c:axId val="20045089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705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200450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508976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Scans</a:t>
            </a:r>
            <a:r>
              <a:rPr lang="en-AU" baseline="0">
                <a:solidFill>
                  <a:srgbClr val="002060"/>
                </a:solidFill>
              </a:rPr>
              <a:t> by Engine</a:t>
            </a:r>
            <a:endParaRPr lang="en-AU">
              <a:solidFill>
                <a:srgbClr val="002060"/>
              </a:solidFill>
            </a:endParaRPr>
          </a:p>
        </c:rich>
      </c:tx>
      <c:layout>
        <c:manualLayout>
          <c:xMode val="edge"/>
          <c:yMode val="edge"/>
          <c:x val="0.45408629317018828"/>
          <c:y val="4.04864884847140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00932031"/>
        <c:axId val="1400932991"/>
      </c:barChart>
      <c:catAx>
        <c:axId val="140093203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991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40093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0932031"/>
        <c:crosses val="autoZero"/>
        <c:crossBetween val="between"/>
        <c:extLst>
          <c:ext xmlns:c15="http://schemas.microsoft.com/office/drawing/2012/chart" uri="{F40574EE-89B7-4290-83BB-5DA773EAF853}">
            <c15:numFmt c:formatCode="0%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r>
              <a:rPr lang="en-AU">
                <a:solidFill>
                  <a:srgbClr val="002060"/>
                </a:solidFill>
              </a:rPr>
              <a:t>Runtime per Engine</a:t>
            </a:r>
          </a:p>
        </c:rich>
      </c:tx>
      <c:layout>
        <c:manualLayout>
          <c:xMode val="edge"/>
          <c:yMode val="edge"/>
          <c:x val="0.40529739718504221"/>
          <c:y val="3.84366180168901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097051139011495"/>
          <c:y val="0.164210676594296"/>
          <c:w val="0.70658589949058259"/>
          <c:h val="0.60064002459943555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0995616"/>
        <c:axId val="1880995136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9521216"/>
        <c:axId val="2079518816"/>
      </c:lineChart>
      <c:catAx>
        <c:axId val="1880995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13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8809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Avg Runtime</a:t>
                </a:r>
              </a:p>
            </c:rich>
          </c:tx>
          <c:layout>
            <c:manualLayout>
              <c:xMode val="edge"/>
              <c:yMode val="edge"/>
              <c:x val="7.6609626784440221E-2"/>
              <c:y val="0.408087064430753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0995616"/>
        <c:crosses val="autoZero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valAx>
        <c:axId val="207951881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Max Runtime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hh:mm:ss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21216"/>
        <c:crosses val="max"/>
        <c:crossBetween val="between"/>
        <c:extLst>
          <c:ext xmlns:c15="http://schemas.microsoft.com/office/drawing/2012/chart" uri="{F40574EE-89B7-4290-83BB-5DA773EAF853}">
            <c15:numFmt c:formatCode="hh:mm:ss" c:sourceLinked="1"/>
          </c:ext>
        </c:extLst>
      </c:valAx>
      <c:catAx>
        <c:axId val="207952121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18816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5="http://schemas.microsoft.com/office/drawing/2012/chart" uri="{723BEF56-08C2-4564-9609-F4CBC75E7E54}">
      <c15:pivotSource>
        <c15:name>[CxOne Report.xlsx]PivotChartTable2</c15:name>
        <c15:fmtId val="15"/>
      </c15:pivotSource>
      <c15:pivotOptions>
        <c15:dropZoneFilter val="1"/>
        <c15:dropZoneCategories val="1"/>
        <c15:dropZoneData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[CxOne Report.xlsx]Engines!PivotTable1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2"/>
                </a:solidFill>
              </a:rPr>
              <a:t>Status Totals Overall</a:t>
            </a:r>
          </a:p>
        </c:rich>
      </c:tx>
      <c:layout>
        <c:manualLayout>
          <c:xMode val="edge"/>
          <c:yMode val="edge"/>
          <c:x val="0.36327272727272725"/>
          <c:y val="6.1160440051376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1611897221334326E-2"/>
              <c:y val="-0.1193191489361702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5707320757567175"/>
              <c:y val="-9.662411347517731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8084523979957047"/>
          <c:y val="0.3562101971296141"/>
          <c:w val="0.24430522548317821"/>
          <c:h val="0.57177818730105534"/>
        </c:manualLayout>
      </c:layout>
      <c:pieChart>
        <c:varyColors val="1"/>
        <c:ser>
          <c:idx val="0"/>
          <c:order val="0"/>
          <c:tx>
            <c:strRef>
              <c:f>Engines!$M$3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142-4F02-9000-7B8781FC0E0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142-4F02-9000-7B8781FC0E0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D39-4F20-9542-068C4658B196}"/>
              </c:ext>
            </c:extLst>
          </c:dPt>
          <c:dLbls>
            <c:dLbl>
              <c:idx val="0"/>
              <c:layout>
                <c:manualLayout>
                  <c:x val="0.15707320757567175"/>
                  <c:y val="-9.662411347517731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42-4F02-9000-7B8781FC0E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Engines!$L$4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Engines!$M$4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4142-4F02-9000-7B8781FC0E0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Average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(Vulnerabilities!$E$5,Vulnerabilities!$G$5,Vulnerabilities!$I$5,Vulnerabilities!$K$5,Vulnerabilities!$M$5,Vulnerabilities!$O$5,Vulnerabilities!$Q$5)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6A-442C-845B-49FC4F819173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(Vulnerabilities!$E$6,Vulnerabilities!$G$6,Vulnerabilities!$I$6,Vulnerabilities!$K$6,Vulnerabilities!$M$6,Vulnerabilities!$O$6,Vulnerabilities!$Q$6)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56A-442C-845B-49FC4F819173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(Vulnerabilities!$E$7,Vulnerabilities!$G$7,Vulnerabilities!$I$7,Vulnerabilities!$K$7,Vulnerabilities!$M$7,Vulnerabilities!$O$7,Vulnerabilities!$Q$7)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56A-442C-845B-49FC4F819173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(Vulnerabilities!$E$8,Vulnerabilities!$G$8,Vulnerabilities!$I$8,Vulnerabilities!$K$8,Vulnerabilities!$M$8,Vulnerabilities!$O$8,Vulnerabilities!$Q$8)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56A-442C-845B-49FC4F819173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(Vulnerabilities!$E$2:$E$3,Vulnerabilities!$G$2:$G$3,Vulnerabilities!$I$2:$I$3,Vulnerabilities!$K$2:$K$3,Vulnerabilities!$M$2:$M$3,Vulnerabilities!$O$2:$O$3,Vulnerabilities!$Q$2:$Q$3)</c:f>
              <c:multiLvlStrCache>
                <c:ptCount val="7"/>
                <c:lvl>
                  <c:pt idx="0">
                    <c:v>Average</c:v>
                  </c:pt>
                  <c:pt idx="1">
                    <c:v>Average</c:v>
                  </c:pt>
                  <c:pt idx="2">
                    <c:v>Average</c:v>
                  </c:pt>
                  <c:pt idx="3">
                    <c:v>Average</c:v>
                  </c:pt>
                  <c:pt idx="4">
                    <c:v>Average</c:v>
                  </c:pt>
                  <c:pt idx="5">
                    <c:v>Average</c:v>
                  </c:pt>
                  <c:pt idx="6">
                    <c:v>Average</c:v>
                  </c:pt>
                </c:lvl>
                <c:lvl>
                  <c:pt idx="0">
                    <c:v>SAST</c:v>
                  </c:pt>
                  <c:pt idx="1">
                    <c:v>SCA</c:v>
                  </c:pt>
                  <c:pt idx="2">
                    <c:v>Packages</c:v>
                  </c:pt>
                  <c:pt idx="3">
                    <c:v>KICS</c:v>
                  </c:pt>
                  <c:pt idx="4">
                    <c:v>API</c:v>
                  </c:pt>
                  <c:pt idx="5">
                    <c:v>SSCS</c:v>
                  </c:pt>
                  <c:pt idx="6">
                    <c:v>Containers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(Vulnerabilities!$E$9,Vulnerabilities!$G$9,Vulnerabilities!$I$9,Vulnerabilities!$K$9,Vulnerabilities!$M$9,Vulnerabilities!$O$9,Vulnerabilities!$Q$9)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56A-442C-845B-49FC4F819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(Vulnerabilities!$E$2:$E$3,Vulnerabilities!$G$2:$G$3,Vulnerabilities!$I$2:$I$3,Vulnerabilities!$K$2:$K$3,Vulnerabilities!$M$2:$M$3,Vulnerabilities!$O$2:$O$3,Vulnerabilities!$Q$2:$Q$3)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Average</c:v>
                        </c:pt>
                        <c:pt idx="1">
                          <c:v>Average</c:v>
                        </c:pt>
                        <c:pt idx="2">
                          <c:v>Average</c:v>
                        </c:pt>
                        <c:pt idx="3">
                          <c:v>Average</c:v>
                        </c:pt>
                        <c:pt idx="4">
                          <c:v>Average</c:v>
                        </c:pt>
                        <c:pt idx="5">
                          <c:v>Average</c:v>
                        </c:pt>
                        <c:pt idx="6">
                          <c:v>Average</c:v>
                        </c:pt>
                      </c:lvl>
                      <c:lvl>
                        <c:pt idx="0">
                          <c:v>SAST</c:v>
                        </c:pt>
                        <c:pt idx="1">
                          <c:v>SCA</c:v>
                        </c:pt>
                        <c:pt idx="2">
                          <c:v>Packages</c:v>
                        </c:pt>
                        <c:pt idx="3">
                          <c:v>KICS</c:v>
                        </c:pt>
                        <c:pt idx="4">
                          <c:v>API</c:v>
                        </c:pt>
                        <c:pt idx="5">
                          <c:v>SSCS</c:v>
                        </c:pt>
                        <c:pt idx="6">
                          <c:v>Containers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(Vulnerabilities!$E$4,Vulnerabilities!$G$4,Vulnerabilities!$I$4,Vulnerabilities!$K$4,Vulnerabilities!$M$4,Vulnerabilities!$O$4,Vulnerabilities!$Q$4)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56A-442C-845B-49FC4F819173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 sz="2000"/>
              <a:t>Max</a:t>
            </a:r>
            <a:r>
              <a:rPr lang="en-AU" sz="2000" baseline="0"/>
              <a:t> </a:t>
            </a:r>
            <a:r>
              <a:rPr lang="en-AU" sz="2000"/>
              <a:t>Vulnerability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Vulnerabilities!$B$5</c:f>
              <c:strCache>
                <c:ptCount val="1"/>
                <c:pt idx="0">
                  <c:v>Critical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Vulnerabilities!$C$5:$R$5</c15:sqref>
                  </c15:fullRef>
                </c:ext>
              </c:extLst>
              <c:f>(Vulnerabilities!$F$5,Vulnerabilities!$H$5,Vulnerabilities!$J$5,Vulnerabilities!$L$5,Vulnerabilities!$N$5,Vulnerabilities!$P$5,Vulnerabilities!$R$5)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22-4887-8C7F-6E64E3B9E2D2}"/>
            </c:ext>
          </c:extLst>
        </c:ser>
        <c:ser>
          <c:idx val="2"/>
          <c:order val="2"/>
          <c:tx>
            <c:strRef>
              <c:f>Vulnerabilities!$B$6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Vulnerabilities!$C$6:$R$6</c15:sqref>
                  </c15:fullRef>
                </c:ext>
              </c:extLst>
              <c:f>(Vulnerabilities!$F$6,Vulnerabilities!$H$6,Vulnerabilities!$J$6,Vulnerabilities!$L$6,Vulnerabilities!$N$6,Vulnerabilities!$P$6,Vulnerabilities!$R$6)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22-4887-8C7F-6E64E3B9E2D2}"/>
            </c:ext>
          </c:extLst>
        </c:ser>
        <c:ser>
          <c:idx val="3"/>
          <c:order val="3"/>
          <c:tx>
            <c:strRef>
              <c:f>Vulnerabilities!$B$7</c:f>
              <c:strCache>
                <c:ptCount val="1"/>
                <c:pt idx="0">
                  <c:v>Medium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Vulnerabilities!$C$7:$R$7</c15:sqref>
                  </c15:fullRef>
                </c:ext>
              </c:extLst>
              <c:f>(Vulnerabilities!$F$7,Vulnerabilities!$H$7,Vulnerabilities!$J$7,Vulnerabilities!$L$7,Vulnerabilities!$N$7,Vulnerabilities!$P$7,Vulnerabilities!$R$7)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22-4887-8C7F-6E64E3B9E2D2}"/>
            </c:ext>
          </c:extLst>
        </c:ser>
        <c:ser>
          <c:idx val="4"/>
          <c:order val="4"/>
          <c:tx>
            <c:strRef>
              <c:f>Vulnerabilities!$B$8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Vulnerabilities!$C$8:$R$8</c15:sqref>
                  </c15:fullRef>
                </c:ext>
              </c:extLst>
              <c:f>(Vulnerabilities!$F$8,Vulnerabilities!$H$8,Vulnerabilities!$J$8,Vulnerabilities!$L$8,Vulnerabilities!$N$8,Vulnerabilities!$P$8,Vulnerabilities!$R$8)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C22-4887-8C7F-6E64E3B9E2D2}"/>
            </c:ext>
          </c:extLst>
        </c:ser>
        <c:ser>
          <c:idx val="5"/>
          <c:order val="5"/>
          <c:tx>
            <c:strRef>
              <c:f>Vulnerabilities!$B$9</c:f>
              <c:strCache>
                <c:ptCount val="1"/>
                <c:pt idx="0">
                  <c:v>Info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Vulnerabilities!$C$2:$R$3</c15:sqref>
                  </c15:fullRef>
                </c:ext>
              </c:extLst>
              <c:f>(Vulnerabilities!$F$2:$F$3,Vulnerabilities!$H$2:$H$3,Vulnerabilities!$J$2:$J$3,Vulnerabilities!$L$2:$L$3,Vulnerabilities!$N$2:$N$3,Vulnerabilities!$P$2:$P$3,Vulnerabilities!$R$2:$R$3)</c:f>
              <c:multiLvlStrCache>
                <c:ptCount val="7"/>
                <c:lvl>
                  <c:pt idx="0">
                    <c:v>Max</c:v>
                  </c:pt>
                  <c:pt idx="1">
                    <c:v>Max</c:v>
                  </c:pt>
                  <c:pt idx="2">
                    <c:v>Max</c:v>
                  </c:pt>
                  <c:pt idx="3">
                    <c:v>Max</c:v>
                  </c:pt>
                  <c:pt idx="4">
                    <c:v>Max</c:v>
                  </c:pt>
                  <c:pt idx="5">
                    <c:v>Max</c:v>
                  </c:pt>
                  <c:pt idx="6">
                    <c:v>Max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Vulnerabilities!$C$9:$R$9</c15:sqref>
                  </c15:fullRef>
                </c:ext>
              </c:extLst>
              <c:f>(Vulnerabilities!$F$9,Vulnerabilities!$H$9,Vulnerabilities!$J$9,Vulnerabilities!$L$9,Vulnerabilities!$N$9,Vulnerabilities!$P$9,Vulnerabilities!$R$9)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C22-4887-8C7F-6E64E3B9E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316567071"/>
        <c:axId val="31656419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Vulnerabilities!$B$4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ullRef>
                          <c15:sqref>Vulnerabilities!$C$2:$R$3</c15:sqref>
                        </c15:fullRef>
                        <c15:formulaRef>
                          <c15:sqref>(Vulnerabilities!$F$2:$F$3,Vulnerabilities!$H$2:$H$3,Vulnerabilities!$J$2:$J$3,Vulnerabilities!$L$2:$L$3,Vulnerabilities!$N$2:$N$3,Vulnerabilities!$P$2:$P$3,Vulnerabilities!$R$2:$R$3)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Max</c:v>
                        </c:pt>
                        <c:pt idx="1">
                          <c:v>Max</c:v>
                        </c:pt>
                        <c:pt idx="2">
                          <c:v>Max</c:v>
                        </c:pt>
                        <c:pt idx="3">
                          <c:v>Max</c:v>
                        </c:pt>
                        <c:pt idx="4">
                          <c:v>Max</c:v>
                        </c:pt>
                        <c:pt idx="5">
                          <c:v>Max</c:v>
                        </c:pt>
                        <c:pt idx="6">
                          <c:v>Max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Vulnerabilities!$C$4:$R$4</c15:sqref>
                        </c15:fullRef>
                        <c15:formulaRef>
                          <c15:sqref>(Vulnerabilities!$F$4,Vulnerabilities!$H$4,Vulnerabilities!$J$4,Vulnerabilities!$L$4,Vulnerabilities!$N$4,Vulnerabilities!$P$4,Vulnerabilities!$R$4)</c15:sqref>
                        </c15:formulaRef>
                      </c:ext>
                    </c:extLst>
                    <c:numCache>
                      <c:formatCode>#,##0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EC22-4887-8C7F-6E64E3B9E2D2}"/>
                  </c:ext>
                </c:extLst>
              </c15:ser>
            </c15:filteredBarSeries>
          </c:ext>
        </c:extLst>
      </c:barChart>
      <c:catAx>
        <c:axId val="31656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4191"/>
        <c:crosses val="autoZero"/>
        <c:auto val="1"/>
        <c:lblAlgn val="ctr"/>
        <c:lblOffset val="100"/>
        <c:noMultiLvlLbl val="0"/>
      </c:catAx>
      <c:valAx>
        <c:axId val="31656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56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95249</xdr:rowOff>
    </xdr:from>
    <xdr:to>
      <xdr:col>7</xdr:col>
      <xdr:colOff>57150</xdr:colOff>
      <xdr:row>34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2B6EE7-E653-72AB-4C90-D7ADAC9DF6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0.41261</cdr:x>
      <cdr:y>0.84699</cdr:y>
    </cdr:from>
    <cdr:to>
      <cdr:x>0.5444</cdr:x>
      <cdr:y>0.91006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3D076704-DFB4-742C-B094-ED9245D87C62}"/>
            </a:ext>
          </a:extLst>
        </cdr:cNvPr>
        <cdr:cNvSpPr txBox="1"/>
      </cdr:nvSpPr>
      <cdr:spPr>
        <a:xfrm xmlns:a="http://schemas.openxmlformats.org/drawingml/2006/main">
          <a:off x="2165470" y="3114074"/>
          <a:ext cx="691670" cy="23188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AU" sz="1100" kern="1200"/>
            <a:t>LOC Range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18</xdr:row>
      <xdr:rowOff>9526</xdr:rowOff>
    </xdr:from>
    <xdr:to>
      <xdr:col>27</xdr:col>
      <xdr:colOff>552450</xdr:colOff>
      <xdr:row>35</xdr:row>
      <xdr:rowOff>161926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1F81BF-A725-4F1A-B629-9B18FA931D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0</xdr:row>
      <xdr:rowOff>66675</xdr:rowOff>
    </xdr:from>
    <xdr:to>
      <xdr:col>27</xdr:col>
      <xdr:colOff>581025</xdr:colOff>
      <xdr:row>17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5EC1D32-747F-4868-92DC-9F6245AC7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36</xdr:row>
      <xdr:rowOff>38100</xdr:rowOff>
    </xdr:from>
    <xdr:to>
      <xdr:col>27</xdr:col>
      <xdr:colOff>533400</xdr:colOff>
      <xdr:row>53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3D29209-5BAE-4083-9A30-373203C00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9523</xdr:colOff>
      <xdr:row>21</xdr:row>
      <xdr:rowOff>76198</xdr:rowOff>
    </xdr:from>
    <xdr:to>
      <xdr:col>6</xdr:col>
      <xdr:colOff>791923</xdr:colOff>
      <xdr:row>33</xdr:row>
      <xdr:rowOff>29398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50A5F1-5BD5-E814-123E-A5083E266C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33</xdr:row>
      <xdr:rowOff>95250</xdr:rowOff>
    </xdr:from>
    <xdr:to>
      <xdr:col>17</xdr:col>
      <xdr:colOff>409575</xdr:colOff>
      <xdr:row>51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674CB9-2FE9-CB97-2ADD-4CC73F25F2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</xdr:colOff>
      <xdr:row>9</xdr:row>
      <xdr:rowOff>85725</xdr:rowOff>
    </xdr:from>
    <xdr:to>
      <xdr:col>17</xdr:col>
      <xdr:colOff>400050</xdr:colOff>
      <xdr:row>33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FD89412-26B3-A182-AAEF-47F5753845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133350</xdr:colOff>
      <xdr:row>9</xdr:row>
      <xdr:rowOff>85725</xdr:rowOff>
    </xdr:from>
    <xdr:to>
      <xdr:col>6</xdr:col>
      <xdr:colOff>809625</xdr:colOff>
      <xdr:row>21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C1A08E7-4092-E912-E808-79B608DB7E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9</xdr:row>
      <xdr:rowOff>161923</xdr:rowOff>
    </xdr:from>
    <xdr:to>
      <xdr:col>9</xdr:col>
      <xdr:colOff>314325</xdr:colOff>
      <xdr:row>28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FE7A7-1381-BFEB-9F07-3B369CF896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419100</xdr:colOff>
      <xdr:row>9</xdr:row>
      <xdr:rowOff>161925</xdr:rowOff>
    </xdr:from>
    <xdr:to>
      <xdr:col>17</xdr:col>
      <xdr:colOff>847725</xdr:colOff>
      <xdr:row>28</xdr:row>
      <xdr:rowOff>57152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A8804A-414A-4B11-97A8-4829E14EC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Fowler" refreshedDate="46198.416727199074" createdVersion="8" refreshedVersion="8" minRefreshableVersion="3" recordCount="1" xr:uid="{418B69AD-4F93-4D85-9002-6555A6FCA6B6}">
  <cacheSource type="worksheet">
    <worksheetSource name="ScansTable"/>
  </cacheSource>
  <cacheFields count="72">
    <cacheField name="ScanID" numFmtId="0">
      <sharedItems containsNonDate="0" containsString="0" containsBlank="1"/>
    </cacheField>
    <cacheField name="ProjectId" numFmtId="0">
      <sharedItems containsNonDate="0" containsString="0" containsBlank="1"/>
    </cacheField>
    <cacheField name="ProjectName" numFmtId="0">
      <sharedItems containsNonDate="0" containsString="0" containsBlank="1"/>
    </cacheField>
    <cacheField name="Status" numFmtId="0">
      <sharedItems containsNonDate="0" containsBlank="1" count="4">
        <m/>
        <s v="Completed" u="1"/>
        <s v="Partial" u="1"/>
        <s v="Failed" u="1"/>
      </sharedItems>
    </cacheField>
    <cacheField name="Branch" numFmtId="0">
      <sharedItems containsNonDate="0" containsString="0" containsBlank="1"/>
    </cacheField>
    <cacheField name="Loc" numFmtId="0">
      <sharedItems containsNonDate="0" containsString="0" containsBlank="1"/>
    </cacheField>
    <cacheField name="CreatedAt" numFmtId="22">
      <sharedItems containsNonDate="0" containsString="0" containsBlank="1"/>
    </cacheField>
    <cacheField name="StartDate" numFmtId="22">
      <sharedItems containsNonDate="0" containsString="0" containsBlank="1"/>
    </cacheField>
    <cacheField name="EndDate" numFmtId="22">
      <sharedItems containsNonDate="0" containsString="0" containsBlank="1"/>
    </cacheField>
    <cacheField name="HourRequested" numFmtId="0">
      <sharedItems containsNonDate="0" containsString="0" containsBlank="1"/>
    </cacheField>
    <cacheField name="ScanDate" numFmtId="0">
      <sharedItems containsNonDate="0" containsString="0" containsBlank="1"/>
    </cacheField>
    <cacheField name="Runtime" numFmtId="164">
      <sharedItems containsNonDate="0" containsString="0" containsBlank="1"/>
    </cacheField>
    <cacheField name="Engines" numFmtId="0">
      <sharedItems containsNonDate="0" containsString="0" containsBlank="1"/>
    </cacheField>
    <cacheField name="Initiator" numFmtId="0">
      <sharedItems containsNonDate="0" containsString="0" containsBlank="1"/>
    </cacheField>
    <cacheField name="SourceType" numFmtId="0">
      <sharedItems containsNonDate="0" containsBlank="1" count="7">
        <m/>
        <s v="zip" u="1"/>
        <s v="azure" u="1"/>
        <s v="bitbucket" u="1"/>
        <s v="github" u="1"/>
        <s v="" u="1"/>
        <s v="gitlab" u="1"/>
      </sharedItems>
    </cacheField>
    <cacheField name="SourceOrigin" numFmtId="0">
      <sharedItems containsNonDate="0" containsString="0" containsBlank="1"/>
    </cacheField>
    <cacheField name="Sast" numFmtId="0">
      <sharedItems containsNonDate="0" containsString="0" containsBlank="1"/>
    </cacheField>
    <cacheField name="Sca" numFmtId="0">
      <sharedItems containsNonDate="0" containsString="0" containsBlank="1"/>
    </cacheField>
    <cacheField name="Kics" numFmtId="0">
      <sharedItems containsNonDate="0" containsString="0" containsBlank="1"/>
    </cacheField>
    <cacheField name="Containers" numFmtId="0">
      <sharedItems containsNonDate="0" containsString="0" containsBlank="1"/>
    </cacheField>
    <cacheField name="Api" numFmtId="0">
      <sharedItems containsNonDate="0" containsString="0" containsBlank="1"/>
    </cacheField>
    <cacheField name="SSCS" numFmtId="0">
      <sharedItems containsNonDate="0" containsString="0" containsBlank="1"/>
    </cacheField>
    <cacheField name="Total_Vulnerabilties" numFmtId="0">
      <sharedItems containsNonDate="0" containsString="0" containsBlank="1"/>
    </cacheField>
    <cacheField name="Total_Critical" numFmtId="0">
      <sharedItems containsNonDate="0" containsString="0" containsBlank="1"/>
    </cacheField>
    <cacheField name="Total_High" numFmtId="0">
      <sharedItems containsNonDate="0" containsString="0" containsBlank="1"/>
    </cacheField>
    <cacheField name="Total_Medium" numFmtId="0">
      <sharedItems containsNonDate="0" containsString="0" containsBlank="1"/>
    </cacheField>
    <cacheField name="Total_Low" numFmtId="0">
      <sharedItems containsNonDate="0" containsString="0" containsBlank="1"/>
    </cacheField>
    <cacheField name="Total_Info" numFmtId="0">
      <sharedItems containsNonDate="0" containsString="0" containsBlank="1"/>
    </cacheField>
    <cacheField name="Sast_Total_Vulnerabilties" numFmtId="0">
      <sharedItems containsNonDate="0" containsString="0" containsBlank="1" containsNumber="1" containsInteger="1" minValue="0" maxValue="396" count="58">
        <m/>
        <n v="4" u="1"/>
        <n v="14" u="1"/>
        <n v="0" u="1"/>
        <n v="1" u="1"/>
        <n v="19" u="1"/>
        <n v="2" u="1"/>
        <n v="9" u="1"/>
        <n v="13" u="1"/>
        <n v="10" u="1"/>
        <n v="5" u="1"/>
        <n v="12" u="1"/>
        <n v="18" u="1"/>
        <n v="7" u="1"/>
        <n v="11" u="1"/>
        <n v="8" u="1"/>
        <n v="182" u="1"/>
        <n v="57" u="1"/>
        <n v="105" u="1"/>
        <n v="225" u="1"/>
        <n v="30" u="1"/>
        <n v="95" u="1"/>
        <n v="6" u="1"/>
        <n v="15" u="1"/>
        <n v="213" u="1"/>
        <n v="208" u="1"/>
        <n v="244" u="1"/>
        <n v="396" u="1"/>
        <n v="24" u="1"/>
        <n v="34" u="1"/>
        <n v="60" u="1"/>
        <n v="17" u="1"/>
        <n v="25" u="1"/>
        <n v="165" u="1"/>
        <n v="252" u="1"/>
        <n v="3" u="1"/>
        <n v="16" u="1"/>
        <n v="174" u="1"/>
        <n v="56" u="1"/>
        <n v="321" u="1"/>
        <n v="32" u="1"/>
        <n v="33" u="1"/>
        <n v="49" u="1"/>
        <n v="35" u="1"/>
        <n v="218" u="1"/>
        <n v="38" u="1"/>
        <n v="21" u="1"/>
        <n v="20" u="1"/>
        <n v="52" u="1"/>
        <n v="40" u="1"/>
        <n v="62" u="1"/>
        <n v="58" u="1"/>
        <n v="37" u="1"/>
        <n v="22" u="1"/>
        <n v="36" u="1"/>
        <n v="319" u="1"/>
        <n v="334" u="1"/>
        <n v="156" u="1"/>
      </sharedItems>
      <fieldGroup par="71"/>
    </cacheField>
    <cacheField name="Sast_Critical" numFmtId="0">
      <sharedItems containsNonDate="0" containsString="0" containsBlank="1"/>
    </cacheField>
    <cacheField name="Sast_High" numFmtId="0">
      <sharedItems containsNonDate="0" containsString="0" containsBlank="1"/>
    </cacheField>
    <cacheField name="Sast_Medium" numFmtId="0">
      <sharedItems containsNonDate="0" containsString="0" containsBlank="1"/>
    </cacheField>
    <cacheField name="Sast_Low" numFmtId="0">
      <sharedItems containsNonDate="0" containsString="0" containsBlank="1"/>
    </cacheField>
    <cacheField name="Sast_Info" numFmtId="0">
      <sharedItems containsNonDate="0" containsString="0" containsBlank="1"/>
    </cacheField>
    <cacheField name="Kics_Total_Vulnerabilties" numFmtId="0">
      <sharedItems containsNonDate="0" containsString="0" containsBlank="1"/>
    </cacheField>
    <cacheField name="Kics_Critical" numFmtId="0">
      <sharedItems containsNonDate="0" containsString="0" containsBlank="1"/>
    </cacheField>
    <cacheField name="Kics_High" numFmtId="0">
      <sharedItems containsNonDate="0" containsString="0" containsBlank="1"/>
    </cacheField>
    <cacheField name="Kics_Medium" numFmtId="0">
      <sharedItems containsNonDate="0" containsString="0" containsBlank="1"/>
    </cacheField>
    <cacheField name="Kics_Low" numFmtId="0">
      <sharedItems containsNonDate="0" containsString="0" containsBlank="1"/>
    </cacheField>
    <cacheField name="Kics_Info" numFmtId="0">
      <sharedItems containsNonDate="0" containsString="0" containsBlank="1"/>
    </cacheField>
    <cacheField name="Sca_Total_Vulnerabilties" numFmtId="0">
      <sharedItems containsNonDate="0" containsString="0" containsBlank="1"/>
    </cacheField>
    <cacheField name="Sca_Critical" numFmtId="0">
      <sharedItems containsNonDate="0" containsString="0" containsBlank="1"/>
    </cacheField>
    <cacheField name="Sca_High" numFmtId="0">
      <sharedItems containsNonDate="0" containsString="0" containsBlank="1"/>
    </cacheField>
    <cacheField name="Sca_Medium" numFmtId="0">
      <sharedItems containsNonDate="0" containsString="0" containsBlank="1"/>
    </cacheField>
    <cacheField name="Sca_Low" numFmtId="0">
      <sharedItems containsNonDate="0" containsString="0" containsBlank="1"/>
    </cacheField>
    <cacheField name="Sca_Info" numFmtId="0">
      <sharedItems containsNonDate="0" containsString="0" containsBlank="1"/>
    </cacheField>
    <cacheField name="Packages_Total_Vulnerabilties" numFmtId="0">
      <sharedItems containsNonDate="0" containsString="0" containsBlank="1"/>
    </cacheField>
    <cacheField name="Packages_Critical" numFmtId="0">
      <sharedItems containsNonDate="0" containsString="0" containsBlank="1"/>
    </cacheField>
    <cacheField name="Packages_High" numFmtId="0">
      <sharedItems containsNonDate="0" containsString="0" containsBlank="1"/>
    </cacheField>
    <cacheField name="Packages_Medium" numFmtId="0">
      <sharedItems containsNonDate="0" containsString="0" containsBlank="1"/>
    </cacheField>
    <cacheField name="Packages_Low" numFmtId="0">
      <sharedItems containsNonDate="0" containsString="0" containsBlank="1"/>
    </cacheField>
    <cacheField name="Packages_Info" numFmtId="0">
      <sharedItems containsNonDate="0" containsString="0" containsBlank="1"/>
    </cacheField>
    <cacheField name="Api_Total_Vulnerabilties" numFmtId="0">
      <sharedItems containsNonDate="0" containsString="0" containsBlank="1"/>
    </cacheField>
    <cacheField name="Api_Critical" numFmtId="0">
      <sharedItems containsNonDate="0" containsString="0" containsBlank="1"/>
    </cacheField>
    <cacheField name="Api_High" numFmtId="0">
      <sharedItems containsNonDate="0" containsString="0" containsBlank="1"/>
    </cacheField>
    <cacheField name="Api_Medium" numFmtId="0">
      <sharedItems containsNonDate="0" containsString="0" containsBlank="1"/>
    </cacheField>
    <cacheField name="Api_Low" numFmtId="0">
      <sharedItems containsNonDate="0" containsString="0" containsBlank="1"/>
    </cacheField>
    <cacheField name="Api_Info" numFmtId="0">
      <sharedItems containsNonDate="0" containsString="0" containsBlank="1"/>
    </cacheField>
    <cacheField name="SSCS_Total_Vulnerabilties" numFmtId="0">
      <sharedItems containsNonDate="0" containsString="0" containsBlank="1"/>
    </cacheField>
    <cacheField name="SSCS_Critical" numFmtId="0">
      <sharedItems containsNonDate="0" containsString="0" containsBlank="1"/>
    </cacheField>
    <cacheField name="SSCS_High" numFmtId="0">
      <sharedItems containsNonDate="0" containsString="0" containsBlank="1"/>
    </cacheField>
    <cacheField name="SSCS_Medium" numFmtId="0">
      <sharedItems containsNonDate="0" containsString="0" containsBlank="1"/>
    </cacheField>
    <cacheField name="SSCS_Low" numFmtId="0">
      <sharedItems containsNonDate="0" containsString="0" containsBlank="1"/>
    </cacheField>
    <cacheField name="SSCS_Info" numFmtId="0">
      <sharedItems containsNonDate="0" containsString="0" containsBlank="1"/>
    </cacheField>
    <cacheField name="Containers_Total_Vulnerabilties" numFmtId="0">
      <sharedItems containsNonDate="0" containsString="0" containsBlank="1"/>
    </cacheField>
    <cacheField name="Containers_Critical" numFmtId="0">
      <sharedItems containsNonDate="0" containsString="0" containsBlank="1"/>
    </cacheField>
    <cacheField name="Containers_High" numFmtId="0">
      <sharedItems containsNonDate="0" containsString="0" containsBlank="1"/>
    </cacheField>
    <cacheField name="Containers_Medium" numFmtId="0">
      <sharedItems containsNonDate="0" containsString="0" containsBlank="1"/>
    </cacheField>
    <cacheField name="Containers_Low" numFmtId="0">
      <sharedItems containsNonDate="0" containsString="0" containsBlank="1"/>
    </cacheField>
    <cacheField name="Containers_Info" numFmtId="0">
      <sharedItems containsNonDate="0" containsString="0" containsBlank="1"/>
    </cacheField>
    <cacheField name="Latest Branch Scan" numFmtId="0">
      <sharedItems/>
    </cacheField>
    <cacheField name="Sast_Total_Vulnerabilties2" numFmtId="0" databaseField="0">
      <fieldGroup base="28">
        <discretePr count="58">
          <x v="51"/>
          <x v="1"/>
          <x v="31"/>
          <x v="0"/>
          <x v="6"/>
          <x v="12"/>
          <x v="17"/>
          <x v="47"/>
          <x v="48"/>
          <x v="49"/>
          <x v="50"/>
          <x v="23"/>
          <x v="7"/>
          <x v="5"/>
          <x v="10"/>
          <x v="2"/>
          <x v="25"/>
          <x v="26"/>
          <x v="27"/>
          <x v="28"/>
          <x v="29"/>
          <x v="30"/>
          <x v="22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24"/>
          <x v="0"/>
          <x v="0"/>
          <x v="0"/>
          <x v="3"/>
          <x v="4"/>
          <x v="8"/>
          <x v="9"/>
          <x v="11"/>
          <x v="13"/>
          <x v="14"/>
          <x v="15"/>
          <x v="16"/>
          <x v="18"/>
          <x v="19"/>
          <x v="20"/>
          <x v="21"/>
          <x v="0"/>
          <x v="0"/>
          <x v="0"/>
        </discretePr>
        <groupItems count="52">
          <s v="Group1"/>
          <n v="4"/>
          <n v="8"/>
          <n v="49"/>
          <n v="35"/>
          <n v="7"/>
          <n v="1"/>
          <n v="18"/>
          <n v="218"/>
          <n v="38"/>
          <n v="11"/>
          <n v="21"/>
          <n v="19"/>
          <n v="20"/>
          <n v="52"/>
          <n v="40"/>
          <n v="62"/>
          <n v="2"/>
          <n v="58"/>
          <n v="37"/>
          <n v="22"/>
          <n v="36"/>
          <n v="6"/>
          <n v="12"/>
          <n v="56"/>
          <n v="182"/>
          <n v="57"/>
          <n v="105"/>
          <n v="225"/>
          <n v="30"/>
          <n v="95"/>
          <n v="14"/>
          <n v="15"/>
          <n v="213"/>
          <n v="208"/>
          <n v="244"/>
          <n v="396"/>
          <n v="24"/>
          <n v="34"/>
          <n v="60"/>
          <n v="17"/>
          <n v="25"/>
          <n v="165"/>
          <n v="252"/>
          <n v="3"/>
          <n v="16"/>
          <n v="174"/>
          <n v="9"/>
          <n v="13"/>
          <n v="10"/>
          <n v="5"/>
          <m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0324071" backgroundQuery="1" createdVersion="8" refreshedVersion="8" minRefreshableVersion="3" recordCount="0" supportSubquery="1" supportAdvancedDrill="1" xr:uid="{B078EFA6-2990-4F51-9BB9-32BEBF281B68}">
  <cacheSource type="external" connectionId="14"/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  <cacheField name="[Statuses].[Status].[Status]" caption="Status" numFmtId="0" hierarchy="107" level="1">
      <sharedItems count="3">
        <s v="Canceled"/>
        <s v="Completed"/>
        <s v="Failed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2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1365741" backgroundQuery="1" createdVersion="8" refreshedVersion="8" minRefreshableVersion="3" recordCount="0" supportSubquery="1" supportAdvancedDrill="1" xr:uid="{5533FFC0-18D9-4EB3-9EB5-A502F00CE883}">
  <cacheSource type="external" connectionId="14"/>
  <cacheFields count="4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  <cacheField name="[Measures].[Min of Runtime]" caption="Min of Runtime" numFmtId="0" hierarchy="140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2847221" backgroundQuery="1" createdVersion="8" refreshedVersion="8" minRefreshableVersion="3" recordCount="0" supportSubquery="1" supportAdvancedDrill="1" xr:uid="{3BBE7F89-4E16-4603-AC20-6B26F8810FDA}">
  <cacheSource type="external" connectionId="14"/>
  <cacheFields count="3">
    <cacheField name="[Scans].[ScanDate].[ScanDate]" caption="ScanDate" numFmtId="0" hierarchy="45" level="1">
      <sharedItems count="84">
        <s v="1/01/2026"/>
        <s v="1/02/2026"/>
        <s v="1/03/2026"/>
        <s v="10/01/2026"/>
        <s v="10/02/2026"/>
        <s v="11/01/2026"/>
        <s v="11/02/2026"/>
        <s v="11/12/2025"/>
        <s v="12/01/2026"/>
        <s v="12/02/2026"/>
        <s v="13/01/2026"/>
        <s v="13/02/2026"/>
        <s v="14/01/2026"/>
        <s v="14/02/2026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6/01/2026"/>
        <s v="6/02/2026"/>
        <s v="7/01/2026"/>
        <s v="7/02/2026"/>
        <s v="8/01/2026"/>
        <s v="8/02/2026"/>
        <s v="8/12/2025"/>
        <s v="9/01/2026"/>
        <s v="9/02/2026"/>
        <s v="9/12/2025"/>
      </sharedItems>
    </cacheField>
    <cacheField name="[Measures].[Count of ScanID]" caption="Count of ScanID" numFmtId="0" hierarchy="134" level="32767"/>
    <cacheField name="[Measures].[Sum of Loc]" caption="Sum of Loc" numFmtId="0" hierarchy="15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4004629" backgroundQuery="1" createdVersion="8" refreshedVersion="8" minRefreshableVersion="3" recordCount="0" supportSubquery="1" supportAdvancedDrill="1" xr:uid="{A389C5AA-1F11-44E4-BCCE-5E82D712734F}">
  <cacheSource type="external" connectionId="14"/>
  <cacheFields count="3"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  <cacheField name="[Measures].[Count of ScanID]" caption="Count of ScanID" numFmtId="0" hierarchy="134" level="32767"/>
    <cacheField name="Unsupported0" numFmtId="0" hierarchy="161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162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0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Unsupported0" caption="Application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679861109" backgroundQuery="1" createdVersion="8" refreshedVersion="8" minRefreshableVersion="3" recordCount="0" supportSubquery="1" supportAdvancedDrill="1" xr:uid="{E3FA3C9E-EB9F-416F-AF6D-7CFC1D5B57C8}">
  <cacheSource type="external" connectionId="14"/>
  <cacheFields count="2">
    <cacheField name="[Applications].[ApplicationName].[ApplicationName]" caption="ApplicationName" numFmtId="0" hierarchy="1" level="1">
      <sharedItems containsNonDate="0" containsString="0" containsBlank="1" count="1">
        <m/>
      </sharedItems>
    </cacheField>
    <cacheField name="[Measures].[Count of ProjectID]" caption="Count of ProjectID" numFmtId="0" hierarchy="132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2" memberValueDatatype="130" unbalanced="0">
      <fieldsUsage count="2">
        <fieldUsage x="-1"/>
        <fieldUsage x="0"/>
      </fieldsUsage>
    </cacheHierarchy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681250002" backgroundQuery="1" createdVersion="8" refreshedVersion="8" minRefreshableVersion="3" recordCount="0" supportSubquery="1" supportAdvancedDrill="1" xr:uid="{8DE96FC1-F017-4D26-B662-FC8072EE612F}">
  <cacheSource type="external" connectionId="14"/>
  <cacheFields count="4">
    <cacheField name="[Projects].[ProjectName].[ProjectName]" caption="ProjectName" numFmtId="0" hierarchy="26" level="1">
      <sharedItems containsNonDate="0" containsString="0" containsBlank="1" count="1">
        <m/>
      </sharedItems>
    </cacheField>
    <cacheField name="[Measures].[Count of Branch]" caption="Count of Branch" numFmtId="0" hierarchy="128" level="32767"/>
    <cacheField name="[Measures].[Count of ApplicationID]" caption="Count of ApplicationID" numFmtId="0" hierarchy="129" level="32767"/>
    <cacheField name="[Measures].[Count of ScanID]" caption="Count of ScanID" numFmtId="0" hierarchy="134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2" memberValueDatatype="130" unbalanced="0">
      <fieldsUsage count="2">
        <fieldUsage x="-1"/>
        <fieldUsage x="0"/>
      </fieldsUsage>
    </cacheHierarchy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3796296" backgroundQuery="1" createdVersion="8" refreshedVersion="8" minRefreshableVersion="3" recordCount="0" supportSubquery="1" supportAdvancedDrill="1" xr:uid="{095B9946-F4F4-40FD-AC8A-B837FFEDA7C5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Status].[Status]" caption="Status" numFmtId="0" hierarchy="107" level="1">
      <sharedItems count="3">
        <s v="Canceled"/>
        <s v="Completed"/>
        <s v="Failed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Status]" caption="Count of Status" numFmtId="0" hierarchy="138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10641450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4953705" backgroundQuery="1" createdVersion="8" refreshedVersion="8" minRefreshableVersion="3" recordCount="0" supportSubquery="1" supportAdvancedDrill="1" xr:uid="{CD380659-5E17-476B-89F8-23E2067FFDBC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5">
    <cacheField name="[Scans].[ScanDate].[ScanDate]" caption="ScanDate" numFmtId="0" hierarchy="45" level="1">
      <sharedItems count="136">
        <s v="1/01/2025"/>
        <s v="1/04/2025"/>
        <s v="1/06/2025"/>
        <s v="1/07/2025"/>
        <s v="1/08/2025"/>
        <s v="10/03/2025"/>
        <s v="10/05/2025"/>
        <s v="10/06/2025"/>
        <s v="10/07/2025"/>
        <s v="10/11/2024"/>
        <s v="11/02/2025"/>
        <s v="11/04/2025"/>
        <s v="11/05/2025"/>
        <s v="11/06/2025"/>
        <s v="11/07/2025"/>
        <s v="12/05/2025"/>
        <s v="12/06/2025"/>
        <s v="12/07/2025"/>
        <s v="13/01/2025"/>
        <s v="13/05/2025"/>
        <s v="13/06/2025"/>
        <s v="13/07/2025"/>
        <s v="14/01/2025"/>
        <s v="14/04/2025"/>
        <s v="14/05/2025"/>
        <s v="14/06/2025"/>
        <s v="14/07/2025"/>
        <s v="15/03/2025"/>
        <s v="15/04/2025"/>
        <s v="15/05/2025"/>
        <s v="15/06/2025"/>
        <s v="15/07/2025"/>
        <s v="16/02/2025"/>
        <s v="16/03/2025"/>
        <s v="16/04/2025"/>
        <s v="16/05/2025"/>
        <s v="16/06/2025"/>
        <s v="16/07/2025"/>
        <s v="17/03/2025"/>
        <s v="17/05/2025"/>
        <s v="17/06/2025"/>
        <s v="17/07/2025"/>
        <s v="17/11/2024"/>
        <s v="18/03/2025"/>
        <s v="18/05/2025"/>
        <s v="18/06/2025"/>
        <s v="18/07/2025"/>
        <s v="19/03/2025"/>
        <s v="19/05/2025"/>
        <s v="19/06/2025"/>
        <s v="19/07/2025"/>
        <s v="2/01/2025"/>
        <s v="2/05/2025"/>
        <s v="2/07/2025"/>
        <s v="2/08/2025"/>
        <s v="2/12/2024"/>
        <s v="20/03/2025"/>
        <s v="20/05/2025"/>
        <s v="20/06/2025"/>
        <s v="20/07/2025"/>
        <s v="21/01/2025"/>
        <s v="21/05/2025"/>
        <s v="21/06/2025"/>
        <s v="21/07/2025"/>
        <s v="22/04/2025"/>
        <s v="22/05/2025"/>
        <s v="22/06/2025"/>
        <s v="22/07/2025"/>
        <s v="23/02/2025"/>
        <s v="23/03/2025"/>
        <s v="23/04/2025"/>
        <s v="23/05/2025"/>
        <s v="23/06/2025"/>
        <s v="23/07/2025"/>
        <s v="24/03/2025"/>
        <s v="24/05/2025"/>
        <s v="24/06/2025"/>
        <s v="24/07/2025"/>
        <s v="25/03/2025"/>
        <s v="25/05/2025"/>
        <s v="25/06/2025"/>
        <s v="25/07/2025"/>
        <s v="25/11/2024"/>
        <s v="26/05/2025"/>
        <s v="26/06/2025"/>
        <s v="26/07/2025"/>
        <s v="27/01/2025"/>
        <s v="27/04/2025"/>
        <s v="27/05/2025"/>
        <s v="27/06/2025"/>
        <s v="27/07/2025"/>
        <s v="28/05/2025"/>
        <s v="28/06/2025"/>
        <s v="28/07/2025"/>
        <s v="28/10/2024"/>
        <s v="29/04/2025"/>
        <s v="29/05/2025"/>
        <s v="29/06/2025"/>
        <s v="29/07/2025"/>
        <s v="29/10/2024"/>
        <s v="3/02/2025"/>
        <s v="3/03/2025"/>
        <s v="3/06/2025"/>
        <s v="3/07/2025"/>
        <s v="3/08/2025"/>
        <s v="30/03/2025"/>
        <s v="30/04/2025"/>
        <s v="30/05/2025"/>
        <s v="30/06/2025"/>
        <s v="30/07/2025"/>
        <s v="31/03/2025"/>
        <s v="31/07/2025"/>
        <s v="31/12/2024"/>
        <s v="4/03/2025"/>
        <s v="4/04/2025"/>
        <s v="4/05/2025"/>
        <s v="4/06/2025"/>
        <s v="4/07/2025"/>
        <s v="4/08/2025"/>
        <s v="5/04/2025"/>
        <s v="5/06/2025"/>
        <s v="5/07/2025"/>
        <s v="5/12/2024"/>
        <s v="6/01/2025"/>
        <s v="6/04/2025"/>
        <s v="6/06/2025"/>
        <s v="6/07/2025"/>
        <s v="7/05/2025"/>
        <s v="7/06/2025"/>
        <s v="7/07/2025"/>
        <s v="8/04/2025"/>
        <s v="8/06/2025"/>
        <s v="8/07/2025"/>
        <s v="9/05/2025"/>
        <s v="9/06/2025"/>
        <s v="9/07/2025"/>
      </sharedItems>
    </cacheField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Count of EngineName]" caption="Count of EngineName" numFmtId="0" hierarchy="141" level="32767"/>
    <cacheField name="[Statuses].[StartDate (Month)].[StartDate (Month)]" caption="StartDate (Month)" numFmtId="0" hierarchy="117" level="1">
      <sharedItems count="4">
        <s v="Dec"/>
        <s v="Jan"/>
        <s v="Feb"/>
        <s v="Mar"/>
      </sharedItems>
    </cacheField>
    <cacheField name="[Statuses].[StartDate (Year)].[StartDate (Year)]" caption="StartDate (Year)" numFmtId="0" hierarchy="115" level="1">
      <sharedItems count="2">
        <s v="2025"/>
        <s v="2026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2" memberValueDatatype="130" unbalanced="0">
      <fieldsUsage count="2">
        <fieldUsage x="-1"/>
        <fieldUsage x="0"/>
      </fieldsUsage>
    </cacheHierarchy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1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2" memberValueDatatype="130" unbalanced="0">
      <fieldsUsage count="2">
        <fieldUsage x="-1"/>
        <fieldUsage x="4"/>
      </fieldsUsage>
    </cacheHierarchy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2" memberValueDatatype="130" unbalanced="0">
      <fieldsUsage count="2">
        <fieldUsage x="-1"/>
        <fieldUsage x="3"/>
      </fieldsUsage>
    </cacheHierarchy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2335904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385995367" backgroundQuery="1" createdVersion="8" refreshedVersion="8" minRefreshableVersion="3" recordCount="0" supportSubquery="1" supportAdvancedDrill="1" xr:uid="{3B8DFBE9-F6C5-4F4F-9241-E8B57AC42E27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Statuses].[EngineName].[EngineName]" caption="EngineName" numFmtId="0" hierarchy="106" level="1">
      <sharedItems count="4">
        <s v="apisec"/>
        <s v="containers"/>
        <s v="sast"/>
        <s v="sca"/>
      </sharedItems>
    </cacheField>
    <cacheField name="[Measures].[Average of Runtime]" caption="Average of Runtime" numFmtId="0" hierarchy="136" level="32767"/>
    <cacheField name="[Measures].[Max of Runtime]" caption="Max of Runtime" numFmtId="0" hierarchy="139" level="32767"/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2" memberValueDatatype="130" unbalanced="0">
      <fieldsUsage count="2">
        <fieldUsage x="-1"/>
        <fieldUsage x="0"/>
      </fieldsUsage>
    </cacheHierarchy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074707998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09259257" backgroundQuery="1" createdVersion="8" refreshedVersion="8" minRefreshableVersion="3" recordCount="0" supportSubquery="1" supportAdvancedDrill="1" xr:uid="{5EE92FEF-26BD-4317-8B27-2F6C042EE71A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2">
    <cacheField name="[Measures].[Count of ScanID]" caption="Count of ScanID" numFmtId="0" hierarchy="134" level="32767"/>
    <cacheField name="[DateTable].[Day Name].[Day Name]" caption="Day Name" numFmtId="0" hierarchy="24" level="1">
      <sharedItems count="7">
        <s v="Friday"/>
        <s v="Monday"/>
        <s v="Saturday"/>
        <s v="Sunday"/>
        <s v="Thursday"/>
        <s v="Tuesday"/>
        <s v="Wednesday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2" memberValueDatatype="130" unbalanced="0">
      <fieldsUsage count="2">
        <fieldUsage x="-1"/>
        <fieldUsage x="1"/>
      </fieldsUsage>
    </cacheHierarchy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79276522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0763888" backgroundQuery="1" createdVersion="8" refreshedVersion="8" minRefreshableVersion="3" recordCount="0" supportSubquery="1" supportAdvancedDrill="1" xr:uid="{BFC4D163-EFA0-48FF-83D7-10A1EEDE698F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6">
    <cacheField name="[Measures].[Count of ScanID]" caption="Count of ScanID" numFmtId="0" hierarchy="134" level="32767"/>
    <cacheField name="[Measures].[Sum of Loc]" caption="Sum of Loc" numFmtId="0" hierarchy="152" level="32767"/>
    <cacheField name="[DateTable].[Date].[Date]" caption="Date" numFmtId="0" hierarchy="18" level="1">
      <sharedItems count="91">
        <s v="1/01/2026"/>
        <s v="1/02/2026"/>
        <s v="1/03/2026"/>
        <s v="10/01/2026"/>
        <s v="10/02/2026"/>
        <s v="10/12/2025"/>
        <s v="11/01/2026"/>
        <s v="11/02/2026"/>
        <s v="11/12/2025"/>
        <s v="12/01/2026"/>
        <s v="12/02/2026"/>
        <s v="12/12/2025"/>
        <s v="13/01/2026"/>
        <s v="13/02/2026"/>
        <s v="13/12/2025"/>
        <s v="14/01/2026"/>
        <s v="14/02/2026"/>
        <s v="14/12/2025"/>
        <s v="15/01/2026"/>
        <s v="15/02/2026"/>
        <s v="15/12/2025"/>
        <s v="16/01/2026"/>
        <s v="16/02/2026"/>
        <s v="16/12/2025"/>
        <s v="17/01/2026"/>
        <s v="17/02/2026"/>
        <s v="17/12/2025"/>
        <s v="18/01/2026"/>
        <s v="18/02/2026"/>
        <s v="18/12/2025"/>
        <s v="19/01/2026"/>
        <s v="19/02/2026"/>
        <s v="19/12/2025"/>
        <s v="2/01/2026"/>
        <s v="2/02/2026"/>
        <s v="2/03/2026"/>
        <s v="20/01/2026"/>
        <s v="20/02/2026"/>
        <s v="20/12/2025"/>
        <s v="21/01/2026"/>
        <s v="21/02/2026"/>
        <s v="21/12/2025"/>
        <s v="22/01/2026"/>
        <s v="22/02/2026"/>
        <s v="22/12/2025"/>
        <s v="23/01/2026"/>
        <s v="23/02/2026"/>
        <s v="23/12/2025"/>
        <s v="24/01/2026"/>
        <s v="24/02/2026"/>
        <s v="24/12/2025"/>
        <s v="25/01/2026"/>
        <s v="25/02/2026"/>
        <s v="25/12/2025"/>
        <s v="26/01/2026"/>
        <s v="26/02/2026"/>
        <s v="26/12/2025"/>
        <s v="27/01/2026"/>
        <s v="27/02/2026"/>
        <s v="27/12/2025"/>
        <s v="28/01/2026"/>
        <s v="28/02/2026"/>
        <s v="28/12/2025"/>
        <s v="29/01/2026"/>
        <s v="29/12/2025"/>
        <s v="3/01/2026"/>
        <s v="3/02/2026"/>
        <s v="3/03/2026"/>
        <s v="30/01/2026"/>
        <s v="30/12/2025"/>
        <s v="31/01/2026"/>
        <s v="31/12/2025"/>
        <s v="4/01/2026"/>
        <s v="4/02/2026"/>
        <s v="4/03/2026"/>
        <s v="5/01/2026"/>
        <s v="5/02/2026"/>
        <s v="5/03/2026"/>
        <s v="5/12/2025"/>
        <s v="6/01/2026"/>
        <s v="6/02/2026"/>
        <s v="6/12/2025"/>
        <s v="7/01/2026"/>
        <s v="7/02/2026"/>
        <s v="7/12/2025"/>
        <s v="8/01/2026"/>
        <s v="8/02/2026"/>
        <s v="8/12/2025"/>
        <s v="9/01/2026"/>
        <s v="9/02/2026"/>
        <s v="9/12/2025"/>
      </sharedItems>
    </cacheField>
    <cacheField name="[Scans].[Loc].[Loc]" caption="Loc" numFmtId="0" hierarchy="40" level="1">
      <sharedItems containsSemiMixedTypes="0" containsNonDate="0" containsString="0"/>
    </cacheField>
    <cacheField name="[Scans].[Status].[Status]" caption="Status" numFmtId="0" hierarchy="38" level="1">
      <sharedItems containsSemiMixedTypes="0" containsNonDate="0" containsString="0"/>
    </cacheField>
    <cacheField name="[Scans].[Sast].[Sast]" caption="Sast" numFmtId="0" hierarchy="51" level="1">
      <sharedItems containsSemiMixedTypes="0" containsNonDate="0" containsString="0"/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0" memberValueDatatype="130" unbalanced="0"/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2" memberValueDatatype="130" unbalanced="0">
      <fieldsUsage count="2">
        <fieldUsage x="-1"/>
        <fieldUsage x="4"/>
      </fieldsUsage>
    </cacheHierarchy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2" memberValueDatatype="20" unbalanced="0">
      <fieldsUsage count="2">
        <fieldUsage x="-1"/>
        <fieldUsage x="3"/>
      </fieldsUsage>
    </cacheHierarchy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2" memberValueDatatype="11" unbalanced="0">
      <fieldsUsage count="2">
        <fieldUsage x="-1"/>
        <fieldUsage x="5"/>
      </fieldsUsage>
    </cacheHierarchy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189962869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ichael Fowler" refreshedDate="46198.421511805558" backgroundQuery="1" createdVersion="8" refreshedVersion="8" minRefreshableVersion="3" recordCount="0" supportSubquery="1" supportAdvancedDrill="1" xr:uid="{BB75D695-E6F6-429E-A6D4-AA3D9CC3068D}">
  <cacheSource type="external" connectionId="14">
    <extLst>
      <ext xmlns:x14="http://schemas.microsoft.com/office/spreadsheetml/2009/9/main" uri="{F057638F-6D5F-4e77-A914-E7F072B9BCA8}">
        <x14:sourceConnection name="ThisWorkbookDataModel"/>
      </ext>
    </extLst>
  </cacheSource>
  <cacheFields count="3">
    <cacheField name="[Measures].[Count of ScanID]" caption="Count of ScanID" numFmtId="0" hierarchy="134" level="32767"/>
    <cacheField name="[Measures].[Sum of Loc]" caption="Sum of Loc" numFmtId="0" hierarchy="152" level="32767"/>
    <cacheField name="[DateTable].[Month Name].[Month Name]" caption="Month Name" numFmtId="0" hierarchy="21" level="1">
      <sharedItems count="4">
        <s v="December"/>
        <s v="February"/>
        <s v="January"/>
        <s v="March"/>
      </sharedItems>
    </cacheField>
  </cacheFields>
  <cacheHierarchies count="161">
    <cacheHierarchy uniqueName="[Applications].[ApplicationID]" caption="ApplicationID" attribute="1" defaultMemberUniqueName="[Applications].[ApplicationID].[All]" allUniqueName="[Applications].[ApplicationID].[All]" dimensionUniqueName="[Applications]" displayFolder="" count="0" memberValueDatatype="130" unbalanced="0"/>
    <cacheHierarchy uniqueName="[Applications].[ApplicationName]" caption="ApplicationName" attribute="1" defaultMemberUniqueName="[Applications].[ApplicationName].[All]" allUniqueName="[Applications].[ApplicationName].[All]" dimensionUniqueName="[Applications]" displayFolder="" count="0" memberValueDatatype="130" unbalanced="0"/>
    <cacheHierarchy uniqueName="[Applications].[Description]" caption="Description" attribute="1" defaultMemberUniqueName="[Applications].[Description].[All]" allUniqueName="[Applications].[Description].[All]" dimensionUniqueName="[Applications]" displayFolder="" count="0" memberValueDatatype="130" unbalanced="0"/>
    <cacheHierarchy uniqueName="[Applications].[CreatedAt]" caption="CreatedAt" attribute="1" time="1" defaultMemberUniqueName="[Applications].[CreatedAt].[All]" allUniqueName="[Applications].[CreatedAt].[All]" dimensionUniqueName="[Applications]" displayFolder="" count="0" memberValueDatatype="7" unbalanced="0"/>
    <cacheHierarchy uniqueName="[Applications].[UpdatedAt]" caption="UpdatedAt" attribute="1" time="1" defaultMemberUniqueName="[Applications].[UpdatedAt].[All]" allUniqueName="[Applications].[UpdatedAt].[All]" dimensionUniqueName="[Applications]" displayFolder="" count="0" memberValueDatatype="7" unbalanced="0"/>
    <cacheHierarchy uniqueName="[Applications].[Criticality]" caption="Criticality" attribute="1" defaultMemberUniqueName="[Applications].[Criticality].[All]" allUniqueName="[Applications].[Criticality].[All]" dimensionUniqueName="[Applications]" displayFolder="" count="0" memberValueDatatype="20" unbalanced="0"/>
    <cacheHierarchy uniqueName="[Applications].[RiskScore]" caption="RiskScore" attribute="1" defaultMemberUniqueName="[Applications].[RiskScore].[All]" allUniqueName="[Applications].[RiskScore].[All]" dimensionUniqueName="[Applications]" displayFolder="" count="0" memberValueDatatype="5" unbalanced="0"/>
    <cacheHierarchy uniqueName="[Applications].[RiskSeverity]" caption="RiskSeverity" attribute="1" defaultMemberUniqueName="[Applications].[RiskSeverity].[All]" allUniqueName="[Applications].[RiskSeverity].[All]" dimensionUniqueName="[Applications]" displayFolder="" count="0" memberValueDatatype="130" unbalanced="0"/>
    <cacheHierarchy uniqueName="[Applications-Projects].[ApplicationID]" caption="ApplicationID" attribute="1" defaultMemberUniqueName="[Applications-Projects].[ApplicationID].[All]" allUniqueName="[Applications-Projects].[ApplicationID].[All]" dimensionUniqueName="[Applications-Projects]" displayFolder="" count="0" memberValueDatatype="130" unbalanced="0"/>
    <cacheHierarchy uniqueName="[Applications-Projects].[ProjectID]" caption="ProjectID" attribute="1" defaultMemberUniqueName="[Applications-Projects].[ProjectID].[All]" allUniqueName="[Applications-Projects].[ProjectID].[All]" dimensionUniqueName="[Applications-Projects]" displayFolder="" count="0" memberValueDatatype="130" unbalanced="0"/>
    <cacheHierarchy uniqueName="[ApplicationsTable].[ApplicationID]" caption="ApplicationID" attribute="1" defaultMemberUniqueName="[ApplicationsTable].[ApplicationID].[All]" allUniqueName="[ApplicationsTable].[ApplicationID].[All]" dimensionUniqueName="[ApplicationsTable]" displayFolder="" count="0" memberValueDatatype="130" unbalanced="0"/>
    <cacheHierarchy uniqueName="[ApplicationsTable].[ApplicationName]" caption="ApplicationName" attribute="1" defaultMemberUniqueName="[ApplicationsTable].[ApplicationName].[All]" allUniqueName="[ApplicationsTable].[ApplicationName].[All]" dimensionUniqueName="[ApplicationsTable]" displayFolder="" count="0" memberValueDatatype="130" unbalanced="0"/>
    <cacheHierarchy uniqueName="[ApplicationsTable].[Description]" caption="Description" attribute="1" defaultMemberUniqueName="[ApplicationsTable].[Description].[All]" allUniqueName="[ApplicationsTable].[Description].[All]" dimensionUniqueName="[ApplicationsTable]" displayFolder="" count="0" memberValueDatatype="130" unbalanced="0"/>
    <cacheHierarchy uniqueName="[ApplicationsTable].[CreatedAt]" caption="CreatedAt" attribute="1" defaultMemberUniqueName="[ApplicationsTable].[CreatedAt].[All]" allUniqueName="[ApplicationsTable].[CreatedAt].[All]" dimensionUniqueName="[ApplicationsTable]" displayFolder="" count="0" memberValueDatatype="130" unbalanced="0"/>
    <cacheHierarchy uniqueName="[ApplicationsTable].[UpdatedAt]" caption="UpdatedAt" attribute="1" defaultMemberUniqueName="[ApplicationsTable].[UpdatedAt].[All]" allUniqueName="[ApplicationsTable].[UpdatedAt].[All]" dimensionUniqueName="[ApplicationsTable]" displayFolder="" count="0" memberValueDatatype="130" unbalanced="0"/>
    <cacheHierarchy uniqueName="[ApplicationsTable].[Criticality]" caption="Criticality" attribute="1" defaultMemberUniqueName="[ApplicationsTable].[Criticality].[All]" allUniqueName="[ApplicationsTable].[Criticality].[All]" dimensionUniqueName="[ApplicationsTable]" displayFolder="" count="0" memberValueDatatype="130" unbalanced="0"/>
    <cacheHierarchy uniqueName="[ApplicationsTable].[RiskScore]" caption="RiskScore" attribute="1" defaultMemberUniqueName="[ApplicationsTable].[RiskScore].[All]" allUniqueName="[ApplicationsTable].[RiskScore].[All]" dimensionUniqueName="[ApplicationsTable]" displayFolder="" count="0" memberValueDatatype="130" unbalanced="0"/>
    <cacheHierarchy uniqueName="[ApplicationsTable].[RiskSeverity]" caption="RiskSeverity" attribute="1" defaultMemberUniqueName="[ApplicationsTable].[RiskSeverity].[All]" allUniqueName="[ApplicationsTable].[RiskSeverity].[All]" dimensionUniqueName="[ApplicationsTable]" displayFolder="" count="0" memberValueDatatype="130" unbalanced="0"/>
    <cacheHierarchy uniqueName="[DateTable].[Date]" caption="Date" attribute="1" defaultMemberUniqueName="[DateTable].[Date].[All]" allUniqueName="[DateTable].[Date].[All]" dimensionUniqueName="[DateTable]" displayFolder="" count="0" memberValueDatatype="130" unbalanced="0"/>
    <cacheHierarchy uniqueName="[DateTable].[Year]" caption="Year" attribute="1" defaultMemberUniqueName="[DateTable].[Year].[All]" allUniqueName="[DateTable].[Year].[All]" dimensionUniqueName="[DateTable]" displayFolder="" count="0" memberValueDatatype="20" unbalanced="0"/>
    <cacheHierarchy uniqueName="[DateTable].[Month Number]" caption="Month Number" attribute="1" defaultMemberUniqueName="[DateTable].[Month Number].[All]" allUniqueName="[DateTable].[Month Number].[All]" dimensionUniqueName="[DateTable]" displayFolder="" count="0" memberValueDatatype="20" unbalanced="0"/>
    <cacheHierarchy uniqueName="[DateTable].[Month Name]" caption="Month Name" attribute="1" defaultMemberUniqueName="[DateTable].[Month Name].[All]" allUniqueName="[DateTable].[Month Name].[All]" dimensionUniqueName="[DateTable]" displayFolder="" count="2" memberValueDatatype="130" unbalanced="0">
      <fieldsUsage count="2">
        <fieldUsage x="-1"/>
        <fieldUsage x="2"/>
      </fieldsUsage>
    </cacheHierarchy>
    <cacheHierarchy uniqueName="[DateTable].[Quarter]" caption="Quarter" attribute="1" defaultMemberUniqueName="[DateTable].[Quarter].[All]" allUniqueName="[DateTable].[Quarter].[All]" dimensionUniqueName="[DateTable]" displayFolder="" count="0" memberValueDatatype="20" unbalanced="0"/>
    <cacheHierarchy uniqueName="[DateTable].[Day of Week]" caption="Day of Week" attribute="1" defaultMemberUniqueName="[DateTable].[Day of Week].[All]" allUniqueName="[DateTable].[Day of Week].[All]" dimensionUniqueName="[DateTable]" displayFolder="" count="0" memberValueDatatype="20" unbalanced="0"/>
    <cacheHierarchy uniqueName="[DateTable].[Day Name]" caption="Day Name" attribute="1" defaultMemberUniqueName="[DateTable].[Day Name].[All]" allUniqueName="[DateTable].[Day Name].[All]" dimensionUniqueName="[DateTable]" displayFolder="" count="0" memberValueDatatype="130" unbalanced="0"/>
    <cacheHierarchy uniqueName="[Projects].[ProjectID]" caption="ProjectID" attribute="1" defaultMemberUniqueName="[Projects].[ProjectID].[All]" allUniqueName="[Projects].[ProjectID].[All]" dimensionUniqueName="[Projects]" displayFolder="" count="0" memberValueDatatype="130" unbalanced="0"/>
    <cacheHierarchy uniqueName="[Projects].[ProjectName]" caption="ProjectName" attribute="1" defaultMemberUniqueName="[Projects].[ProjectName].[All]" allUniqueName="[Projects].[ProjectName].[All]" dimensionUniqueName="[Projects]" displayFolder="" count="0" memberValueDatatype="130" unbalanced="0"/>
    <cacheHierarchy uniqueName="[Projects].[CreatedAt]" caption="CreatedAt" attribute="1" time="1" defaultMemberUniqueName="[Projects].[CreatedAt].[All]" allUniqueName="[Projects].[CreatedAt].[All]" dimensionUniqueName="[Projects]" displayFolder="" count="0" memberValueDatatype="7" unbalanced="0"/>
    <cacheHierarchy uniqueName="[Projects].[UpdatedAt]" caption="UpdatedAt" attribute="1" time="1" defaultMemberUniqueName="[Projects].[UpdatedAt].[All]" allUniqueName="[Projects].[UpdatedAt].[All]" dimensionUniqueName="[Projects]" displayFolder="" count="0" memberValueDatatype="7" unbalanced="0"/>
    <cacheHierarchy uniqueName="[Projects].[MainBranch]" caption="MainBranch" attribute="1" defaultMemberUniqueName="[Projects].[MainBranch].[All]" allUniqueName="[Projects].[MainBranch].[All]" dimensionUniqueName="[Projects]" displayFolder="" count="0" memberValueDatatype="130" unbalanced="0"/>
    <cacheHierarchy uniqueName="[Projects].[Origin]" caption="Origin" attribute="1" defaultMemberUniqueName="[Projects].[Origin].[All]" allUniqueName="[Projects].[Origin].[All]" dimensionUniqueName="[Projects]" displayFolder="" count="0" memberValueDatatype="130" unbalanced="0"/>
    <cacheHierarchy uniqueName="[Projects].[Criticality]" caption="Criticality" attribute="1" defaultMemberUniqueName="[Projects].[Criticality].[All]" allUniqueName="[Projects].[Criticality].[All]" dimensionUniqueName="[Projects]" displayFolder="" count="0" memberValueDatatype="20" unbalanced="0"/>
    <cacheHierarchy uniqueName="[Projects].[PrivatePackage]" caption="PrivatePackage" attribute="1" defaultMemberUniqueName="[Projects].[PrivatePackage].[All]" allUniqueName="[Projects].[PrivatePackage].[All]" dimensionUniqueName="[Projects]" displayFolder="" count="0" memberValueDatatype="11" unbalanced="0"/>
    <cacheHierarchy uniqueName="[Projects-Branches].[ProjectID]" caption="ProjectID" attribute="1" defaultMemberUniqueName="[Projects-Branches].[ProjectID].[All]" allUniqueName="[Projects-Branches].[ProjectID].[All]" dimensionUniqueName="[Projects-Branches]" displayFolder="" count="0" memberValueDatatype="130" unbalanced="0"/>
    <cacheHierarchy uniqueName="[Projects-Branches].[Branch]" caption="Branch" attribute="1" defaultMemberUniqueName="[Projects-Branches].[Branch].[All]" allUniqueName="[Projects-Branches].[Branch].[All]" dimensionUniqueName="[Projects-Branches]" displayFolder="" count="0" memberValueDatatype="130" unbalanced="0"/>
    <cacheHierarchy uniqueName="[Scans].[ScanID]" caption="ScanID" attribute="1" defaultMemberUniqueName="[Scans].[ScanID].[All]" allUniqueName="[Scans].[ScanID].[All]" dimensionUniqueName="[Scans]" displayFolder="" count="0" memberValueDatatype="130" unbalanced="0"/>
    <cacheHierarchy uniqueName="[Scans].[ProjectId]" caption="ProjectId" attribute="1" defaultMemberUniqueName="[Scans].[ProjectId].[All]" allUniqueName="[Scans].[ProjectId].[All]" dimensionUniqueName="[Scans]" displayFolder="" count="0" memberValueDatatype="130" unbalanced="0"/>
    <cacheHierarchy uniqueName="[Scans].[ProjectName]" caption="ProjectName" attribute="1" defaultMemberUniqueName="[Scans].[ProjectName].[All]" allUniqueName="[Scans].[ProjectName].[All]" dimensionUniqueName="[Scans]" displayFolder="" count="0" memberValueDatatype="130" unbalanced="0"/>
    <cacheHierarchy uniqueName="[Scans].[Status]" caption="Status" attribute="1" defaultMemberUniqueName="[Scans].[Status].[All]" allUniqueName="[Scans].[Status].[All]" dimensionUniqueName="[Scans]" displayFolder="" count="0" memberValueDatatype="130" unbalanced="0"/>
    <cacheHierarchy uniqueName="[Scans].[Branch]" caption="Branch" attribute="1" defaultMemberUniqueName="[Scans].[Branch].[All]" allUniqueName="[Scans].[Branch].[All]" dimensionUniqueName="[Scans]" displayFolder="" count="0" memberValueDatatype="130" unbalanced="0"/>
    <cacheHierarchy uniqueName="[Scans].[Loc]" caption="Loc" attribute="1" defaultMemberUniqueName="[Scans].[Loc].[All]" allUniqueName="[Scans].[Loc].[All]" dimensionUniqueName="[Scans]" displayFolder="" count="0" memberValueDatatype="20" unbalanced="0"/>
    <cacheHierarchy uniqueName="[Scans].[CreatedAt]" caption="CreatedAt" attribute="1" time="1" defaultMemberUniqueName="[Scans].[CreatedAt].[All]" allUniqueName="[Scans].[CreatedAt].[All]" dimensionUniqueName="[Scans]" displayFolder="" count="0" memberValueDatatype="7" unbalanced="0"/>
    <cacheHierarchy uniqueName="[Scans].[StartDate]" caption="StartDate" attribute="1" time="1" defaultMemberUniqueName="[Scans].[StartDate].[All]" allUniqueName="[Scans].[StartDate].[All]" dimensionUniqueName="[Scans]" displayFolder="" count="0" memberValueDatatype="7" unbalanced="0"/>
    <cacheHierarchy uniqueName="[Scans].[EndDate]" caption="EndDate" attribute="1" time="1" defaultMemberUniqueName="[Scans].[EndDate].[All]" allUniqueName="[Scans].[EndDate].[All]" dimensionUniqueName="[Scans]" displayFolder="" count="0" memberValueDatatype="7" unbalanced="0"/>
    <cacheHierarchy uniqueName="[Scans].[HourRequested]" caption="HourRequested" attribute="1" defaultMemberUniqueName="[Scans].[HourRequested].[All]" allUniqueName="[Scans].[HourRequested].[All]" dimensionUniqueName="[Scans]" displayFolder="" count="0" memberValueDatatype="130" unbalanced="0"/>
    <cacheHierarchy uniqueName="[Scans].[ScanDate]" caption="ScanDate" attribute="1" defaultMemberUniqueName="[Scans].[ScanDate].[All]" allUniqueName="[Scans].[ScanDate].[All]" dimensionUniqueName="[Scans]" displayFolder="" count="0" memberValueDatatype="130" unbalanced="0"/>
    <cacheHierarchy uniqueName="[Scans].[Runtime]" caption="Runtime" attribute="1" defaultMemberUniqueName="[Scans].[Runtime].[All]" allUniqueName="[Scans].[Runtime].[All]" dimensionUniqueName="[Scans]" displayFolder="" count="0" memberValueDatatype="5" unbalanced="0"/>
    <cacheHierarchy uniqueName="[Scans].[Engines]" caption="Engines" attribute="1" defaultMemberUniqueName="[Scans].[Engines].[All]" allUniqueName="[Scans].[Engines].[All]" dimensionUniqueName="[Scans]" displayFolder="" count="0" memberValueDatatype="130" unbalanced="0"/>
    <cacheHierarchy uniqueName="[Scans].[Initiator]" caption="Initiator" attribute="1" defaultMemberUniqueName="[Scans].[Initiator].[All]" allUniqueName="[Scans].[Initiator].[All]" dimensionUniqueName="[Scans]" displayFolder="" count="0" memberValueDatatype="130" unbalanced="0"/>
    <cacheHierarchy uniqueName="[Scans].[SourceType]" caption="SourceType" attribute="1" defaultMemberUniqueName="[Scans].[SourceType].[All]" allUniqueName="[Scans].[SourceType].[All]" dimensionUniqueName="[Scans]" displayFolder="" count="0" memberValueDatatype="130" unbalanced="0"/>
    <cacheHierarchy uniqueName="[Scans].[SourceOrigin]" caption="SourceOrigin" attribute="1" defaultMemberUniqueName="[Scans].[SourceOrigin].[All]" allUniqueName="[Scans].[SourceOrigin].[All]" dimensionUniqueName="[Scans]" displayFolder="" count="0" memberValueDatatype="130" unbalanced="0"/>
    <cacheHierarchy uniqueName="[Scans].[Sast]" caption="Sast" attribute="1" defaultMemberUniqueName="[Scans].[Sast].[All]" allUniqueName="[Scans].[Sast].[All]" dimensionUniqueName="[Scans]" displayFolder="" count="0" memberValueDatatype="11" unbalanced="0"/>
    <cacheHierarchy uniqueName="[Scans].[Sca]" caption="Sca" attribute="1" defaultMemberUniqueName="[Scans].[Sca].[All]" allUniqueName="[Scans].[Sca].[All]" dimensionUniqueName="[Scans]" displayFolder="" count="0" memberValueDatatype="11" unbalanced="0"/>
    <cacheHierarchy uniqueName="[Scans].[Kics]" caption="Kics" attribute="1" defaultMemberUniqueName="[Scans].[Kics].[All]" allUniqueName="[Scans].[Kics].[All]" dimensionUniqueName="[Scans]" displayFolder="" count="0" memberValueDatatype="11" unbalanced="0"/>
    <cacheHierarchy uniqueName="[Scans].[Containers]" caption="Containers" attribute="1" defaultMemberUniqueName="[Scans].[Containers].[All]" allUniqueName="[Scans].[Containers].[All]" dimensionUniqueName="[Scans]" displayFolder="" count="0" memberValueDatatype="11" unbalanced="0"/>
    <cacheHierarchy uniqueName="[Scans].[Api]" caption="Api" attribute="1" defaultMemberUniqueName="[Scans].[Api].[All]" allUniqueName="[Scans].[Api].[All]" dimensionUniqueName="[Scans]" displayFolder="" count="0" memberValueDatatype="11" unbalanced="0"/>
    <cacheHierarchy uniqueName="[Scans].[SSCS]" caption="SSCS" attribute="1" defaultMemberUniqueName="[Scans].[SSCS].[All]" allUniqueName="[Scans].[SSCS].[All]" dimensionUniqueName="[Scans]" displayFolder="" count="0" memberValueDatatype="11" unbalanced="0"/>
    <cacheHierarchy uniqueName="[Scans].[Total_Vulnerabilties]" caption="Total_Vulnerabilties" attribute="1" defaultMemberUniqueName="[Scans].[Total_Vulnerabilties].[All]" allUniqueName="[Scans].[Total_Vulnerabilties].[All]" dimensionUniqueName="[Scans]" displayFolder="" count="0" memberValueDatatype="5" unbalanced="0"/>
    <cacheHierarchy uniqueName="[Scans].[Total_Critical]" caption="Total_Critical" attribute="1" defaultMemberUniqueName="[Scans].[Total_Critical].[All]" allUniqueName="[Scans].[Total_Critical].[All]" dimensionUniqueName="[Scans]" displayFolder="" count="0" memberValueDatatype="5" unbalanced="0"/>
    <cacheHierarchy uniqueName="[Scans].[Total_High]" caption="Total_High" attribute="1" defaultMemberUniqueName="[Scans].[Total_High].[All]" allUniqueName="[Scans].[Total_High].[All]" dimensionUniqueName="[Scans]" displayFolder="" count="0" memberValueDatatype="5" unbalanced="0"/>
    <cacheHierarchy uniqueName="[Scans].[Total_Medium]" caption="Total_Medium" attribute="1" defaultMemberUniqueName="[Scans].[Total_Medium].[All]" allUniqueName="[Scans].[Total_Medium].[All]" dimensionUniqueName="[Scans]" displayFolder="" count="0" memberValueDatatype="5" unbalanced="0"/>
    <cacheHierarchy uniqueName="[Scans].[Total_Low]" caption="Total_Low" attribute="1" defaultMemberUniqueName="[Scans].[Total_Low].[All]" allUniqueName="[Scans].[Total_Low].[All]" dimensionUniqueName="[Scans]" displayFolder="" count="0" memberValueDatatype="5" unbalanced="0"/>
    <cacheHierarchy uniqueName="[Scans].[Total_Info]" caption="Total_Info" attribute="1" defaultMemberUniqueName="[Scans].[Total_Info].[All]" allUniqueName="[Scans].[Total_Info].[All]" dimensionUniqueName="[Scans]" displayFolder="" count="0" memberValueDatatype="5" unbalanced="0"/>
    <cacheHierarchy uniqueName="[Scans].[Sast_Total_Vulnerabilties]" caption="Sast_Total_Vulnerabilties" attribute="1" defaultMemberUniqueName="[Scans].[Sast_Total_Vulnerabilties].[All]" allUniqueName="[Scans].[Sast_Total_Vulnerabilties].[All]" dimensionUniqueName="[Scans]" displayFolder="" count="0" memberValueDatatype="5" unbalanced="0"/>
    <cacheHierarchy uniqueName="[Scans].[Sast_Critical]" caption="Sast_Critical" attribute="1" defaultMemberUniqueName="[Scans].[Sast_Critical].[All]" allUniqueName="[Scans].[Sast_Critical].[All]" dimensionUniqueName="[Scans]" displayFolder="" count="0" memberValueDatatype="5" unbalanced="0"/>
    <cacheHierarchy uniqueName="[Scans].[Sast_High]" caption="Sast_High" attribute="1" defaultMemberUniqueName="[Scans].[Sast_High].[All]" allUniqueName="[Scans].[Sast_High].[All]" dimensionUniqueName="[Scans]" displayFolder="" count="0" memberValueDatatype="5" unbalanced="0"/>
    <cacheHierarchy uniqueName="[Scans].[Sast_Medium]" caption="Sast_Medium" attribute="1" defaultMemberUniqueName="[Scans].[Sast_Medium].[All]" allUniqueName="[Scans].[Sast_Medium].[All]" dimensionUniqueName="[Scans]" displayFolder="" count="0" memberValueDatatype="5" unbalanced="0"/>
    <cacheHierarchy uniqueName="[Scans].[Sast_Low]" caption="Sast_Low" attribute="1" defaultMemberUniqueName="[Scans].[Sast_Low].[All]" allUniqueName="[Scans].[Sast_Low].[All]" dimensionUniqueName="[Scans]" displayFolder="" count="0" memberValueDatatype="5" unbalanced="0"/>
    <cacheHierarchy uniqueName="[Scans].[Sast_Info]" caption="Sast_Info" attribute="1" defaultMemberUniqueName="[Scans].[Sast_Info].[All]" allUniqueName="[Scans].[Sast_Info].[All]" dimensionUniqueName="[Scans]" displayFolder="" count="0" memberValueDatatype="5" unbalanced="0"/>
    <cacheHierarchy uniqueName="[Scans].[Kics_Total_Vulnerabilties]" caption="Kics_Total_Vulnerabilties" attribute="1" defaultMemberUniqueName="[Scans].[Kics_Total_Vulnerabilties].[All]" allUniqueName="[Scans].[Kics_Total_Vulnerabilties].[All]" dimensionUniqueName="[Scans]" displayFolder="" count="0" memberValueDatatype="5" unbalanced="0"/>
    <cacheHierarchy uniqueName="[Scans].[Kics_Critical]" caption="Kics_Critical" attribute="1" defaultMemberUniqueName="[Scans].[Kics_Critical].[All]" allUniqueName="[Scans].[Kics_Critical].[All]" dimensionUniqueName="[Scans]" displayFolder="" count="0" memberValueDatatype="5" unbalanced="0"/>
    <cacheHierarchy uniqueName="[Scans].[Kics_High]" caption="Kics_High" attribute="1" defaultMemberUniqueName="[Scans].[Kics_High].[All]" allUniqueName="[Scans].[Kics_High].[All]" dimensionUniqueName="[Scans]" displayFolder="" count="0" memberValueDatatype="5" unbalanced="0"/>
    <cacheHierarchy uniqueName="[Scans].[Kics_Medium]" caption="Kics_Medium" attribute="1" defaultMemberUniqueName="[Scans].[Kics_Medium].[All]" allUniqueName="[Scans].[Kics_Medium].[All]" dimensionUniqueName="[Scans]" displayFolder="" count="0" memberValueDatatype="5" unbalanced="0"/>
    <cacheHierarchy uniqueName="[Scans].[Kics_Low]" caption="Kics_Low" attribute="1" defaultMemberUniqueName="[Scans].[Kics_Low].[All]" allUniqueName="[Scans].[Kics_Low].[All]" dimensionUniqueName="[Scans]" displayFolder="" count="0" memberValueDatatype="5" unbalanced="0"/>
    <cacheHierarchy uniqueName="[Scans].[Kics_Info]" caption="Kics_Info" attribute="1" defaultMemberUniqueName="[Scans].[Kics_Info].[All]" allUniqueName="[Scans].[Kics_Info].[All]" dimensionUniqueName="[Scans]" displayFolder="" count="0" memberValueDatatype="5" unbalanced="0"/>
    <cacheHierarchy uniqueName="[Scans].[Sca_Total_Vulnerabilties]" caption="Sca_Total_Vulnerabilties" attribute="1" defaultMemberUniqueName="[Scans].[Sca_Total_Vulnerabilties].[All]" allUniqueName="[Scans].[Sca_Total_Vulnerabilties].[All]" dimensionUniqueName="[Scans]" displayFolder="" count="0" memberValueDatatype="5" unbalanced="0"/>
    <cacheHierarchy uniqueName="[Scans].[Sca_Critical]" caption="Sca_Critical" attribute="1" defaultMemberUniqueName="[Scans].[Sca_Critical].[All]" allUniqueName="[Scans].[Sca_Critical].[All]" dimensionUniqueName="[Scans]" displayFolder="" count="0" memberValueDatatype="5" unbalanced="0"/>
    <cacheHierarchy uniqueName="[Scans].[Sca_High]" caption="Sca_High" attribute="1" defaultMemberUniqueName="[Scans].[Sca_High].[All]" allUniqueName="[Scans].[Sca_High].[All]" dimensionUniqueName="[Scans]" displayFolder="" count="0" memberValueDatatype="5" unbalanced="0"/>
    <cacheHierarchy uniqueName="[Scans].[Sca_Medium]" caption="Sca_Medium" attribute="1" defaultMemberUniqueName="[Scans].[Sca_Medium].[All]" allUniqueName="[Scans].[Sca_Medium].[All]" dimensionUniqueName="[Scans]" displayFolder="" count="0" memberValueDatatype="5" unbalanced="0"/>
    <cacheHierarchy uniqueName="[Scans].[Sca_Low]" caption="Sca_Low" attribute="1" defaultMemberUniqueName="[Scans].[Sca_Low].[All]" allUniqueName="[Scans].[Sca_Low].[All]" dimensionUniqueName="[Scans]" displayFolder="" count="0" memberValueDatatype="5" unbalanced="0"/>
    <cacheHierarchy uniqueName="[Scans].[Sca_Info]" caption="Sca_Info" attribute="1" defaultMemberUniqueName="[Scans].[Sca_Info].[All]" allUniqueName="[Scans].[Sca_Info].[All]" dimensionUniqueName="[Scans]" displayFolder="" count="0" memberValueDatatype="5" unbalanced="0"/>
    <cacheHierarchy uniqueName="[Scans].[Packages_Total_Vulnerabilties]" caption="Packages_Total_Vulnerabilties" attribute="1" defaultMemberUniqueName="[Scans].[Packages_Total_Vulnerabilties].[All]" allUniqueName="[Scans].[Packages_Total_Vulnerabilties].[All]" dimensionUniqueName="[Scans]" displayFolder="" count="0" memberValueDatatype="5" unbalanced="0"/>
    <cacheHierarchy uniqueName="[Scans].[Packages_Critical]" caption="Packages_Critical" attribute="1" defaultMemberUniqueName="[Scans].[Packages_Critical].[All]" allUniqueName="[Scans].[Packages_Critical].[All]" dimensionUniqueName="[Scans]" displayFolder="" count="0" memberValueDatatype="5" unbalanced="0"/>
    <cacheHierarchy uniqueName="[Scans].[Packages_High]" caption="Packages_High" attribute="1" defaultMemberUniqueName="[Scans].[Packages_High].[All]" allUniqueName="[Scans].[Packages_High].[All]" dimensionUniqueName="[Scans]" displayFolder="" count="0" memberValueDatatype="5" unbalanced="0"/>
    <cacheHierarchy uniqueName="[Scans].[Packages_Medium]" caption="Packages_Medium" attribute="1" defaultMemberUniqueName="[Scans].[Packages_Medium].[All]" allUniqueName="[Scans].[Packages_Medium].[All]" dimensionUniqueName="[Scans]" displayFolder="" count="0" memberValueDatatype="5" unbalanced="0"/>
    <cacheHierarchy uniqueName="[Scans].[Packages_Low]" caption="Packages_Low" attribute="1" defaultMemberUniqueName="[Scans].[Packages_Low].[All]" allUniqueName="[Scans].[Packages_Low].[All]" dimensionUniqueName="[Scans]" displayFolder="" count="0" memberValueDatatype="5" unbalanced="0"/>
    <cacheHierarchy uniqueName="[Scans].[Packages_Info]" caption="Packages_Info" attribute="1" defaultMemberUniqueName="[Scans].[Packages_Info].[All]" allUniqueName="[Scans].[Packages_Info].[All]" dimensionUniqueName="[Scans]" displayFolder="" count="0" memberValueDatatype="5" unbalanced="0"/>
    <cacheHierarchy uniqueName="[Scans].[Api_Total_Vulnerabilties]" caption="Api_Total_Vulnerabilties" attribute="1" defaultMemberUniqueName="[Scans].[Api_Total_Vulnerabilties].[All]" allUniqueName="[Scans].[Api_Total_Vulnerabilties].[All]" dimensionUniqueName="[Scans]" displayFolder="" count="0" memberValueDatatype="5" unbalanced="0"/>
    <cacheHierarchy uniqueName="[Scans].[Api_Critical]" caption="Api_Critical" attribute="1" defaultMemberUniqueName="[Scans].[Api_Critical].[All]" allUniqueName="[Scans].[Api_Critical].[All]" dimensionUniqueName="[Scans]" displayFolder="" count="0" memberValueDatatype="5" unbalanced="0"/>
    <cacheHierarchy uniqueName="[Scans].[Api_High]" caption="Api_High" attribute="1" defaultMemberUniqueName="[Scans].[Api_High].[All]" allUniqueName="[Scans].[Api_High].[All]" dimensionUniqueName="[Scans]" displayFolder="" count="0" memberValueDatatype="5" unbalanced="0"/>
    <cacheHierarchy uniqueName="[Scans].[Api_Medium]" caption="Api_Medium" attribute="1" defaultMemberUniqueName="[Scans].[Api_Medium].[All]" allUniqueName="[Scans].[Api_Medium].[All]" dimensionUniqueName="[Scans]" displayFolder="" count="0" memberValueDatatype="5" unbalanced="0"/>
    <cacheHierarchy uniqueName="[Scans].[Api_Low]" caption="Api_Low" attribute="1" defaultMemberUniqueName="[Scans].[Api_Low].[All]" allUniqueName="[Scans].[Api_Low].[All]" dimensionUniqueName="[Scans]" displayFolder="" count="0" memberValueDatatype="5" unbalanced="0"/>
    <cacheHierarchy uniqueName="[Scans].[Api_Info]" caption="Api_Info" attribute="1" defaultMemberUniqueName="[Scans].[Api_Info].[All]" allUniqueName="[Scans].[Api_Info].[All]" dimensionUniqueName="[Scans]" displayFolder="" count="0" memberValueDatatype="5" unbalanced="0"/>
    <cacheHierarchy uniqueName="[Scans].[SSCS_Total_Vulnerabilties]" caption="SSCS_Total_Vulnerabilties" attribute="1" defaultMemberUniqueName="[Scans].[SSCS_Total_Vulnerabilties].[All]" allUniqueName="[Scans].[SSCS_Total_Vulnerabilties].[All]" dimensionUniqueName="[Scans]" displayFolder="" count="0" memberValueDatatype="5" unbalanced="0"/>
    <cacheHierarchy uniqueName="[Scans].[SSCS_Critical]" caption="SSCS_Critical" attribute="1" defaultMemberUniqueName="[Scans].[SSCS_Critical].[All]" allUniqueName="[Scans].[SSCS_Critical].[All]" dimensionUniqueName="[Scans]" displayFolder="" count="0" memberValueDatatype="5" unbalanced="0"/>
    <cacheHierarchy uniqueName="[Scans].[SSCS_High]" caption="SSCS_High" attribute="1" defaultMemberUniqueName="[Scans].[SSCS_High].[All]" allUniqueName="[Scans].[SSCS_High].[All]" dimensionUniqueName="[Scans]" displayFolder="" count="0" memberValueDatatype="5" unbalanced="0"/>
    <cacheHierarchy uniqueName="[Scans].[SSCS_Medium]" caption="SSCS_Medium" attribute="1" defaultMemberUniqueName="[Scans].[SSCS_Medium].[All]" allUniqueName="[Scans].[SSCS_Medium].[All]" dimensionUniqueName="[Scans]" displayFolder="" count="0" memberValueDatatype="5" unbalanced="0"/>
    <cacheHierarchy uniqueName="[Scans].[SSCS_Low]" caption="SSCS_Low" attribute="1" defaultMemberUniqueName="[Scans].[SSCS_Low].[All]" allUniqueName="[Scans].[SSCS_Low].[All]" dimensionUniqueName="[Scans]" displayFolder="" count="0" memberValueDatatype="5" unbalanced="0"/>
    <cacheHierarchy uniqueName="[Scans].[SSCS_Info]" caption="SSCS_Info" attribute="1" defaultMemberUniqueName="[Scans].[SSCS_Info].[All]" allUniqueName="[Scans].[SSCS_Info].[All]" dimensionUniqueName="[Scans]" displayFolder="" count="0" memberValueDatatype="5" unbalanced="0"/>
    <cacheHierarchy uniqueName="[Scans].[Containers_Total_Vulnerabilties]" caption="Containers_Total_Vulnerabilties" attribute="1" defaultMemberUniqueName="[Scans].[Containers_Total_Vulnerabilties].[All]" allUniqueName="[Scans].[Containers_Total_Vulnerabilties].[All]" dimensionUniqueName="[Scans]" displayFolder="" count="0" memberValueDatatype="5" unbalanced="0"/>
    <cacheHierarchy uniqueName="[Scans].[Containers_Critical]" caption="Containers_Critical" attribute="1" defaultMemberUniqueName="[Scans].[Containers_Critical].[All]" allUniqueName="[Scans].[Containers_Critical].[All]" dimensionUniqueName="[Scans]" displayFolder="" count="0" memberValueDatatype="5" unbalanced="0"/>
    <cacheHierarchy uniqueName="[Scans].[Containers_High]" caption="Containers_High" attribute="1" defaultMemberUniqueName="[Scans].[Containers_High].[All]" allUniqueName="[Scans].[Containers_High].[All]" dimensionUniqueName="[Scans]" displayFolder="" count="0" memberValueDatatype="5" unbalanced="0"/>
    <cacheHierarchy uniqueName="[Scans].[Containers_Medium]" caption="Containers_Medium" attribute="1" defaultMemberUniqueName="[Scans].[Containers_Medium].[All]" allUniqueName="[Scans].[Containers_Medium].[All]" dimensionUniqueName="[Scans]" displayFolder="" count="0" memberValueDatatype="5" unbalanced="0"/>
    <cacheHierarchy uniqueName="[Scans].[Containers_Low]" caption="Containers_Low" attribute="1" defaultMemberUniqueName="[Scans].[Containers_Low].[All]" allUniqueName="[Scans].[Containers_Low].[All]" dimensionUniqueName="[Scans]" displayFolder="" count="0" memberValueDatatype="5" unbalanced="0"/>
    <cacheHierarchy uniqueName="[Scans].[Containers_Info]" caption="Containers_Info" attribute="1" defaultMemberUniqueName="[Scans].[Containers_Info].[All]" allUniqueName="[Scans].[Containers_Info].[All]" dimensionUniqueName="[Scans]" displayFolder="" count="0" memberValueDatatype="5" unbalanced="0"/>
    <cacheHierarchy uniqueName="[Statuses].[ScanID]" caption="ScanID" attribute="1" defaultMemberUniqueName="[Statuses].[ScanID].[All]" allUniqueName="[Statuses].[ScanID].[All]" dimensionUniqueName="[Statuses]" displayFolder="" count="0" memberValueDatatype="130" unbalanced="0"/>
    <cacheHierarchy uniqueName="[Statuses].[EngineName]" caption="EngineName" attribute="1" defaultMemberUniqueName="[Statuses].[EngineName].[All]" allUniqueName="[Statuses].[EngineName].[All]" dimensionUniqueName="[Statuses]" displayFolder="" count="0" memberValueDatatype="130" unbalanced="0"/>
    <cacheHierarchy uniqueName="[Statuses].[Status]" caption="Status" attribute="1" defaultMemberUniqueName="[Statuses].[Status].[All]" allUniqueName="[Statuses].[Status].[All]" dimensionUniqueName="[Statuses]" displayFolder="" count="0" memberValueDatatype="130" unbalanced="0"/>
    <cacheHierarchy uniqueName="[Statuses].[Details]" caption="Details" attribute="1" defaultMemberUniqueName="[Statuses].[Details].[All]" allUniqueName="[Statuses].[Details].[All]" dimensionUniqueName="[Statuses]" displayFolder="" count="0" memberValueDatatype="130" unbalanced="0"/>
    <cacheHierarchy uniqueName="[Statuses].[StartDate]" caption="StartDate" attribute="1" time="1" defaultMemberUniqueName="[Statuses].[StartDate].[All]" allUniqueName="[Statuses].[StartDate].[All]" dimensionUniqueName="[Statuses]" displayFolder="" count="0" memberValueDatatype="7" unbalanced="0"/>
    <cacheHierarchy uniqueName="[Statuses].[EndDate]" caption="EndDate" attribute="1" time="1" defaultMemberUniqueName="[Statuses].[EndDate].[All]" allUniqueName="[Statuses].[EndDate].[All]" dimensionUniqueName="[Statuses]" displayFolder="" count="0" memberValueDatatype="7" unbalanced="0"/>
    <cacheHierarchy uniqueName="[Statuses].[Runtime]" caption="Runtime" attribute="1" defaultMemberUniqueName="[Statuses].[Runtime].[All]" allUniqueName="[Statuses].[Runtime].[All]" dimensionUniqueName="[Statuses]" displayFolder="" count="0" memberValueDatatype="5" unbalanced="0"/>
    <cacheHierarchy uniqueName="[Statuses].[Runtime (Hour)]" caption="Runtime (Hour)" attribute="1" defaultMemberUniqueName="[Statuses].[Runtime (Hour)].[All]" allUniqueName="[Statuses].[Runtime (Hour)].[All]" dimensionUniqueName="[Statuses]" displayFolder="" count="0" memberValueDatatype="130" unbalanced="0"/>
    <cacheHierarchy uniqueName="[Statuses].[Runtime (Minute)]" caption="Runtime (Minute)" attribute="1" defaultMemberUniqueName="[Statuses].[Runtime (Minute)].[All]" allUniqueName="[Statuses].[Runtime (Minute)].[All]" dimensionUniqueName="[Statuses]" displayFolder="" count="0" memberValueDatatype="130" unbalanced="0"/>
    <cacheHierarchy uniqueName="[Statuses].[Runtime (Second)]" caption="Runtime (Second)" attribute="1" defaultMemberUniqueName="[Statuses].[Runtime (Second)].[All]" allUniqueName="[Statuses].[Runtime (Second)].[All]" dimensionUniqueName="[Statuses]" displayFolder="" count="0" memberValueDatatype="130" unbalanced="0"/>
    <cacheHierarchy uniqueName="[Statuses].[StartDate (Year)]" caption="StartDate (Year)" attribute="1" defaultMemberUniqueName="[Statuses].[StartDate (Year)].[All]" allUniqueName="[Statuses].[StartDate (Year)].[All]" dimensionUniqueName="[Statuses]" displayFolder="" count="0" memberValueDatatype="130" unbalanced="0"/>
    <cacheHierarchy uniqueName="[Statuses].[StartDate (Quarter)]" caption="StartDate (Quarter)" attribute="1" defaultMemberUniqueName="[Statuses].[StartDate (Quarter)].[All]" allUniqueName="[Statuses].[StartDate (Quarter)].[All]" dimensionUniqueName="[Statuses]" displayFolder="" count="0" memberValueDatatype="130" unbalanced="0"/>
    <cacheHierarchy uniqueName="[Statuses].[StartDate (Month)]" caption="StartDate (Month)" attribute="1" defaultMemberUniqueName="[Statuses].[StartDate (Month)].[All]" allUniqueName="[Statuses].[StartDate (Month)].[All]" dimensionUniqueName="[Statuses]" displayFolder="" count="0" memberValueDatatype="130" unbalanced="0"/>
    <cacheHierarchy uniqueName="[Statuses].[StartDate (Month Index)]" caption="StartDate (Month Index)" attribute="1" defaultMemberUniqueName="[Statuses].[StartDate (Month Index)].[All]" allUniqueName="[Statuses].[StartDate (Month Index)].[All]" dimensionUniqueName="[Statuses]" displayFolder="" count="0" memberValueDatatype="20" unbalanced="0" hidden="1"/>
    <cacheHierarchy uniqueName="[Measures].[__XL_Count Applications]" caption="__XL_Count Applications" measure="1" displayFolder="" measureGroup="Applications" count="0" hidden="1"/>
    <cacheHierarchy uniqueName="[Measures].[__XL_Count Applications-Projects]" caption="__XL_Count Applications-Projects" measure="1" displayFolder="" measureGroup="Applications-Projects" count="0" hidden="1"/>
    <cacheHierarchy uniqueName="[Measures].[__XL_Count Projects]" caption="__XL_Count Projects" measure="1" displayFolder="" measureGroup="Projects" count="0" hidden="1"/>
    <cacheHierarchy uniqueName="[Measures].[__XL_Count Projects-Branches]" caption="__XL_Count Projects-Branches" measure="1" displayFolder="" measureGroup="Projects-Branches" count="0" hidden="1"/>
    <cacheHierarchy uniqueName="[Measures].[__XL_Count Scans]" caption="__XL_Count Scans" measure="1" displayFolder="" measureGroup="Scans" count="0" hidden="1"/>
    <cacheHierarchy uniqueName="[Measures].[__XL_Count Statuses]" caption="__XL_Count Statuses" measure="1" displayFolder="" measureGroup="Statuses" count="0" hidden="1"/>
    <cacheHierarchy uniqueName="[Measures].[__XL_Count DateTable]" caption="__XL_Count DateTable" measure="1" displayFolder="" measureGroup="DateTable" count="0" hidden="1"/>
    <cacheHierarchy uniqueName="[Measures].[__XL_Count ApplicationsTable]" caption="__XL_Count ApplicationsTable" measure="1" displayFolder="" measureGroup="ApplicationsTable" count="0" hidden="1"/>
    <cacheHierarchy uniqueName="[Measures].[__No measures defined]" caption="__No measures defined" measure="1" displayFolder="" count="0" hidden="1"/>
    <cacheHierarchy uniqueName="[Measures].[Count of Branch]" caption="Count of Branch" measure="1" displayFolder="" measureGroup="Projects-Branches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Count of ApplicationID]" caption="Count of Application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unt of ApplicationName]" caption="Count of ApplicationName" measure="1" displayFolder="" measureGroup="Applications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unt of ApplicationID 2]" caption="Count of ApplicationID 2" measure="1" displayFolder="" measureGroup="Application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ProjectID]" caption="Count of ProjectID" measure="1" displayFolder="" measureGroup="Applications-Project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Count of StartDate]" caption="Count of StartDate" measure="1" displayFolder="" measureGroup="Scans" count="0" hidden="1">
      <extLst>
        <ext xmlns:x15="http://schemas.microsoft.com/office/spreadsheetml/2010/11/main" uri="{B97F6D7D-B522-45F9-BDA1-12C45D357490}">
          <x15:cacheHierarchy aggregatedColumn="42"/>
        </ext>
      </extLst>
    </cacheHierarchy>
    <cacheHierarchy uniqueName="[Measures].[Count of ScanID]" caption="Count of ScanID" measure="1" displayFolder="" measureGroup="Scans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Sum of Runtime]" caption="Sum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Average of Runtime]" caption="Average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Runtime (Minute)]" caption="Count of Runtime (Minute)" measure="1" displayFolder="" measureGroup="Statuses" count="0" hidden="1">
      <extLst>
        <ext xmlns:x15="http://schemas.microsoft.com/office/spreadsheetml/2010/11/main" uri="{B97F6D7D-B522-45F9-BDA1-12C45D357490}">
          <x15:cacheHierarchy aggregatedColumn="113"/>
        </ext>
      </extLst>
    </cacheHierarchy>
    <cacheHierarchy uniqueName="[Measures].[Count of Status]" caption="Count of Status" measure="1" displayFolder="" measureGroup="Statuses" count="0" hidden="1">
      <extLst>
        <ext xmlns:x15="http://schemas.microsoft.com/office/spreadsheetml/2010/11/main" uri="{B97F6D7D-B522-45F9-BDA1-12C45D357490}">
          <x15:cacheHierarchy aggregatedColumn="107"/>
        </ext>
      </extLst>
    </cacheHierarchy>
    <cacheHierarchy uniqueName="[Measures].[Max of Runtime]" caption="Max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Min of Runtime]" caption="Min of Runtime" measure="1" displayFolder="" measureGroup="Statuses" count="0" hidden="1">
      <extLst>
        <ext xmlns:x15="http://schemas.microsoft.com/office/spreadsheetml/2010/11/main" uri="{B97F6D7D-B522-45F9-BDA1-12C45D357490}">
          <x15:cacheHierarchy aggregatedColumn="111"/>
        </ext>
      </extLst>
    </cacheHierarchy>
    <cacheHierarchy uniqueName="[Measures].[Count of EngineName]" caption="Count of EngineName" measure="1" displayFolder="" measureGroup="Statuses" count="0" hidden="1">
      <extLst>
        <ext xmlns:x15="http://schemas.microsoft.com/office/spreadsheetml/2010/11/main" uri="{B97F6D7D-B522-45F9-BDA1-12C45D357490}">
          <x15:cacheHierarchy aggregatedColumn="106"/>
        </ext>
      </extLst>
    </cacheHierarchy>
    <cacheHierarchy uniqueName="[Measures].[Sum of Containers_Info]" caption="Sum of Containers_Info" measure="1" displayFolder="" measureGroup="Scans" count="0" hidden="1">
      <extLst>
        <ext xmlns:x15="http://schemas.microsoft.com/office/spreadsheetml/2010/11/main" uri="{B97F6D7D-B522-45F9-BDA1-12C45D357490}">
          <x15:cacheHierarchy aggregatedColumn="104"/>
        </ext>
      </extLst>
    </cacheHierarchy>
    <cacheHierarchy uniqueName="[Measures].[Sum of Sast_Total_Vulnerabilties]" caption="Sum of Sast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3"/>
        </ext>
      </extLst>
    </cacheHierarchy>
    <cacheHierarchy uniqueName="[Measures].[Sum of Sast_Critical]" caption="Sum of Sast_Critical" measure="1" displayFolder="" measureGroup="Scans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um of Sast_High]" caption="Sum of Sast_High" measure="1" displayFolder="" measureGroup="Scans" count="0" hidden="1">
      <extLst>
        <ext xmlns:x15="http://schemas.microsoft.com/office/spreadsheetml/2010/11/main" uri="{B97F6D7D-B522-45F9-BDA1-12C45D357490}">
          <x15:cacheHierarchy aggregatedColumn="65"/>
        </ext>
      </extLst>
    </cacheHierarchy>
    <cacheHierarchy uniqueName="[Measures].[Sum of Sast_Medium]" caption="Sum of Sast_Medium" measure="1" displayFolder="" measureGroup="Scans" count="0" hidden="1">
      <extLst>
        <ext xmlns:x15="http://schemas.microsoft.com/office/spreadsheetml/2010/11/main" uri="{B97F6D7D-B522-45F9-BDA1-12C45D357490}">
          <x15:cacheHierarchy aggregatedColumn="66"/>
        </ext>
      </extLst>
    </cacheHierarchy>
    <cacheHierarchy uniqueName="[Measures].[Sum of Sast_Low]" caption="Sum of Sast_Low" measure="1" displayFolder="" measureGroup="Scans" count="0" hidden="1">
      <extLst>
        <ext xmlns:x15="http://schemas.microsoft.com/office/spreadsheetml/2010/11/main" uri="{B97F6D7D-B522-45F9-BDA1-12C45D357490}">
          <x15:cacheHierarchy aggregatedColumn="67"/>
        </ext>
      </extLst>
    </cacheHierarchy>
    <cacheHierarchy uniqueName="[Measures].[Sum of Sast_Info]" caption="Sum of Sast_Info" measure="1" displayFolder="" measureGroup="Scans" count="0" hidden="1">
      <extLst>
        <ext xmlns:x15="http://schemas.microsoft.com/office/spreadsheetml/2010/11/main" uri="{B97F6D7D-B522-45F9-BDA1-12C45D357490}">
          <x15:cacheHierarchy aggregatedColumn="68"/>
        </ext>
      </extLst>
    </cacheHierarchy>
    <cacheHierarchy uniqueName="[Measures].[Sum of Kics_Total_Vulnerabilties]" caption="Sum of Kics_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69"/>
        </ext>
      </extLst>
    </cacheHierarchy>
    <cacheHierarchy uniqueName="[Measures].[Sum of RiskScore]" caption="Sum of RiskScore" measure="1" displayFolder="" measureGroup="Application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RiskSeverity]" caption="Count of RiskSeverity" measure="1" displayFolder="" measureGroup="Application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Loc]" caption="Sum of Loc" measure="1" displayFolder="" measureGroup="Scan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0"/>
        </ext>
      </extLst>
    </cacheHierarchy>
    <cacheHierarchy uniqueName="[Measures].[Sum of Day of Week]" caption="Sum of Day of Week" measure="1" displayFolder="" measureGroup="DateTable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Sast]" caption="Count of Sast" measure="1" displayFolder="" measureGroup="Scans" count="0" hidden="1">
      <extLst>
        <ext xmlns:x15="http://schemas.microsoft.com/office/spreadsheetml/2010/11/main" uri="{B97F6D7D-B522-45F9-BDA1-12C45D357490}">
          <x15:cacheHierarchy aggregatedColumn="51"/>
        </ext>
      </extLst>
    </cacheHierarchy>
    <cacheHierarchy uniqueName="[Measures].[Count of Sca]" caption="Count of Sca" measure="1" displayFolder="" measureGroup="Scans" count="0" hidden="1">
      <extLst>
        <ext xmlns:x15="http://schemas.microsoft.com/office/spreadsheetml/2010/11/main" uri="{B97F6D7D-B522-45F9-BDA1-12C45D357490}">
          <x15:cacheHierarchy aggregatedColumn="52"/>
        </ext>
      </extLst>
    </cacheHierarchy>
    <cacheHierarchy uniqueName="[Measures].[Count of Kics]" caption="Count of Kics" measure="1" displayFolder="" measureGroup="Scans" count="0" hidden="1">
      <extLst>
        <ext xmlns:x15="http://schemas.microsoft.com/office/spreadsheetml/2010/11/main" uri="{B97F6D7D-B522-45F9-BDA1-12C45D357490}">
          <x15:cacheHierarchy aggregatedColumn="53"/>
        </ext>
      </extLst>
    </cacheHierarchy>
    <cacheHierarchy uniqueName="[Measures].[Count of Containers]" caption="Count of Containers" measure="1" displayFolder="" measureGroup="Scans" count="0" hidden="1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Count of Api]" caption="Count of Api" measure="1" displayFolder="" measureGroup="Scans" count="0" hidden="1">
      <extLst>
        <ext xmlns:x15="http://schemas.microsoft.com/office/spreadsheetml/2010/11/main" uri="{B97F6D7D-B522-45F9-BDA1-12C45D357490}">
          <x15:cacheHierarchy aggregatedColumn="55"/>
        </ext>
      </extLst>
    </cacheHierarchy>
    <cacheHierarchy uniqueName="[Measures].[Sum of Total_Vulnerabilties]" caption="Sum of Total_Vulnerabilties" measure="1" displayFolder="" measureGroup="Scans" count="0" hidden="1">
      <extLst>
        <ext xmlns:x15="http://schemas.microsoft.com/office/spreadsheetml/2010/11/main" uri="{B97F6D7D-B522-45F9-BDA1-12C45D357490}">
          <x15:cacheHierarchy aggregatedColumn="57"/>
        </ext>
      </extLst>
    </cacheHierarchy>
    <cacheHierarchy uniqueName="[Measures].[Max of Loc]" caption="Max of Loc" measure="1" displayFolder="" measureGroup="Scans" count="0" hidden="1">
      <extLst>
        <ext xmlns:x15="http://schemas.microsoft.com/office/spreadsheetml/2010/11/main" uri="{B97F6D7D-B522-45F9-BDA1-12C45D357490}">
          <x15:cacheHierarchy aggregatedColumn="40"/>
        </ext>
      </extLst>
    </cacheHierarchy>
  </cacheHierarchies>
  <kpis count="0"/>
  <dimensions count="9">
    <dimension name="Applications" uniqueName="[Applications]" caption="Applications"/>
    <dimension name="Applications-Projects" uniqueName="[Applications-Projects]" caption="Applications-Projects"/>
    <dimension name="ApplicationsTable" uniqueName="[ApplicationsTable]" caption="ApplicationsTable"/>
    <dimension name="DateTable" uniqueName="[DateTable]" caption="DateTable"/>
    <dimension measure="1" name="Measures" uniqueName="[Measures]" caption="Measures"/>
    <dimension name="Projects" uniqueName="[Projects]" caption="Projects"/>
    <dimension name="Projects-Branches" uniqueName="[Projects-Branches]" caption="Projects-Branches"/>
    <dimension name="Scans" uniqueName="[Scans]" caption="Scans"/>
    <dimension name="Statuses" uniqueName="[Statuses]" caption="Statuses"/>
  </dimensions>
  <measureGroups count="8">
    <measureGroup name="Applications" caption="Applications"/>
    <measureGroup name="Applications-Projects" caption="Applications-Projects"/>
    <measureGroup name="ApplicationsTable" caption="ApplicationsTable"/>
    <measureGroup name="DateTable" caption="DateTable"/>
    <measureGroup name="Projects" caption="Projects"/>
    <measureGroup name="Projects-Branches" caption="Projects-Branches"/>
    <measureGroup name="Scans" caption="Scans"/>
    <measureGroup name="Statuses" caption="Statuses"/>
  </measureGroups>
  <maps count="16">
    <map measureGroup="0" dimension="0"/>
    <map measureGroup="1" dimension="0"/>
    <map measureGroup="1" dimension="1"/>
    <map measureGroup="1" dimension="5"/>
    <map measureGroup="2" dimension="2"/>
    <map measureGroup="3" dimension="3"/>
    <map measureGroup="4" dimension="5"/>
    <map measureGroup="5" dimension="5"/>
    <map measureGroup="5" dimension="6"/>
    <map measureGroup="6" dimension="3"/>
    <map measureGroup="6" dimension="5"/>
    <map measureGroup="6" dimension="7"/>
    <map measureGroup="7" dimension="3"/>
    <map measureGroup="7" dimension="5"/>
    <map measureGroup="7" dimension="7"/>
    <map measureGroup="7" dimension="8"/>
  </maps>
  <extLst>
    <ext xmlns:x14="http://schemas.microsoft.com/office/spreadsheetml/2009/9/main" uri="{725AE2AE-9491-48be-B2B4-4EB974FC3084}">
      <x14:pivotCacheDefinition pivotCacheId="62703484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x v="0"/>
    <m/>
    <m/>
    <m/>
    <m/>
    <m/>
    <m/>
    <m/>
    <m/>
    <m/>
    <m/>
    <x v="0"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6A0F94-55BA-49EB-B6BE-C723473508AC}" name="PivotChartTable4" cacheId="9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>
  <location ref="A1:B2" firstHeaderRow="1" firstDataRow="2" firstDataCol="1"/>
  <pivotFields count="3"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1"/>
  </rowFields>
  <colFields count="1">
    <field x="0"/>
  </colFields>
  <dataFields count="1">
    <dataField name="Status Count" fld="2" subtotal="count" baseField="1" baseItem="0"/>
  </dataFields>
  <chartFormats count="4">
    <chartFormat chart="0" format="0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375057-26C7-42BC-8E13-A8560EA59184}" name="PivotChartTable1" cacheId="9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>
  <location ref="A1:B2" firstHeaderRow="1" firstDataRow="2" firstDataCol="1"/>
  <pivotFields count="5">
    <pivotField allDrilled="1" subtotalTop="0" showAll="0" sortType="descending" defaultSubtotal="0" defaultAttributeDrillState="1">
      <items count="136"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2">
    <field x="4"/>
    <field x="3"/>
  </rowFields>
  <colFields count="1">
    <field x="1"/>
  </colFields>
  <dataFields count="1">
    <dataField name="Count of EngineName" fld="2" subtotal="count" baseField="0" baseItem="0"/>
  </dataFields>
  <chartFormats count="8">
    <chartFormat chart="0" format="29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32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33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0" format="3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2">
    <rowHierarchyUsage hierarchyUsage="115"/>
    <rowHierarchyUsage hierarchyUsage="117"/>
  </rowHierarchiesUsage>
  <colHierarchiesUsage count="1">
    <colHierarchyUsage hierarchyUsage="10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2C587A-C583-47E4-97FA-276665BC2F35}" name="PivotChartTable2" cacheId="9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>
  <location ref="A1:C1" firstHeaderRow="0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Average of Runtime" fld="1" subtotal="average" baseField="0" baseItem="0" numFmtId="165"/>
    <dataField name="Max Runtime" fld="2" subtotal="max" baseField="0" baseItem="0" numFmtId="165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5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:C1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colFields count="1">
    <field x="-2"/>
  </colFields>
  <colItems count="2">
    <i>
      <x/>
    </i>
    <i i="1">
      <x v="1"/>
    </i>
  </colItems>
  <dataFields count="2">
    <dataField name="Count of ScanID" fld="0" subtotal="count" baseField="0" baseItem="0"/>
    <dataField name="Sum of Loc" fld="1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6" cacheId="11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showEmptyRow="1" outline="1" outlineData="1" multipleFieldFilters="0" chartFormat="13">
  <location ref="A3:C95" firstHeaderRow="0" firstDataRow="1" firstDataCol="1" rowPageCount="1" colPageCount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</items>
    </pivotField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40" name="[Scans].[Loc].[All]" cap="All"/>
  </pageFields>
  <dataFields count="2">
    <dataField name="Count of ScanID" fld="0" subtotal="count" baseField="0" baseItem="0"/>
    <dataField name="Sum of Loc" fld="1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Scans].[Status].&amp;[Partial]"/>
        <member name="[Scans].[Status].&amp;[Completed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cans].[Sast].&amp;[True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92" columnCount="2" cacheId="1899628693"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 t="e">
            <x15:v/>
          </x15:c>
          <x15:c t="e">
            <x15:v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2AEB11-3BB4-4071-A127-E163F8406CB4}" name="PivotChartTable7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:B1" firstHeaderRow="1" firstDataRow="1" firstDataCol="1"/>
  <pivotFields count="2">
    <pivotField dataField="1" subtotalTop="0" showAll="0" defaultSubtotal="0"/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</pivotFields>
  <rowFields count="1">
    <field x="1"/>
  </rowFields>
  <dataFields count="1">
    <dataField name="Count of ScanID"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  <x15:activeTabTopLevelEntity name="[DateTab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A73AE3-5F7D-406F-B649-621396CD66FD}" name="PivotTable12" cacheId="126" applyNumberFormats="0" applyBorderFormats="0" applyFontFormats="0" applyPatternFormats="0" applyAlignmentFormats="0" applyWidthHeightFormats="1" dataCaption="Values" missingCaption="0" tag="de313e8c-2449-4e52-b193-0e2821ca0f84" updatedVersion="8" minRefreshableVersion="3" rowGrandTotals="0" colGrandTotals="0" itemPrintTitles="1" createdVersion="8" indent="0" showEmptyRow="1" outline="1" outlineData="1" multipleFieldFilters="0" rowHeaderCaption="Day of Week">
  <location ref="U10:W17" firstHeaderRow="0" firstDataRow="1" firstDataCol="1"/>
  <pivotFields count="3">
    <pivotField axis="axisRow" allDrilled="1" subtotalTop="0" showAll="0" sortType="ascending" defaultSubtotal="0" defaultAttributeDrillState="1">
      <items count="7">
        <item x="1"/>
        <item x="5"/>
        <item x="6"/>
        <item x="4"/>
        <item x="0"/>
        <item x="2"/>
        <item x="3"/>
      </items>
    </pivotField>
    <pivotField dataField="1" subtotalTop="0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-2"/>
  </colFields>
  <colItems count="2">
    <i>
      <x/>
    </i>
    <i i="1">
      <x v="1"/>
    </i>
  </colItems>
  <dataFields count="2">
    <dataField name="# of Scans" fld="1" subtotal="count" baseField="0" baseItem="0"/>
    <dataField name="% of Scans" fld="2" subtotal="count" showDataAs="percentOfTotal" baseField="0" baseItem="0" numFmtId="10">
      <extLst>
        <ext xmlns:x14="http://schemas.microsoft.com/office/spreadsheetml/2009/9/main" uri="{E15A36E0-9728-4e99-A89B-3F7291B0FE68}">
          <x14:dataField sourceField="1" uniqueName="[__Xl2].[Measures].[Count of ScanID]"/>
        </ext>
      </extLst>
    </dataField>
  </dataFields>
  <formats count="16">
    <format dxfId="814">
      <pivotArea type="all" dataOnly="0" outline="0" fieldPosition="0"/>
    </format>
    <format dxfId="813">
      <pivotArea outline="0" collapsedLevelsAreSubtotals="1" fieldPosition="0"/>
    </format>
    <format dxfId="812">
      <pivotArea dataOnly="0" labelOnly="1" fieldPosition="0">
        <references count="1">
          <reference field="0" count="0"/>
        </references>
      </pivotArea>
    </format>
    <format dxfId="811">
      <pivotArea type="all" dataOnly="0" outline="0" fieldPosition="0"/>
    </format>
    <format dxfId="810">
      <pivotArea outline="0" collapsedLevelsAreSubtotals="1" fieldPosition="0"/>
    </format>
    <format dxfId="809">
      <pivotArea dataOnly="0" labelOnly="1" fieldPosition="0">
        <references count="1">
          <reference field="0" count="0"/>
        </references>
      </pivotArea>
    </format>
    <format dxfId="808">
      <pivotArea field="0" type="button" dataOnly="0" labelOnly="1" outline="0" axis="axisRow" fieldPosition="0"/>
    </format>
    <format dxfId="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06">
      <pivotArea collapsedLevelsAreSubtotals="1" fieldPosition="0">
        <references count="2">
          <reference field="4294967294" count="1" selected="0">
            <x v="0"/>
          </reference>
          <reference field="0" count="1">
            <x v="0"/>
          </reference>
        </references>
      </pivotArea>
    </format>
    <format dxfId="8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4">
      <pivotArea dataOnly="0" labelOnly="1" fieldPosition="0">
        <references count="1">
          <reference field="0" count="5">
            <x v="2"/>
            <x v="3"/>
            <x v="4"/>
            <x v="5"/>
            <x v="6"/>
          </reference>
        </references>
      </pivotArea>
    </format>
    <format dxfId="803">
      <pivotArea field="0" type="button" dataOnly="0" labelOnly="1" outline="0" axis="axisRow" fieldPosition="0"/>
    </format>
    <format dxfId="802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801">
      <pivotArea dataOnly="0" labelOnly="1" fieldPosition="0">
        <references count="1">
          <reference field="0" count="0"/>
        </references>
      </pivotArea>
    </format>
    <format dxfId="80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9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Hierarchies count="1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# of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eTable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91C7C3-53F6-482C-B87C-6E7605DA0356}" name="PivotTable3" cacheId="39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rowHeaderCaption="Origin">
  <location ref="U19:W20" firstHeaderRow="0" firstDataRow="1" firstDataCol="1"/>
  <pivotFields count="72">
    <pivotField showAll="0"/>
    <pivotField showAll="0"/>
    <pivotField showAll="0"/>
    <pivotField showAll="0"/>
    <pivotField showAll="0"/>
    <pivotField showAll="0"/>
    <pivotField numFmtId="22" showAll="0"/>
    <pivotField numFmtId="22" showAll="0"/>
    <pivotField numFmtId="22" showAll="0"/>
    <pivotField showAll="0"/>
    <pivotField showAll="0"/>
    <pivotField numFmtId="164" showAll="0"/>
    <pivotField showAll="0"/>
    <pivotField showAll="0"/>
    <pivotField axis="axisRow" dataField="1" showAll="0">
      <items count="8">
        <item m="1" x="4"/>
        <item m="1" x="1"/>
        <item m="1" x="6"/>
        <item m="1" x="5"/>
        <item m="1" x="3"/>
        <item m="1" x="2"/>
        <item x="0"/>
        <item t="default"/>
      </items>
    </pivotField>
    <pivotField showAll="0" defaultSubtota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9">
        <item m="1" x="3"/>
        <item m="1" x="40"/>
        <item m="1" x="41"/>
        <item m="1" x="57"/>
        <item m="1" x="55"/>
        <item m="1" x="39"/>
        <item m="1" x="56"/>
        <item m="1" x="1"/>
        <item m="1" x="15"/>
        <item m="1" x="42"/>
        <item m="1" x="43"/>
        <item m="1" x="13"/>
        <item m="1" x="4"/>
        <item m="1" x="12"/>
        <item m="1" x="44"/>
        <item m="1" x="45"/>
        <item m="1" x="14"/>
        <item m="1" x="46"/>
        <item m="1" x="5"/>
        <item m="1" x="47"/>
        <item m="1" x="48"/>
        <item m="1" x="49"/>
        <item m="1" x="50"/>
        <item m="1" x="6"/>
        <item m="1" x="51"/>
        <item m="1" x="52"/>
        <item m="1" x="53"/>
        <item m="1" x="54"/>
        <item m="1" x="22"/>
        <item m="1" x="11"/>
        <item m="1" x="38"/>
        <item m="1" x="16"/>
        <item m="1" x="17"/>
        <item m="1" x="18"/>
        <item m="1" x="19"/>
        <item m="1" x="20"/>
        <item m="1" x="21"/>
        <item m="1" x="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7"/>
        <item m="1" x="8"/>
        <item m="1" x="9"/>
        <item m="1" x="1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</pivotFields>
  <rowFields count="1">
    <field x="14"/>
  </rowFields>
  <rowItems count="1">
    <i>
      <x v="6"/>
    </i>
  </rowItems>
  <colFields count="1">
    <field x="-2"/>
  </colFields>
  <colItems count="2">
    <i>
      <x/>
    </i>
    <i i="1">
      <x v="1"/>
    </i>
  </colItems>
  <dataFields count="2">
    <dataField name="# Scans" fld="14" subtotal="count" baseField="0" baseItem="0"/>
    <dataField name="% Scans" fld="14" subtotal="count" showDataAs="percentOfCol" baseField="10" baseItem="0" numFmtId="9"/>
  </dataFields>
  <formats count="39">
    <format dxfId="853">
      <pivotArea dataOnly="0" labelOnly="1" outline="0" axis="axisValues" fieldPosition="0"/>
    </format>
    <format dxfId="852">
      <pivotArea outline="0" fieldPosition="0">
        <references count="1">
          <reference field="4294967294" count="1">
            <x v="1"/>
          </reference>
        </references>
      </pivotArea>
    </format>
    <format dxfId="8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9">
      <pivotArea outline="0" collapsedLevelsAreSubtotals="1" fieldPosition="0"/>
    </format>
    <format dxfId="848">
      <pivotArea dataOnly="0" labelOnly="1" fieldPosition="0">
        <references count="1">
          <reference field="14" count="0"/>
        </references>
      </pivotArea>
    </format>
    <format dxfId="847">
      <pivotArea field="14" type="button" dataOnly="0" labelOnly="1" outline="0" axis="axisRow" fieldPosition="0"/>
    </format>
    <format dxfId="8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5">
      <pivotArea type="all" dataOnly="0" outline="0" fieldPosition="0"/>
    </format>
    <format dxfId="844">
      <pivotArea outline="0" collapsedLevelsAreSubtotals="1" fieldPosition="0"/>
    </format>
    <format dxfId="843">
      <pivotArea field="14" type="button" dataOnly="0" labelOnly="1" outline="0" axis="axisRow" fieldPosition="0"/>
    </format>
    <format dxfId="842">
      <pivotArea dataOnly="0" labelOnly="1" fieldPosition="0">
        <references count="1">
          <reference field="14" count="0"/>
        </references>
      </pivotArea>
    </format>
    <format dxfId="8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40">
      <pivotArea type="all" dataOnly="0" outline="0" fieldPosition="0"/>
    </format>
    <format dxfId="839">
      <pivotArea outline="0" collapsedLevelsAreSubtotals="1" fieldPosition="0"/>
    </format>
    <format dxfId="838">
      <pivotArea field="14" type="button" dataOnly="0" labelOnly="1" outline="0" axis="axisRow" fieldPosition="0"/>
    </format>
    <format dxfId="8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6">
      <pivotArea outline="0" collapsedLevelsAreSubtotals="1" fieldPosition="0"/>
    </format>
    <format dxfId="835">
      <pivotArea field="14" type="button" dataOnly="0" labelOnly="1" outline="0" axis="axisRow" fieldPosition="0"/>
    </format>
    <format dxfId="8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14" type="button" dataOnly="0" labelOnly="1" outline="0" axis="axisRow" fieldPosition="0"/>
    </format>
    <format dxfId="830">
      <pivotArea dataOnly="0" labelOnly="1" fieldPosition="0">
        <references count="1">
          <reference field="14" count="0"/>
        </references>
      </pivotArea>
    </format>
    <format dxfId="82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8">
      <pivotArea type="all" dataOnly="0" outline="0" fieldPosition="0"/>
    </format>
    <format dxfId="827">
      <pivotArea outline="0" collapsedLevelsAreSubtotals="1" fieldPosition="0"/>
    </format>
    <format dxfId="826">
      <pivotArea field="14" type="button" dataOnly="0" labelOnly="1" outline="0" axis="axisRow" fieldPosition="0"/>
    </format>
    <format dxfId="825">
      <pivotArea dataOnly="0" labelOnly="1" fieldPosition="0">
        <references count="1">
          <reference field="14" count="0"/>
        </references>
      </pivotArea>
    </format>
    <format dxfId="8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3">
      <pivotArea field="14" type="button" dataOnly="0" labelOnly="1" outline="0" axis="axisRow" fieldPosition="0"/>
    </format>
    <format dxfId="82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dataOnly="0" labelOnly="1" fieldPosition="0">
        <references count="1">
          <reference field="14" count="0"/>
        </references>
      </pivotArea>
    </format>
    <format dxfId="8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7">
      <pivotArea field="14" type="button" dataOnly="0" labelOnly="1" outline="0" axis="axisRow" fieldPosition="0"/>
    </format>
    <format dxfId="816">
      <pivotArea field="14" type="button" dataOnly="0" labelOnly="1" outline="0" axis="axisRow" fieldPosition="0"/>
    </format>
    <format dxfId="815">
      <pivotArea dataOnly="0" labelOnly="1" fieldPosition="0">
        <references count="1">
          <reference field="1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047388-E0F6-4F41-B4C3-A812196AA3F3}" name="PivotTable1" cacheId="135" applyNumberFormats="0" applyBorderFormats="0" applyFontFormats="0" applyPatternFormats="0" applyAlignmentFormats="0" applyWidthHeightFormats="1" dataCaption="Values" missingCaption="0" tag="d8e8aece-a828-4e2c-b471-3ba8245af82e" updatedVersion="8" minRefreshableVersion="3" subtotalHiddenItems="1" rowGrandTotals="0" colGrandTotals="0" itemPrintTitles="1" createdVersion="8" indent="0" outline="1" outlineData="1" multipleFieldFilters="0" rowHeaderCaption="Projects">
  <location ref="E2:H3" firstHeaderRow="0" firstDataRow="1" firstDataCol="1"/>
  <pivotFields count="4">
    <pivotField axis="axisRow" allDrilled="1" subtotalTop="0" showAll="0" defaultSubtotal="0" defaultAttributeDrillState="1">
      <items count="1">
        <item x="0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# Brnch" fld="1" subtotal="count" baseField="0" baseItem="24" numFmtId="3"/>
    <dataField name="# Apps" fld="2" subtotal="count" baseField="0" baseItem="0" numFmtId="3"/>
    <dataField name="# Scans" fld="3" subtotal="count" baseField="0" baseItem="0" numFmtId="3"/>
  </dataFields>
  <formats count="58">
    <format dxfId="911">
      <pivotArea outline="0" collapsedLevelsAreSubtotals="1" fieldPosition="0"/>
    </format>
    <format dxfId="910">
      <pivotArea type="all" dataOnly="0" outline="0" fieldPosition="0"/>
    </format>
    <format dxfId="909">
      <pivotArea dataOnly="0" fieldPosition="0">
        <references count="1">
          <reference field="0" count="0"/>
        </references>
      </pivotArea>
    </format>
    <format dxfId="9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06">
      <pivotArea type="all" dataOnly="0" outline="0" fieldPosition="0"/>
    </format>
    <format dxfId="905">
      <pivotArea outline="0" collapsedLevelsAreSubtotals="1" fieldPosition="0"/>
    </format>
    <format dxfId="904">
      <pivotArea dataOnly="0" labelOnly="1" fieldPosition="0">
        <references count="1">
          <reference field="0" count="0"/>
        </references>
      </pivotArea>
    </format>
    <format dxfId="903">
      <pivotArea field="0" type="button" dataOnly="0" labelOnly="1" outline="0" axis="axisRow" fieldPosition="0"/>
    </format>
    <format dxfId="9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1">
      <pivotArea type="all" dataOnly="0" outline="0" fieldPosition="0"/>
    </format>
    <format dxfId="900">
      <pivotArea outline="0" collapsedLevelsAreSubtotals="1" fieldPosition="0"/>
    </format>
    <format dxfId="899">
      <pivotArea field="0" type="button" dataOnly="0" labelOnly="1" outline="0" axis="axisRow" fieldPosition="0"/>
    </format>
    <format dxfId="898">
      <pivotArea dataOnly="0" labelOnly="1" fieldPosition="0">
        <references count="1">
          <reference field="0" count="0"/>
        </references>
      </pivotArea>
    </format>
    <format dxfId="8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96">
      <pivotArea field="0" type="button" dataOnly="0" labelOnly="1" outline="0" axis="axisRow" fieldPosition="0"/>
    </format>
    <format dxfId="895">
      <pivotArea dataOnly="0" labelOnly="1" fieldPosition="0">
        <references count="1">
          <reference field="0" count="0"/>
        </references>
      </pivotArea>
    </format>
    <format dxfId="894">
      <pivotArea dataOnly="0" labelOnly="1" fieldPosition="0">
        <references count="1">
          <reference field="0" count="0"/>
        </references>
      </pivotArea>
    </format>
    <format dxfId="893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892">
      <pivotArea type="all" dataOnly="0" outline="0" fieldPosition="0"/>
    </format>
    <format dxfId="891">
      <pivotArea outline="0" collapsedLevelsAreSubtotals="1" fieldPosition="0"/>
    </format>
    <format dxfId="890">
      <pivotArea field="0" type="button" dataOnly="0" labelOnly="1" outline="0" axis="axisRow" fieldPosition="0"/>
    </format>
    <format dxfId="889">
      <pivotArea dataOnly="0" labelOnly="1" fieldPosition="0">
        <references count="1">
          <reference field="0" count="0"/>
        </references>
      </pivotArea>
    </format>
    <format dxfId="8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87">
      <pivotArea dataOnly="0" labelOnly="1" fieldPosition="0">
        <references count="1">
          <reference field="0" count="0"/>
        </references>
      </pivotArea>
    </format>
    <format dxfId="886">
      <pivotArea type="all" dataOnly="0" outline="0" fieldPosition="0"/>
    </format>
    <format dxfId="885">
      <pivotArea field="0" type="button" dataOnly="0" labelOnly="1" outline="0" axis="axisRow" fieldPosition="0"/>
    </format>
    <format dxfId="8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83">
      <pivotArea field="0" type="button" dataOnly="0" labelOnly="1" outline="0" axis="axisRow" fieldPosition="0"/>
    </format>
    <format dxfId="882">
      <pivotArea field="0" type="button" dataOnly="0" labelOnly="1" outline="0" axis="axisRow" fieldPosition="0"/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0" type="button" dataOnly="0" labelOnly="1" outline="0" axis="axisRow" fieldPosition="0"/>
    </format>
    <format dxfId="878">
      <pivotArea dataOnly="0" labelOnly="1" fieldPosition="0">
        <references count="1">
          <reference field="0" count="0"/>
        </references>
      </pivotArea>
    </format>
    <format dxfId="87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76">
      <pivotArea field="0" type="button" dataOnly="0" labelOnly="1" outline="0" axis="axisRow" fieldPosition="0"/>
    </format>
    <format dxfId="87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7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7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0" type="button" dataOnly="0" labelOnly="1" outline="0" axis="axisRow" fieldPosition="0"/>
    </format>
    <format dxfId="869">
      <pivotArea dataOnly="0" labelOnly="1" fieldPosition="0">
        <references count="1">
          <reference field="0" count="0"/>
        </references>
      </pivotArea>
    </format>
    <format dxfId="86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field="0" type="button" dataOnly="0" labelOnly="1" outline="0" axis="axisRow" fieldPosition="0"/>
    </format>
    <format dxfId="864">
      <pivotArea dataOnly="0" labelOnly="1" fieldPosition="0">
        <references count="1">
          <reference field="0" count="0"/>
        </references>
      </pivotArea>
    </format>
    <format dxfId="86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2">
      <pivotArea field="0" type="button" dataOnly="0" labelOnly="1" outline="0" axis="axisRow" fieldPosition="0"/>
    </format>
    <format dxfId="8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0" type="button" dataOnly="0" labelOnly="1" outline="0" axis="axisRow" fieldPosition="0"/>
    </format>
    <format dxfId="857">
      <pivotArea dataOnly="0" labelOnly="1" fieldPosition="0">
        <references count="1">
          <reference field="0" count="0"/>
        </references>
      </pivotArea>
    </format>
    <format dxfId="8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55">
      <pivotArea field="0" type="button" dataOnly="0" labelOnly="1" outline="0" axis="axisRow" fieldPosition="0"/>
    </format>
    <format dxfId="8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# Brnch"/>
    <pivotHierarchy dragToData="1" caption="# Apps"/>
    <pivotHierarchy dragToData="1"/>
    <pivotHierarchy dragToData="1"/>
    <pivotHierarchy dragToData="1"/>
    <pivotHierarchy dragToData="1"/>
    <pivotHierarchy dragToData="1" caption="# Scan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Projects]"/>
        <x15:activeTabTopLevelEntity name="[Projects-Branches]"/>
        <x15:activeTabTopLevelEntity name="[Applications-Projects]"/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26CD7-8C7F-4CEF-B6E6-F3727096203C}" name="PivotTable2" cacheId="132" applyNumberFormats="0" applyBorderFormats="0" applyFontFormats="0" applyPatternFormats="0" applyAlignmentFormats="0" applyWidthHeightFormats="1" dataCaption="Values" tag="ca51244e-bc7a-4a68-89ce-2b089b662ca1" updatedVersion="8" minRefreshableVersion="3" useAutoFormatting="1" subtotalHiddenItems="1" rowGrandTotals="0" colGrandTotals="0" itemPrintTitles="1" createdVersion="8" indent="0" outline="1" outlineData="1" multipleFieldFilters="0" rowHeaderCaption="Applications">
  <location ref="J2:K3" firstHeaderRow="1" firstDataRow="1" firstDataCol="1"/>
  <pivotFields count="2"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1">
    <field x="0"/>
  </rowFields>
  <rowItems count="1">
    <i>
      <x/>
    </i>
  </rowItems>
  <colItems count="1">
    <i/>
  </colItems>
  <dataFields count="1">
    <dataField name="# of Projects" fld="1" subtotal="count" baseField="0" baseItem="0"/>
  </dataFields>
  <formats count="67">
    <format dxfId="978">
      <pivotArea outline="0" collapsedLevelsAreSubtotals="1" fieldPosition="0"/>
    </format>
    <format dxfId="977">
      <pivotArea type="all" dataOnly="0" outline="0" fieldPosition="0"/>
    </format>
    <format dxfId="976">
      <pivotArea type="all" dataOnly="0" outline="0" fieldPosition="0"/>
    </format>
    <format dxfId="975">
      <pivotArea dataOnly="0" labelOnly="1" outline="0" axis="axisValues" fieldPosition="0"/>
    </format>
    <format dxfId="974">
      <pivotArea dataOnly="0" labelOnly="1" outline="0" axis="axisValues" fieldPosition="0"/>
    </format>
    <format dxfId="973">
      <pivotArea type="all" dataOnly="0" outline="0" fieldPosition="0"/>
    </format>
    <format dxfId="972">
      <pivotArea field="0" type="button" dataOnly="0" labelOnly="1" outline="0" axis="axisRow" fieldPosition="0"/>
    </format>
    <format dxfId="971">
      <pivotArea dataOnly="0" labelOnly="1" outline="0" axis="axisValues" fieldPosition="0"/>
    </format>
    <format dxfId="970">
      <pivotArea outline="0" collapsedLevelsAreSubtotals="1" fieldPosition="0"/>
    </format>
    <format dxfId="969">
      <pivotArea dataOnly="0" labelOnly="1" fieldPosition="0">
        <references count="1">
          <reference field="0" count="0"/>
        </references>
      </pivotArea>
    </format>
    <format dxfId="968">
      <pivotArea type="all" dataOnly="0" outline="0" fieldPosition="0"/>
    </format>
    <format dxfId="967">
      <pivotArea outline="0" collapsedLevelsAreSubtotals="1" fieldPosition="0"/>
    </format>
    <format dxfId="966">
      <pivotArea field="0" type="button" dataOnly="0" labelOnly="1" outline="0" axis="axisRow" fieldPosition="0"/>
    </format>
    <format dxfId="965">
      <pivotArea dataOnly="0" labelOnly="1" fieldPosition="0">
        <references count="1">
          <reference field="0" count="0"/>
        </references>
      </pivotArea>
    </format>
    <format dxfId="964">
      <pivotArea dataOnly="0" labelOnly="1" outline="0" axis="axisValues" fieldPosition="0"/>
    </format>
    <format dxfId="963">
      <pivotArea type="all" dataOnly="0" outline="0" fieldPosition="0"/>
    </format>
    <format dxfId="962">
      <pivotArea outline="0" collapsedLevelsAreSubtotals="1" fieldPosition="0"/>
    </format>
    <format dxfId="961">
      <pivotArea field="0" type="button" dataOnly="0" labelOnly="1" outline="0" axis="axisRow" fieldPosition="0"/>
    </format>
    <format dxfId="960">
      <pivotArea dataOnly="0" labelOnly="1" fieldPosition="0">
        <references count="1">
          <reference field="0" count="0"/>
        </references>
      </pivotArea>
    </format>
    <format dxfId="959">
      <pivotArea dataOnly="0" labelOnly="1" outline="0" axis="axisValues" fieldPosition="0"/>
    </format>
    <format dxfId="958">
      <pivotArea dataOnly="0" labelOnly="1" fieldPosition="0">
        <references count="1">
          <reference field="0" count="0"/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0" type="button" dataOnly="0" labelOnly="1" outline="0" axis="axisRow" fieldPosition="0"/>
    </format>
    <format dxfId="954">
      <pivotArea dataOnly="0" labelOnly="1" fieldPosition="0">
        <references count="1">
          <reference field="0" count="0"/>
        </references>
      </pivotArea>
    </format>
    <format dxfId="953">
      <pivotArea dataOnly="0" labelOnly="1" outline="0" axis="axisValues" fieldPosition="0"/>
    </format>
    <format dxfId="952">
      <pivotArea field="0" type="button" dataOnly="0" labelOnly="1" outline="0" axis="axisRow" fieldPosition="0"/>
    </format>
    <format dxfId="951">
      <pivotArea dataOnly="0" labelOnly="1" fieldPosition="0">
        <references count="1">
          <reference field="0" count="0"/>
        </references>
      </pivotArea>
    </format>
    <format dxfId="950">
      <pivotArea type="all" dataOnly="0" outline="0" fieldPosition="0"/>
    </format>
    <format dxfId="949">
      <pivotArea outline="0" collapsedLevelsAreSubtotals="1" fieldPosition="0"/>
    </format>
    <format dxfId="948">
      <pivotArea dataOnly="0" labelOnly="1" fieldPosition="0">
        <references count="1">
          <reference field="0" count="0"/>
        </references>
      </pivotArea>
    </format>
    <format dxfId="947">
      <pivotArea field="0" type="button" dataOnly="0" labelOnly="1" outline="0" axis="axisRow" fieldPosition="0"/>
    </format>
    <format dxfId="946">
      <pivotArea dataOnly="0" labelOnly="1" outline="0" axis="axisValues" fieldPosition="0"/>
    </format>
    <format dxfId="945">
      <pivotArea dataOnly="0" labelOnly="1" fieldPosition="0">
        <references count="1">
          <reference field="0" count="0"/>
        </references>
      </pivotArea>
    </format>
    <format dxfId="944">
      <pivotArea dataOnly="0" labelOnly="1" fieldPosition="0">
        <references count="1">
          <reference field="0" count="0"/>
        </references>
      </pivotArea>
    </format>
    <format dxfId="943">
      <pivotArea type="all" dataOnly="0" outline="0" fieldPosition="0"/>
    </format>
    <format dxfId="942">
      <pivotArea outline="0" collapsedLevelsAreSubtotals="1" fieldPosition="0"/>
    </format>
    <format dxfId="941">
      <pivotArea field="0" type="button" dataOnly="0" labelOnly="1" outline="0" axis="axisRow" fieldPosition="0"/>
    </format>
    <format dxfId="940">
      <pivotArea dataOnly="0" labelOnly="1" fieldPosition="0">
        <references count="1">
          <reference field="0" count="0"/>
        </references>
      </pivotArea>
    </format>
    <format dxfId="939">
      <pivotArea dataOnly="0" labelOnly="1" outline="0" axis="axisValues" fieldPosition="0"/>
    </format>
    <format dxfId="938">
      <pivotArea type="all" dataOnly="0" outline="0" fieldPosition="0"/>
    </format>
    <format dxfId="937">
      <pivotArea outline="0" collapsedLevelsAreSubtotals="1" fieldPosition="0"/>
    </format>
    <format dxfId="936">
      <pivotArea field="0" type="button" dataOnly="0" labelOnly="1" outline="0" axis="axisRow" fieldPosition="0"/>
    </format>
    <format dxfId="935">
      <pivotArea dataOnly="0" labelOnly="1" fieldPosition="0">
        <references count="1">
          <reference field="0" count="0"/>
        </references>
      </pivotArea>
    </format>
    <format dxfId="934">
      <pivotArea dataOnly="0" labelOnly="1" outline="0" axis="axisValues" fieldPosition="0"/>
    </format>
    <format dxfId="933">
      <pivotArea field="0" type="button" dataOnly="0" labelOnly="1" outline="0" axis="axisRow" fieldPosition="0"/>
    </format>
    <format dxfId="932">
      <pivotArea dataOnly="0" labelOnly="1" outline="0" axis="axisValues" fieldPosition="0"/>
    </format>
    <format dxfId="931">
      <pivotArea outline="0" collapsedLevelsAreSubtotals="1" fieldPosition="0"/>
    </format>
    <format dxfId="930">
      <pivotArea type="all" dataOnly="0" outline="0" fieldPosition="0"/>
    </format>
    <format dxfId="929">
      <pivotArea outline="0" collapsedLevelsAreSubtotals="1" fieldPosition="0"/>
    </format>
    <format dxfId="928">
      <pivotArea field="0" type="button" dataOnly="0" labelOnly="1" outline="0" axis="axisRow" fieldPosition="0"/>
    </format>
    <format dxfId="927">
      <pivotArea dataOnly="0" labelOnly="1" fieldPosition="0">
        <references count="1">
          <reference field="0" count="0"/>
        </references>
      </pivotArea>
    </format>
    <format dxfId="926">
      <pivotArea dataOnly="0" labelOnly="1" outline="0" axis="axisValues" fieldPosition="0"/>
    </format>
    <format dxfId="925">
      <pivotArea type="all" dataOnly="0" outline="0" fieldPosition="0"/>
    </format>
    <format dxfId="924">
      <pivotArea outline="0" collapsedLevelsAreSubtotals="1" fieldPosition="0"/>
    </format>
    <format dxfId="923">
      <pivotArea field="0" type="button" dataOnly="0" labelOnly="1" outline="0" axis="axisRow" fieldPosition="0"/>
    </format>
    <format dxfId="922">
      <pivotArea dataOnly="0" labelOnly="1" fieldPosition="0">
        <references count="1">
          <reference field="0" count="0"/>
        </references>
      </pivotArea>
    </format>
    <format dxfId="921">
      <pivotArea dataOnly="0" labelOnly="1" outline="0" axis="axisValues" fieldPosition="0"/>
    </format>
    <format dxfId="920">
      <pivotArea field="0" type="button" dataOnly="0" labelOnly="1" outline="0" axis="axisRow" fieldPosition="0"/>
    </format>
    <format dxfId="919">
      <pivotArea dataOnly="0" labelOnly="1" outline="0" axis="axisValues" fieldPosition="0"/>
    </format>
    <format dxfId="918">
      <pivotArea type="all" dataOnly="0" outline="0" fieldPosition="0"/>
    </format>
    <format dxfId="917">
      <pivotArea outline="0" collapsedLevelsAreSubtotals="1" fieldPosition="0"/>
    </format>
    <format dxfId="916">
      <pivotArea field="0" type="button" dataOnly="0" labelOnly="1" outline="0" axis="axisRow" fieldPosition="0"/>
    </format>
    <format dxfId="915">
      <pivotArea dataOnly="0" labelOnly="1" fieldPosition="0">
        <references count="1">
          <reference field="0" count="0"/>
        </references>
      </pivotArea>
    </format>
    <format dxfId="914">
      <pivotArea dataOnly="0" labelOnly="1" outline="0" axis="axisValues" fieldPosition="0"/>
    </format>
    <format dxfId="913">
      <pivotArea field="0" type="button" dataOnly="0" labelOnly="1" outline="0" axis="axisRow" fieldPosition="0"/>
    </format>
    <format dxfId="912">
      <pivotArea dataOnly="0" labelOnly="1" outline="0" axis="axisValues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# of Projects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pplications]"/>
        <x15:activeTabTopLevelEntity name="[Applications-Project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B9C0E-BB45-4614-AB73-FB10D9211C0A}" name="StatusPerEngine" cacheId="81" applyNumberFormats="0" applyBorderFormats="0" applyFontFormats="0" applyPatternFormats="0" applyAlignmentFormats="0" applyWidthHeightFormats="1" dataCaption="Values" missingCaption="0" tag="087f33d6-97c0-4319-8e12-652cb678b4a3" updatedVersion="8" minRefreshableVersion="3" useAutoFormatting="1" subtotalHiddenItems="1" rowGrandTotals="0" colGrandTotals="0" itemPrintTitles="1" createdVersion="8" indent="0" outline="1" outlineData="1" multipleFieldFilters="0" rowHeaderCaption="Engine" colHeaderCaption="Status">
  <location ref="B2:C3" firstHeaderRow="1" firstDataRow="2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0"/>
  </rowFields>
  <colFields count="1">
    <field x="2"/>
  </colFields>
  <dataFields count="1">
    <dataField name="Status Counts By Engine" fld="1" subtotal="count" baseField="0" baseItem="0" numFmtId="3"/>
  </dataFields>
  <formats count="55">
    <format dxfId="742">
      <pivotArea outline="0" collapsedLevelsAreSubtotals="1" fieldPosition="0"/>
    </format>
    <format dxfId="741">
      <pivotArea dataOnly="0" labelOnly="1" fieldPosition="0">
        <references count="1">
          <reference field="0" count="0"/>
        </references>
      </pivotArea>
    </format>
    <format dxfId="740">
      <pivotArea dataOnly="0" labelOnly="1" fieldPosition="0">
        <references count="1">
          <reference field="0" count="2">
            <x v="2"/>
            <x v="3"/>
          </reference>
        </references>
      </pivotArea>
    </format>
    <format dxfId="739">
      <pivotArea dataOnly="0" labelOnly="1" fieldPosition="0">
        <references count="1">
          <reference field="0" count="2">
            <x v="0"/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dataOnly="0" labelOnly="1" fieldPosition="0">
        <references count="1">
          <reference field="0" count="0"/>
        </references>
      </pivotArea>
    </format>
    <format dxfId="735">
      <pivotArea type="origin" dataOnly="0" labelOnly="1" outline="0" fieldPosition="0"/>
    </format>
    <format dxfId="734">
      <pivotArea field="2" type="button" dataOnly="0" labelOnly="1" outline="0" axis="axisCol" fieldPosition="0"/>
    </format>
    <format dxfId="733">
      <pivotArea type="topRight" dataOnly="0" labelOnly="1" outline="0" fieldPosition="0"/>
    </format>
    <format dxfId="732">
      <pivotArea field="0" type="button" dataOnly="0" labelOnly="1" outline="0" axis="axisRow" fieldPosition="0"/>
    </format>
    <format dxfId="731">
      <pivotArea dataOnly="0" labelOnly="1" fieldPosition="0">
        <references count="1">
          <reference field="2" count="0"/>
        </references>
      </pivotArea>
    </format>
    <format dxfId="730">
      <pivotArea outline="0" collapsedLevelsAreSubtotals="1" fieldPosition="0"/>
    </format>
    <format dxfId="729">
      <pivotArea field="0" type="button" dataOnly="0" labelOnly="1" outline="0" axis="axisRow" fieldPosition="0"/>
    </format>
    <format dxfId="728">
      <pivotArea dataOnly="0" labelOnly="1" fieldPosition="0">
        <references count="1">
          <reference field="0" count="0"/>
        </references>
      </pivotArea>
    </format>
    <format dxfId="727">
      <pivotArea dataOnly="0" labelOnly="1" fieldPosition="0">
        <references count="1">
          <reference field="2" count="0"/>
        </references>
      </pivotArea>
    </format>
    <format dxfId="726">
      <pivotArea field="0" type="button" dataOnly="0" labelOnly="1" outline="0" axis="axisRow" fieldPosition="0"/>
    </format>
    <format dxfId="725">
      <pivotArea dataOnly="0" labelOnly="1" fieldPosition="0">
        <references count="1">
          <reference field="2" count="0"/>
        </references>
      </pivotArea>
    </format>
    <format dxfId="724">
      <pivotArea type="origin" dataOnly="0" labelOnly="1" outline="0" fieldPosition="0"/>
    </format>
    <format dxfId="723">
      <pivotArea field="2" type="button" dataOnly="0" labelOnly="1" outline="0" axis="axisCol" fieldPosition="0"/>
    </format>
    <format dxfId="722">
      <pivotArea type="topRight" dataOnly="0" labelOnly="1" outline="0" fieldPosition="0"/>
    </format>
    <format dxfId="721">
      <pivotArea outline="0" collapsedLevelsAreSubtotals="1" fieldPosition="0"/>
    </format>
    <format dxfId="720">
      <pivotArea type="all" dataOnly="0" outline="0" fieldPosition="0"/>
    </format>
    <format dxfId="719">
      <pivotArea outline="0" collapsedLevelsAreSubtotals="1" fieldPosition="0"/>
    </format>
    <format dxfId="718">
      <pivotArea field="2" type="button" dataOnly="0" labelOnly="1" outline="0" axis="axisCol" fieldPosition="0"/>
    </format>
    <format dxfId="717">
      <pivotArea type="topRight" dataOnly="0" labelOnly="1" outline="0" fieldPosition="0"/>
    </format>
    <format dxfId="716">
      <pivotArea dataOnly="0" labelOnly="1" fieldPosition="0">
        <references count="1">
          <reference field="0" count="0"/>
        </references>
      </pivotArea>
    </format>
    <format dxfId="715">
      <pivotArea field="2" type="button" dataOnly="0" labelOnly="1" outline="0" axis="axisCol" fieldPosition="0"/>
    </format>
    <format dxfId="714">
      <pivotArea type="topRight" dataOnly="0" labelOnly="1" outline="0" fieldPosition="0"/>
    </format>
    <format dxfId="713">
      <pivotArea type="origin" dataOnly="0" labelOnly="1" outline="0" fieldPosition="0"/>
    </format>
    <format dxfId="712">
      <pivotArea type="origin" dataOnly="0" labelOnly="1" outline="0" fieldPosition="0"/>
    </format>
    <format dxfId="711">
      <pivotArea field="2" type="button" dataOnly="0" labelOnly="1" outline="0" axis="axisCol" fieldPosition="0"/>
    </format>
    <format dxfId="710">
      <pivotArea type="topRight" dataOnly="0" labelOnly="1" outline="0" fieldPosition="0"/>
    </format>
    <format dxfId="709">
      <pivotArea field="0" type="button" dataOnly="0" labelOnly="1" outline="0" axis="axisRow" fieldPosition="0"/>
    </format>
    <format dxfId="708">
      <pivotArea field="2" type="button" dataOnly="0" labelOnly="1" outline="0" axis="axisCol" fieldPosition="0"/>
    </format>
    <format dxfId="707">
      <pivotArea type="topRight" dataOnly="0" labelOnly="1" outline="0" fieldPosition="0"/>
    </format>
    <format dxfId="706">
      <pivotArea dataOnly="0" labelOnly="1" fieldPosition="0">
        <references count="1">
          <reference field="2" count="0"/>
        </references>
      </pivotArea>
    </format>
    <format dxfId="705">
      <pivotArea type="origin" dataOnly="0" labelOnly="1" outline="0" fieldPosition="0"/>
    </format>
    <format dxfId="704">
      <pivotArea type="topRight" dataOnly="0" labelOnly="1" outline="0" fieldPosition="0"/>
    </format>
    <format dxfId="703">
      <pivotArea type="origin" dataOnly="0" labelOnly="1" outline="0" fieldPosition="0"/>
    </format>
    <format dxfId="702">
      <pivotArea field="0" type="button" dataOnly="0" labelOnly="1" outline="0" axis="axisRow" fieldPosition="0"/>
    </format>
    <format dxfId="701">
      <pivotArea dataOnly="0" labelOnly="1" fieldPosition="0">
        <references count="1">
          <reference field="0" count="0"/>
        </references>
      </pivotArea>
    </format>
    <format dxfId="700">
      <pivotArea type="origin" dataOnly="0" labelOnly="1" outline="0" fieldPosition="0"/>
    </format>
    <format dxfId="699">
      <pivotArea type="topRight" dataOnly="0" labelOnly="1" outline="0" fieldPosition="0"/>
    </format>
    <format dxfId="698">
      <pivotArea field="0" type="button" dataOnly="0" labelOnly="1" outline="0" axis="axisRow" fieldPosition="0"/>
    </format>
    <format dxfId="697">
      <pivotArea dataOnly="0" labelOnly="1" fieldPosition="0">
        <references count="1">
          <reference field="2" count="0"/>
        </references>
      </pivotArea>
    </format>
    <format dxfId="696">
      <pivotArea field="2" type="button" dataOnly="0" labelOnly="1" outline="0" axis="axisCol" fieldPosition="0"/>
    </format>
    <format dxfId="695">
      <pivotArea type="origin" dataOnly="0" labelOnly="1" outline="0" fieldPosition="0"/>
    </format>
    <format dxfId="694">
      <pivotArea type="origin" dataOnly="0" labelOnly="1" outline="0" fieldPosition="0"/>
    </format>
    <format dxfId="693">
      <pivotArea field="2" type="button" dataOnly="0" labelOnly="1" outline="0" axis="axisCol" fieldPosition="0"/>
    </format>
    <format dxfId="692">
      <pivotArea type="topRight" dataOnly="0" labelOnly="1" outline="0" fieldPosition="0"/>
    </format>
    <format dxfId="691">
      <pivotArea field="2" type="button" dataOnly="0" labelOnly="1" outline="0" axis="axisCol" fieldPosition="0"/>
    </format>
    <format dxfId="690">
      <pivotArea type="all" dataOnly="0" outline="0" fieldPosition="0"/>
    </format>
    <format dxfId="689">
      <pivotArea type="origin" dataOnly="0" labelOnly="1" outline="0" fieldPosition="0"/>
    </format>
    <format dxfId="688">
      <pivotArea field="0" type="button" dataOnly="0" labelOnly="1" outline="0" axis="axisRow" fieldPosition="0"/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tatus Counts By Engin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10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F4F0B-E306-4F4F-BF13-F196B44D2651}" name="PivotTable1" cacheId="39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Status">
  <location ref="L3:M4" firstHeaderRow="1" firstDataRow="1" firstDataCol="1"/>
  <pivotFields count="72">
    <pivotField showAll="0" defaultSubtotal="0"/>
    <pivotField showAll="0" defaultSubtotal="0"/>
    <pivotField showAll="0" defaultSubtotal="0"/>
    <pivotField axis="axisRow" dataField="1" showAll="0" defaultSubtotal="0">
      <items count="4">
        <item m="1" x="1"/>
        <item m="1" x="3"/>
        <item m="1" x="2"/>
        <item x="0"/>
      </items>
    </pivotField>
    <pivotField showAll="0" defaultSubtotal="0"/>
    <pivotField showAll="0" defaultSubtotal="0"/>
    <pivotField numFmtId="22" showAll="0" defaultSubtotal="0"/>
    <pivotField showAll="0" defaultSubtotal="0"/>
    <pivotField showAll="0" defaultSubtotal="0"/>
    <pivotField showAll="0" defaultSubtotal="0"/>
    <pivotField showAll="0" defaultSubtotal="0"/>
    <pivotField numFmtId="164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58">
        <item m="1" x="3"/>
        <item m="1" x="4"/>
        <item m="1" x="6"/>
        <item m="1" x="1"/>
        <item m="1" x="22"/>
        <item m="1" x="13"/>
        <item m="1" x="15"/>
        <item m="1" x="14"/>
        <item m="1" x="11"/>
        <item m="1" x="12"/>
        <item m="1" x="5"/>
        <item m="1" x="47"/>
        <item m="1" x="46"/>
        <item m="1" x="53"/>
        <item m="1" x="40"/>
        <item m="1" x="41"/>
        <item m="1" x="43"/>
        <item m="1" x="54"/>
        <item m="1" x="52"/>
        <item m="1" x="45"/>
        <item m="1" x="49"/>
        <item m="1" x="42"/>
        <item m="1" x="48"/>
        <item m="1" x="51"/>
        <item m="1" x="50"/>
        <item m="1" x="57"/>
        <item m="1" x="44"/>
        <item m="1" x="55"/>
        <item m="1" x="39"/>
        <item m="1" x="56"/>
        <item m="1" x="38"/>
        <item m="1" x="16"/>
        <item m="1" x="17"/>
        <item m="1" x="18"/>
        <item m="1" x="19"/>
        <item m="1" x="20"/>
        <item m="1" x="21"/>
        <item m="1" x="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7"/>
        <item m="1" x="8"/>
        <item m="1" x="9"/>
        <item m="1" x="10"/>
        <item x="0"/>
      </items>
    </pivotField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ubtotalTop="0" showAll="0" defaultSubtotal="0"/>
    <pivotField showAll="0" defaultSubtota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</pivotFields>
  <rowFields count="1">
    <field x="3"/>
  </rowFields>
  <rowItems count="1">
    <i>
      <x v="3"/>
    </i>
  </rowItems>
  <colItems count="1">
    <i/>
  </colItems>
  <dataFields count="1">
    <dataField name="Totals" fld="3" subtotal="count" baseField="0" baseItem="0"/>
  </dataFields>
  <formats count="16">
    <format dxfId="758">
      <pivotArea field="3" type="button" dataOnly="0" labelOnly="1" outline="0" axis="axisRow" fieldPosition="0"/>
    </format>
    <format dxfId="757">
      <pivotArea dataOnly="0" labelOnly="1" fieldPosition="0">
        <references count="1">
          <reference field="3" count="0"/>
        </references>
      </pivotArea>
    </format>
    <format dxfId="756">
      <pivotArea dataOnly="0" labelOnly="1" outline="0" axis="axisValues" fieldPosition="0"/>
    </format>
    <format dxfId="755">
      <pivotArea type="all" dataOnly="0" outline="0" fieldPosition="0"/>
    </format>
    <format dxfId="754">
      <pivotArea outline="0" collapsedLevelsAreSubtotals="1" fieldPosition="0"/>
    </format>
    <format dxfId="753">
      <pivotArea field="3" type="button" dataOnly="0" labelOnly="1" outline="0" axis="axisRow" fieldPosition="0"/>
    </format>
    <format dxfId="752">
      <pivotArea dataOnly="0" labelOnly="1" fieldPosition="0">
        <references count="1">
          <reference field="3" count="0"/>
        </references>
      </pivotArea>
    </format>
    <format dxfId="751">
      <pivotArea dataOnly="0" labelOnly="1" outline="0" axis="axisValues" fieldPosition="0"/>
    </format>
    <format dxfId="750">
      <pivotArea field="3" type="button" dataOnly="0" labelOnly="1" outline="0" axis="axisRow" fieldPosition="0"/>
    </format>
    <format dxfId="749">
      <pivotArea dataOnly="0" labelOnly="1" outline="0" axis="axisValues" fieldPosition="0"/>
    </format>
    <format dxfId="748">
      <pivotArea outline="0" collapsedLevelsAreSubtotals="1" fieldPosition="0"/>
    </format>
    <format dxfId="747">
      <pivotArea type="all" dataOnly="0" outline="0" fieldPosition="0"/>
    </format>
    <format dxfId="746">
      <pivotArea outline="0" collapsedLevelsAreSubtotals="1" fieldPosition="0"/>
    </format>
    <format dxfId="745">
      <pivotArea field="3" type="button" dataOnly="0" labelOnly="1" outline="0" axis="axisRow" fieldPosition="0"/>
    </format>
    <format dxfId="744">
      <pivotArea dataOnly="0" labelOnly="1" fieldPosition="0">
        <references count="1">
          <reference field="3" count="0"/>
        </references>
      </pivotArea>
    </format>
    <format dxfId="743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4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C3C25-131B-49A1-B211-D43921C4AA8B}" name="AvgRunTimePerEngine" cacheId="84" applyNumberFormats="0" applyBorderFormats="0" applyFontFormats="0" applyPatternFormats="0" applyAlignmentFormats="0" applyWidthHeightFormats="1" dataCaption="Values" tag="3581aa8b-452e-4abc-9d47-d45adde2e629" updatedVersion="8" minRefreshableVersion="3" useAutoFormatting="1" subtotalHiddenItems="1" rowGrandTotals="0" colGrandTotals="0" itemPrintTitles="1" createdVersion="8" indent="0" outline="1" outlineData="1" multipleFieldFilters="0" rowHeaderCaption="Engine">
  <location ref="G2:J2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3">
    <i>
      <x/>
    </i>
    <i i="1">
      <x v="1"/>
    </i>
    <i i="2">
      <x v="2"/>
    </i>
  </colItems>
  <dataFields count="3">
    <dataField name="Avg Runtime" fld="1" subtotal="average" baseField="0" baseItem="0" numFmtId="165"/>
    <dataField name="Max Runtime" fld="2" subtotal="max" baseField="0" baseItem="0"/>
    <dataField name="Min Runtime" fld="3" subtotal="min" baseField="0" baseItem="0"/>
  </dataFields>
  <formats count="35">
    <format dxfId="793">
      <pivotArea outline="0" collapsedLevelsAreSubtotals="1" fieldPosition="0"/>
    </format>
    <format dxfId="792">
      <pivotArea outline="0" collapsedLevelsAreSubtotals="1" fieldPosition="0"/>
    </format>
    <format dxfId="791">
      <pivotArea dataOnly="0" labelOnly="1" fieldPosition="0">
        <references count="1">
          <reference field="0" count="0"/>
        </references>
      </pivotArea>
    </format>
    <format dxfId="790">
      <pivotArea dataOnly="0" labelOnly="1" fieldPosition="0">
        <references count="1">
          <reference field="0" count="0"/>
        </references>
      </pivotArea>
    </format>
    <format dxfId="789">
      <pivotArea type="all" dataOnly="0" outline="0" fieldPosition="0"/>
    </format>
    <format dxfId="788">
      <pivotArea outline="0" collapsedLevelsAreSubtotals="1" fieldPosition="0"/>
    </format>
    <format dxfId="787">
      <pivotArea dataOnly="0" labelOnly="1" fieldPosition="0">
        <references count="1">
          <reference field="0" count="0"/>
        </references>
      </pivotArea>
    </format>
    <format dxfId="786">
      <pivotArea field="0" type="button" dataOnly="0" labelOnly="1" outline="0" axis="axisRow" fieldPosition="0"/>
    </format>
    <format dxfId="7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84">
      <pivotArea type="all" dataOnly="0" outline="0" fieldPosition="0"/>
    </format>
    <format dxfId="783">
      <pivotArea outline="0" collapsedLevelsAreSubtotals="1" fieldPosition="0"/>
    </format>
    <format dxfId="782">
      <pivotArea dataOnly="0" labelOnly="1" fieldPosition="0">
        <references count="1">
          <reference field="0" count="0"/>
        </references>
      </pivotArea>
    </format>
    <format dxfId="781">
      <pivotArea field="0" type="button" dataOnly="0" labelOnly="1" outline="0" axis="axisRow" fieldPosition="0"/>
    </format>
    <format dxfId="78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79">
      <pivotArea field="0" type="button" dataOnly="0" labelOnly="1" outline="0" axis="axisRow" fieldPosition="0"/>
    </format>
    <format dxfId="778">
      <pivotArea dataOnly="0" labelOnly="1" fieldPosition="0">
        <references count="1">
          <reference field="0" count="0"/>
        </references>
      </pivotArea>
    </format>
    <format dxfId="777">
      <pivotArea outline="0" collapsedLevelsAreSubtotals="1" fieldPosition="0"/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dataOnly="0" labelOnly="1" fieldPosition="0">
        <references count="1">
          <reference field="0" count="0"/>
        </references>
      </pivotArea>
    </format>
    <format dxfId="7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6">
      <pivotArea field="0" type="button" dataOnly="0" labelOnly="1" outline="0" axis="axisRow" fieldPosition="0"/>
    </format>
    <format dxfId="765">
      <pivotArea field="0" type="button" dataOnly="0" labelOnly="1" outline="0" axis="axisRow" fieldPosition="0"/>
    </format>
    <format dxfId="764">
      <pivotArea dataOnly="0" labelOnly="1" fieldPosition="0">
        <references count="1">
          <reference field="0" count="0"/>
        </references>
      </pivotArea>
    </format>
    <format dxfId="763">
      <pivotArea field="0" type="button" dataOnly="0" labelOnly="1" outline="0" axis="axisRow" fieldPosition="0"/>
    </format>
    <format dxfId="7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61">
      <pivotArea type="all" dataOnly="0" outline="0" fieldPosition="0"/>
    </format>
    <format dxfId="760">
      <pivotArea field="0" type="button" dataOnly="0" labelOnly="1" outline="0" axis="axisRow" fieldPosition="0"/>
    </format>
    <format dxfId="7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g Runtime"/>
    <pivotHierarchy dragToData="1"/>
    <pivotHierarchy dragToData="1"/>
    <pivotHierarchy dragToData="1" caption="Max Runtime"/>
    <pivotHierarchy dragToData="1" caption="Min Runtim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tus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C5012-1C72-427E-86CA-843808DBC2F1}" name="ScansByDate" cacheId="123" applyNumberFormats="0" applyBorderFormats="0" applyFontFormats="0" applyPatternFormats="0" applyAlignmentFormats="0" applyWidthHeightFormats="1" dataCaption="Values" tag="18778269-a681-4e1e-9108-9f30df329b19" updatedVersion="8" minRefreshableVersion="3" useAutoFormatting="1" rowGrandTotals="0" colGrandTotals="0" itemPrintTitles="1" createdVersion="8" indent="0" outline="1" outlineData="1" multipleFieldFilters="0" rowHeaderCaption="ScanDate">
  <location ref="A1:C1" firstHeaderRow="0" firstDataRow="1" firstDataCol="1"/>
  <pivotFields count="3">
    <pivotField axis="axisRow" allDrilled="1" subtotalTop="0" showAll="0" sortType="descending" defaultSubtotal="0" defaultAttributeDrillState="1">
      <items count="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colFields count="1">
    <field x="-2"/>
  </colFields>
  <colItems count="2">
    <i>
      <x/>
    </i>
    <i i="1">
      <x v="1"/>
    </i>
  </colItems>
  <dataFields count="2">
    <dataField name="Count" fld="1" subtotal="count" baseField="0" baseItem="0"/>
    <dataField name="LOC" fld="2" baseField="0" baseItem="0"/>
  </dataFields>
  <formats count="5">
    <format dxfId="687">
      <pivotArea field="0" type="button" dataOnly="0" labelOnly="1" outline="0" axis="axisRow" fieldPosition="0"/>
    </format>
    <format dxfId="686">
      <pivotArea dataOnly="0" labelOnly="1" grandRow="1" outline="0" fieldPosition="0"/>
    </format>
    <format dxfId="685">
      <pivotArea outline="0" collapsedLevelsAreSubtotals="1" fieldPosition="0"/>
    </format>
    <format dxfId="684">
      <pivotArea field="0" type="button" dataOnly="0" labelOnly="1" outline="0" axis="axisRow" fieldPosition="0"/>
    </format>
    <format dxfId="6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16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LO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can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adjustColumnWidth="0" connectionId="4" xr16:uid="{77A34B5F-B9CD-4B02-849D-1B62AE9284AA}" autoFormatId="16" applyNumberFormats="0" applyBorderFormats="0" applyFontFormats="0" applyPatternFormats="0" applyAlignmentFormats="0" applyWidthHeightFormats="0">
  <queryTableRefresh nextId="5">
    <queryTableFields count="4">
      <queryTableField id="1" name="Parameter" tableColumnId="1"/>
      <queryTableField id="2" name="Value" tableColumnId="2"/>
      <queryTableField id="3" name="Message" tableColumnId="3"/>
      <queryTableField id="4" name="Statu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71EB550-3DCD-4A91-9186-40C410456BEF}" autoFormatId="16" applyNumberFormats="0" applyBorderFormats="0" applyFontFormats="0" applyPatternFormats="0" applyAlignmentFormats="0" applyWidthHeightFormats="0">
  <queryTableRefresh nextId="3">
    <queryTableFields count="2">
      <queryTableField id="1" name="Detail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9DBE7D-28BC-4ED8-ACF1-FFE79F589901}" autoFormatId="16" applyNumberFormats="0" applyBorderFormats="0" applyFontFormats="0" applyPatternFormats="0" applyAlignmentFormats="0" applyWidthHeightFormats="0">
  <queryTableRefresh nextId="11">
    <queryTableFields count="8">
      <queryTableField id="1" name="ApplicationID" tableColumnId="1"/>
      <queryTableField id="2" name="ApplicationName" tableColumnId="2"/>
      <queryTableField id="3" name="Description" tableColumnId="3"/>
      <queryTableField id="4" name="CreatedAt" tableColumnId="4"/>
      <queryTableField id="5" name="UpdatedAt" tableColumnId="5"/>
      <queryTableField id="6" name="Criticality" tableColumnId="6"/>
      <queryTableField id="9" name="RiskScore" tableColumnId="9"/>
      <queryTableField id="10" name="RiskSeverity" tableColumnId="10"/>
    </queryTableFields>
  </queryTableRefresh>
  <extLst>
    <ext xmlns:x15="http://schemas.microsoft.com/office/spreadsheetml/2010/11/main" uri="{883FBD77-0823-4a55-B5E3-86C4891E6966}">
      <x15:queryTable sourceDataName="Query - Application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72F714D3-1BBD-41F2-9409-79E690459A70}" autoFormatId="16" applyNumberFormats="0" applyBorderFormats="0" applyFontFormats="0" applyPatternFormats="0" applyAlignmentFormats="0" applyWidthHeightFormats="0">
  <queryTableRefresh nextId="9">
    <queryTableFields count="8">
      <queryTableField id="1" name="ProjectID" tableColumnId="1"/>
      <queryTableField id="2" name="ProjectName" tableColumnId="2"/>
      <queryTableField id="3" name="CreatedAt" tableColumnId="3"/>
      <queryTableField id="4" name="UpdatedAt" tableColumnId="4"/>
      <queryTableField id="5" name="MainBranch" tableColumnId="5"/>
      <queryTableField id="6" name="Origin" tableColumnId="6"/>
      <queryTableField id="7" name="Criticality" tableColumnId="7"/>
      <queryTableField id="8" name="PrivatePackage" tableColumnId="8"/>
    </queryTableFields>
  </queryTableRefresh>
  <extLst>
    <ext xmlns:x15="http://schemas.microsoft.com/office/spreadsheetml/2010/11/main" uri="{883FBD77-0823-4a55-B5E3-86C4891E6966}">
      <x15:queryTable sourceDataName="Query - Projects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3" xr16:uid="{7993648E-7CAF-465F-BE9D-A9DF50606F41}" autoFormatId="16" applyNumberFormats="0" applyBorderFormats="0" applyFontFormats="0" applyPatternFormats="0" applyAlignmentFormats="0" applyWidthHeightFormats="0">
  <queryTableRefresh nextId="119" unboundColumnsRight="1">
    <queryTableFields count="71">
      <queryTableField id="1" name="ScanID" tableColumnId="1"/>
      <queryTableField id="2" name="ProjectId" tableColumnId="2"/>
      <queryTableField id="3" name="ProjectName" tableColumnId="3"/>
      <queryTableField id="4" name="Status" tableColumnId="4"/>
      <queryTableField id="5" name="Branch" tableColumnId="5"/>
      <queryTableField id="6" name="Loc" tableColumnId="6"/>
      <queryTableField id="47" name="CreatedAt" tableColumnId="28"/>
      <queryTableField id="24" name="StartDate" tableColumnId="7"/>
      <queryTableField id="25" name="EndDate" tableColumnId="8"/>
      <queryTableField id="32" name="HourRequested" tableColumnId="25"/>
      <queryTableField id="45" name="ScanDate" tableColumnId="27"/>
      <queryTableField id="26" name="Runtime" tableColumnId="23"/>
      <queryTableField id="9" name="Engines" tableColumnId="9"/>
      <queryTableField id="48" name="Initiator" tableColumnId="29"/>
      <queryTableField id="27" name="SourceType" tableColumnId="24"/>
      <queryTableField id="10" name="SourceOrigin" tableColumnId="10"/>
      <queryTableField id="11" name="SAST" tableColumnId="11"/>
      <queryTableField id="12" name="SCA" tableColumnId="12"/>
      <queryTableField id="13" name="KICS" tableColumnId="13"/>
      <queryTableField id="14" name="CONTAINERS" tableColumnId="14"/>
      <queryTableField id="15" name="API" tableColumnId="15"/>
      <queryTableField id="104" name="SSCS" tableColumnId="16"/>
      <queryTableField id="18" name="Total_Vulnerabilties" tableColumnId="17"/>
      <queryTableField id="19" name="Total_Critical" tableColumnId="18"/>
      <queryTableField id="20" name="Total_High" tableColumnId="19"/>
      <queryTableField id="21" name="Total_Medium" tableColumnId="20"/>
      <queryTableField id="22" name="Total_Low" tableColumnId="21"/>
      <queryTableField id="23" name="Total_Info" tableColumnId="22"/>
      <queryTableField id="49" name="Sast_Total_Vulnerabilties" tableColumnId="30"/>
      <queryTableField id="50" name="Sast_Critical" tableColumnId="31"/>
      <queryTableField id="51" name="Sast_High" tableColumnId="32"/>
      <queryTableField id="52" name="Sast_Medium" tableColumnId="33"/>
      <queryTableField id="53" name="Sast_Low" tableColumnId="34"/>
      <queryTableField id="54" name="Sast_Info" tableColumnId="35"/>
      <queryTableField id="55" name="Kics_Total_Vulnerabilties" tableColumnId="36"/>
      <queryTableField id="56" name="Kics_Critical" tableColumnId="37"/>
      <queryTableField id="57" name="Kics_High" tableColumnId="38"/>
      <queryTableField id="58" name="Kics_Medium" tableColumnId="39"/>
      <queryTableField id="59" name="Kics_Low" tableColumnId="40"/>
      <queryTableField id="60" name="Kics_Info" tableColumnId="41"/>
      <queryTableField id="61" name="Sca_Total_Vulnerabilties" tableColumnId="42"/>
      <queryTableField id="62" name="Sca_Critical" tableColumnId="43"/>
      <queryTableField id="63" name="Sca_High" tableColumnId="44"/>
      <queryTableField id="64" name="Sca_Medium" tableColumnId="45"/>
      <queryTableField id="65" name="Sca_Low" tableColumnId="46"/>
      <queryTableField id="66" name="Sca_Info" tableColumnId="47"/>
      <queryTableField id="67" name="Packages_Total_Vulnerabilties" tableColumnId="48"/>
      <queryTableField id="68" name="Packages_Critical" tableColumnId="49"/>
      <queryTableField id="69" name="Packages_High" tableColumnId="50"/>
      <queryTableField id="70" name="Packages_Medium" tableColumnId="51"/>
      <queryTableField id="71" name="Packages_Low" tableColumnId="52"/>
      <queryTableField id="72" name="Packages_Info" tableColumnId="53"/>
      <queryTableField id="73" name="Api_Total_Vulnerabilties" tableColumnId="54"/>
      <queryTableField id="74" name="Api_Critical" tableColumnId="55"/>
      <queryTableField id="75" name="Api_High" tableColumnId="56"/>
      <queryTableField id="76" name="Api_Medium" tableColumnId="57"/>
      <queryTableField id="77" name="Api_Low" tableColumnId="58"/>
      <queryTableField id="78" name="Api_Info" tableColumnId="59"/>
      <queryTableField id="105" name="SSCS_Total_Vulnerabilties" tableColumnId="26"/>
      <queryTableField id="106" name="SSCS_Critical" tableColumnId="60"/>
      <queryTableField id="107" name="SSCS_High" tableColumnId="61"/>
      <queryTableField id="108" name="SSCS_Medium" tableColumnId="62"/>
      <queryTableField id="109" name="SSCS_Low" tableColumnId="63"/>
      <queryTableField id="110" name="SSCS_Info" tableColumnId="64"/>
      <queryTableField id="85" name="Containers_Total_Vulnerabilties" tableColumnId="66"/>
      <queryTableField id="86" name="Containers_Critical" tableColumnId="67"/>
      <queryTableField id="87" name="Containers_High" tableColumnId="68"/>
      <queryTableField id="88" name="Containers_Medium" tableColumnId="69"/>
      <queryTableField id="102" name="Containers_Low" tableColumnId="72"/>
      <queryTableField id="103" name="Containers_Info" tableColumnId="73"/>
      <queryTableField id="118" dataBound="0" tableColumnId="65"/>
    </queryTableFields>
  </queryTableRefresh>
  <extLst>
    <ext xmlns:x15="http://schemas.microsoft.com/office/spreadsheetml/2010/11/main" uri="{883FBD77-0823-4a55-B5E3-86C4891E6966}">
      <x15:queryTable sourceDataName="Query - Scan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650372-3559-48C7-B6AF-E85BBF450C71}" name="About" displayName="About" ref="C6:F13" tableType="queryTable" totalsRowShown="0" tableBorderDxfId="981">
  <autoFilter ref="C6:F13" xr:uid="{62650372-3559-48C7-B6AF-E85BBF450C71}"/>
  <tableColumns count="4">
    <tableColumn id="1" xr3:uid="{BFEADDE7-3834-4858-8861-9B0888EA908A}" uniqueName="1" name="Parameter" queryTableFieldId="1" dataDxfId="681"/>
    <tableColumn id="2" xr3:uid="{B1845D49-569A-496A-B623-270C572C6D90}" uniqueName="2" name="Value" queryTableFieldId="2" dataDxfId="980"/>
    <tableColumn id="3" xr3:uid="{6313CE5E-2BCB-4D41-A6AE-E53E05CA4142}" uniqueName="3" name="Message" queryTableFieldId="3" dataDxfId="979"/>
    <tableColumn id="4" xr3:uid="{0EB8F86D-C793-4F2F-ACEE-324B55034023}" uniqueName="4" name="Status" queryTableFieldId="4" dataDxfId="6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059591-DBB9-40E1-9B24-6F529EB4F0D5}" name="General_1" displayName="General_1" ref="B2:C10" tableType="queryTable" totalsRowShown="0" headerRowDxfId="798" dataDxfId="796" headerRowBorderDxfId="797" tableBorderDxfId="795" totalsRowBorderDxfId="794">
  <autoFilter ref="B2:C10" xr:uid="{63059591-DBB9-40E1-9B24-6F529EB4F0D5}"/>
  <tableColumns count="2">
    <tableColumn id="1" xr3:uid="{FD645173-8F58-438C-96A8-41D4638717D6}" uniqueName="1" name="Detail" queryTableFieldId="1" dataDxfId="679"/>
    <tableColumn id="2" xr3:uid="{210B2AD6-9E96-477B-8596-9F2864421733}" uniqueName="2" name="Value" queryTableFieldId="2" dataDxfId="67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732A77-0972-46BB-87D6-9D695B2E538D}" name="ApplicationsTable" displayName="ApplicationsTable" ref="A1:H2" tableType="queryTable" insertRow="1" totalsRowShown="0">
  <autoFilter ref="A1:H2" xr:uid="{A4732A77-0972-46BB-87D6-9D695B2E538D}"/>
  <tableColumns count="8">
    <tableColumn id="1" xr3:uid="{C4C6815E-E993-4C7D-A892-FD498714ABA4}" uniqueName="1" name="ApplicationID" queryTableFieldId="1"/>
    <tableColumn id="2" xr3:uid="{2FB3854F-012A-4AA2-8728-8B02D64033C1}" uniqueName="2" name="ApplicationName" queryTableFieldId="2"/>
    <tableColumn id="3" xr3:uid="{F0B839C1-5069-4936-981C-1190B9C01188}" uniqueName="3" name="Description" queryTableFieldId="3"/>
    <tableColumn id="4" xr3:uid="{24C0305E-E7D1-41F4-A338-403FCA8AEA00}" uniqueName="4" name="CreatedAt" queryTableFieldId="4" dataDxfId="129"/>
    <tableColumn id="5" xr3:uid="{D2416ED7-B83D-43C7-A7C6-3FC334FFA6E4}" uniqueName="5" name="UpdatedAt" queryTableFieldId="5" dataDxfId="128"/>
    <tableColumn id="6" xr3:uid="{06E2EE53-777C-475C-941F-BC187A68CBD5}" uniqueName="6" name="Criticality" queryTableFieldId="6" dataDxfId="127"/>
    <tableColumn id="9" xr3:uid="{1865F313-123A-4E02-8BE5-CB6EEC236F1A}" uniqueName="9" name="RiskScore" queryTableFieldId="9" dataDxfId="126"/>
    <tableColumn id="10" xr3:uid="{962D889E-2086-4728-8744-6DC1CBE4B4BB}" uniqueName="10" name="RiskSeverity" queryTableFieldId="10" dataDxfId="1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81BF07-8BD4-43A9-B204-C9353349814E}" name="Projects" displayName="Projects_1" ref="A1:H2" tableType="queryTable" insertRow="1" totalsRowShown="0">
  <autoFilter ref="A1:H2" xr:uid="{6781BF07-8BD4-43A9-B204-C9353349814E}"/>
  <tableColumns count="8">
    <tableColumn id="1" xr3:uid="{515E6297-239E-46AD-B6D5-55EE319487F3}" uniqueName="1" name="ProjectID" queryTableFieldId="1"/>
    <tableColumn id="2" xr3:uid="{25623480-315A-4EF8-BBB7-53306D538563}" uniqueName="2" name="ProjectName" queryTableFieldId="2"/>
    <tableColumn id="3" xr3:uid="{FEFB76AE-9ACE-4342-911F-E52B76E2B848}" uniqueName="3" name="CreatedAt" queryTableFieldId="3" dataDxfId="281"/>
    <tableColumn id="4" xr3:uid="{0439EBBB-D9B4-49AB-8998-491AAD577DF8}" uniqueName="4" name="UpdatedAt" queryTableFieldId="4" dataDxfId="280"/>
    <tableColumn id="5" xr3:uid="{106C2CB4-9949-4838-AF68-2D0D97E6EF2C}" uniqueName="5" name="MainBranch" queryTableFieldId="5"/>
    <tableColumn id="6" xr3:uid="{6ABDC53C-13D9-40A5-B489-E7D2F1D62942}" uniqueName="6" name="Origin" queryTableFieldId="6"/>
    <tableColumn id="7" xr3:uid="{4C6226D8-E6EC-4D01-9BDF-59D83607F28D}" uniqueName="7" name="Criticality" queryTableFieldId="7"/>
    <tableColumn id="8" xr3:uid="{EF009F7F-AE78-474E-8042-D2137F4DBFBD}" uniqueName="8" name="PrivatePackage" queryTableField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B6B700-850C-4406-A52E-417F7A4EF995}" name="ScansTable" displayName="ScansTable" ref="A1:BS2" tableType="queryTable" insertRow="1" totalsRowShown="0">
  <autoFilter ref="A1:BS2" xr:uid="{D9B6B700-850C-4406-A52E-417F7A4EF995}"/>
  <tableColumns count="71">
    <tableColumn id="1" xr3:uid="{A6795663-329F-4527-93A3-1AC900113938}" uniqueName="1" name="ScanID" queryTableFieldId="1"/>
    <tableColumn id="2" xr3:uid="{D9C926A5-BACD-40AC-A0F5-CC38AD38DBD2}" uniqueName="2" name="ProjectId" queryTableFieldId="2"/>
    <tableColumn id="3" xr3:uid="{176D1692-C856-4472-B6EE-AF8D4CC41AFD}" uniqueName="3" name="ProjectName" queryTableFieldId="3"/>
    <tableColumn id="4" xr3:uid="{27ABEB1B-4C86-4AEE-A31A-E50C1ADE6139}" uniqueName="4" name="Status" queryTableFieldId="4"/>
    <tableColumn id="5" xr3:uid="{E60F67C1-B0FA-425D-B817-F32530F28E9E}" uniqueName="5" name="Branch" queryTableFieldId="5"/>
    <tableColumn id="6" xr3:uid="{0920A74D-4D3B-47F8-839F-D0CCF8877BFF}" uniqueName="6" name="Loc" queryTableFieldId="6"/>
    <tableColumn id="28" xr3:uid="{FB372A05-42C5-47E9-80C7-F366D48C3E2E}" uniqueName="28" name="CreatedAt" queryTableFieldId="47" dataDxfId="279"/>
    <tableColumn id="7" xr3:uid="{6AC98336-D667-4163-8D3C-CB868F0D2699}" uniqueName="7" name="StartDate" queryTableFieldId="24" dataDxfId="278"/>
    <tableColumn id="8" xr3:uid="{CE522565-BE50-4994-84D1-D951AB8CCA19}" uniqueName="8" name="EndDate" queryTableFieldId="25" dataDxfId="277"/>
    <tableColumn id="25" xr3:uid="{8ED4D097-FCEA-421C-9B41-B1801AA8DFE0}" uniqueName="25" name="HourRequested" queryTableFieldId="32"/>
    <tableColumn id="27" xr3:uid="{F7C8D3D6-804A-4732-9BDB-807B4B11E752}" uniqueName="27" name="ScanDate" queryTableFieldId="45"/>
    <tableColumn id="23" xr3:uid="{A901B965-6B1B-4067-A70F-529CCF2EBAB5}" uniqueName="23" name="Runtime" queryTableFieldId="26" dataDxfId="276"/>
    <tableColumn id="9" xr3:uid="{FA925FEE-D08A-4AFA-893D-36BF06C795A4}" uniqueName="9" name="Engines" queryTableFieldId="9"/>
    <tableColumn id="29" xr3:uid="{63E25485-FBBE-442F-B42D-F86BFE21CC74}" uniqueName="29" name="Initiator" queryTableFieldId="48"/>
    <tableColumn id="24" xr3:uid="{E8DF3547-C5BC-4513-A07B-908E2BE43AB6}" uniqueName="24" name="SourceType" queryTableFieldId="27"/>
    <tableColumn id="10" xr3:uid="{9E64CBFC-8C40-46D3-8BF7-28A1B7133496}" uniqueName="10" name="SourceOrigin" queryTableFieldId="10"/>
    <tableColumn id="11" xr3:uid="{160D776A-7B83-44E7-A3B2-45AD3205DD52}" uniqueName="11" name="Sast" queryTableFieldId="11"/>
    <tableColumn id="12" xr3:uid="{EEFEC5EE-B165-4E24-BC84-2FA2E34B9B80}" uniqueName="12" name="Sca" queryTableFieldId="12"/>
    <tableColumn id="13" xr3:uid="{1341EA54-EB51-4630-A71C-79AD55B334C9}" uniqueName="13" name="Kics" queryTableFieldId="13"/>
    <tableColumn id="14" xr3:uid="{0575BC13-7BB8-435F-A230-4A4D6D02AD70}" uniqueName="14" name="Containers" queryTableFieldId="14"/>
    <tableColumn id="15" xr3:uid="{C0475B0D-5D55-4F25-A02A-84C32EEA46DA}" uniqueName="15" name="Api" queryTableFieldId="15"/>
    <tableColumn id="16" xr3:uid="{C3203F75-E2ED-456A-B703-145004F6FEB3}" uniqueName="16" name="SSCS" queryTableFieldId="104"/>
    <tableColumn id="17" xr3:uid="{6270106E-8B81-4AE4-A866-36248FDBD42B}" uniqueName="17" name="Total_Vulnerabilties" queryTableFieldId="18"/>
    <tableColumn id="18" xr3:uid="{6721CC18-5059-4F01-9622-512E93BB0010}" uniqueName="18" name="Total_Critical" queryTableFieldId="19"/>
    <tableColumn id="19" xr3:uid="{3736E8BC-3167-4D19-AD13-4614F67580D2}" uniqueName="19" name="Total_High" queryTableFieldId="20"/>
    <tableColumn id="20" xr3:uid="{B64E9EE4-3A5F-4313-8BE3-EF3CB1734E6A}" uniqueName="20" name="Total_Medium" queryTableFieldId="21"/>
    <tableColumn id="21" xr3:uid="{97DF7989-95EC-4440-9993-31C0ABB183B1}" uniqueName="21" name="Total_Low" queryTableFieldId="22"/>
    <tableColumn id="22" xr3:uid="{6A0D461B-8B66-4A62-B333-BCAE5149FDDF}" uniqueName="22" name="Total_Info" queryTableFieldId="23"/>
    <tableColumn id="30" xr3:uid="{B28379CE-228C-43B2-A2A0-B119B119B32D}" uniqueName="30" name="Sast_Total_Vulnerabilties" queryTableFieldId="49"/>
    <tableColumn id="31" xr3:uid="{D9C06DC0-339D-4857-96D1-E44DBB9744F7}" uniqueName="31" name="Sast_Critical" queryTableFieldId="50"/>
    <tableColumn id="32" xr3:uid="{710DE58C-B6CD-4388-9697-F1F1A2FE123E}" uniqueName="32" name="Sast_High" queryTableFieldId="51"/>
    <tableColumn id="33" xr3:uid="{5DE02FDC-8B2F-4B79-AB9F-17144F92B3AD}" uniqueName="33" name="Sast_Medium" queryTableFieldId="52"/>
    <tableColumn id="34" xr3:uid="{5F7CC695-C473-42FD-A40B-4E79644294EF}" uniqueName="34" name="Sast_Low" queryTableFieldId="53"/>
    <tableColumn id="35" xr3:uid="{EC70413C-337F-480A-9701-29AD54261F93}" uniqueName="35" name="Sast_Info" queryTableFieldId="54"/>
    <tableColumn id="36" xr3:uid="{8CD6FA22-66E9-442D-94A9-E5502D143744}" uniqueName="36" name="Kics_Total_Vulnerabilties" queryTableFieldId="55"/>
    <tableColumn id="37" xr3:uid="{BDE8673D-5372-4E5C-BDDF-51FF15BAFC87}" uniqueName="37" name="Kics_Critical" queryTableFieldId="56"/>
    <tableColumn id="38" xr3:uid="{B6AEECCC-F126-4F05-B512-63A0DF988280}" uniqueName="38" name="Kics_High" queryTableFieldId="57"/>
    <tableColumn id="39" xr3:uid="{BB1AA5E5-B339-4ECA-84BF-1CFA12AD60C4}" uniqueName="39" name="Kics_Medium" queryTableFieldId="58"/>
    <tableColumn id="40" xr3:uid="{A143BD64-4EA8-49A4-94A6-947C5B2C53D1}" uniqueName="40" name="Kics_Low" queryTableFieldId="59"/>
    <tableColumn id="41" xr3:uid="{9B4D79FB-02AF-4E8E-BF3A-4D83A4FAAAD0}" uniqueName="41" name="Kics_Info" queryTableFieldId="60"/>
    <tableColumn id="42" xr3:uid="{9AF1232C-ADA9-4286-81AA-CE8E5AA3C869}" uniqueName="42" name="Sca_Total_Vulnerabilties" queryTableFieldId="61"/>
    <tableColumn id="43" xr3:uid="{25B92DF7-7488-4B9B-A3B0-7581EF1082B2}" uniqueName="43" name="Sca_Critical" queryTableFieldId="62"/>
    <tableColumn id="44" xr3:uid="{7B5E8DD5-C1A2-4DCA-8AB6-8BAF3B62B81B}" uniqueName="44" name="Sca_High" queryTableFieldId="63"/>
    <tableColumn id="45" xr3:uid="{32C219A4-1B16-4182-A4BA-44EFA9945DDD}" uniqueName="45" name="Sca_Medium" queryTableFieldId="64"/>
    <tableColumn id="46" xr3:uid="{C70D37AC-BEBC-42EC-A753-7ACEAF9DF09E}" uniqueName="46" name="Sca_Low" queryTableFieldId="65"/>
    <tableColumn id="47" xr3:uid="{42D8E930-96E0-4FC8-B015-D9B884D75C8D}" uniqueName="47" name="Sca_Info" queryTableFieldId="66"/>
    <tableColumn id="48" xr3:uid="{A1A66257-2EC5-4DDC-940E-76520B81D220}" uniqueName="48" name="Packages_Total_Vulnerabilties" queryTableFieldId="67"/>
    <tableColumn id="49" xr3:uid="{7C6772C4-B0C7-4C33-9E3C-4F5F1699817A}" uniqueName="49" name="Packages_Critical" queryTableFieldId="68"/>
    <tableColumn id="50" xr3:uid="{165F30AE-54F3-4938-AE07-7B3CA4DA6164}" uniqueName="50" name="Packages_High" queryTableFieldId="69"/>
    <tableColumn id="51" xr3:uid="{7D26423D-734C-449C-B897-6AEFF7B6B0D1}" uniqueName="51" name="Packages_Medium" queryTableFieldId="70"/>
    <tableColumn id="52" xr3:uid="{1CDDF965-562C-4F60-8CBF-4A8E4B4B7F21}" uniqueName="52" name="Packages_Low" queryTableFieldId="71"/>
    <tableColumn id="53" xr3:uid="{7DAEB873-0CA2-4D01-9482-905D0D39DA69}" uniqueName="53" name="Packages_Info" queryTableFieldId="72"/>
    <tableColumn id="54" xr3:uid="{743B2A4D-6BF2-4B63-9E76-DC13306459D3}" uniqueName="54" name="Api_Total_Vulnerabilties" queryTableFieldId="73"/>
    <tableColumn id="55" xr3:uid="{1FA6B10A-B576-44CE-A524-C3708FCE0D07}" uniqueName="55" name="Api_Critical" queryTableFieldId="74"/>
    <tableColumn id="56" xr3:uid="{5C57CBC1-1EF9-4537-81E9-1E53A17260B0}" uniqueName="56" name="Api_High" queryTableFieldId="75"/>
    <tableColumn id="57" xr3:uid="{3B523D4F-A05E-4F57-94A4-5010530766CB}" uniqueName="57" name="Api_Medium" queryTableFieldId="76"/>
    <tableColumn id="58" xr3:uid="{D2ED7054-6DF6-4B8C-8487-D4BA0E8B14B3}" uniqueName="58" name="Api_Low" queryTableFieldId="77"/>
    <tableColumn id="59" xr3:uid="{12A9697A-64E4-4553-B176-921B9CEEA419}" uniqueName="59" name="Api_Info" queryTableFieldId="78"/>
    <tableColumn id="26" xr3:uid="{B51FEE8F-2CE6-4703-93AF-D64A593A1182}" uniqueName="26" name="SSCS_Total_Vulnerabilties" queryTableFieldId="105"/>
    <tableColumn id="60" xr3:uid="{BFE4BF26-F915-4E45-8455-AAB88EB94C5A}" uniqueName="60" name="SSCS_Critical" queryTableFieldId="106"/>
    <tableColumn id="61" xr3:uid="{78ED9A51-59F8-436A-A34A-1CB584DE1F29}" uniqueName="61" name="SSCS_High" queryTableFieldId="107"/>
    <tableColumn id="62" xr3:uid="{468147AC-FD59-4E0C-9DD8-86527D682EE5}" uniqueName="62" name="SSCS_Medium" queryTableFieldId="108"/>
    <tableColumn id="63" xr3:uid="{7A97C903-A288-4550-B0CE-38AA04C86E7D}" uniqueName="63" name="SSCS_Low" queryTableFieldId="109"/>
    <tableColumn id="64" xr3:uid="{D3301C6E-1AEF-4593-94F4-7B02FF7BDA98}" uniqueName="64" name="SSCS_Info" queryTableFieldId="110"/>
    <tableColumn id="66" xr3:uid="{485256E4-A5DC-404C-AC52-C75C366B2B15}" uniqueName="66" name="Containers_Total_Vulnerabilties" queryTableFieldId="85"/>
    <tableColumn id="67" xr3:uid="{6A0B2B31-DB76-44DD-B6F7-0F6529260BAF}" uniqueName="67" name="Containers_Critical" queryTableFieldId="86"/>
    <tableColumn id="68" xr3:uid="{E0E12C04-5FE2-49D1-89F4-260EB217AE79}" uniqueName="68" name="Containers_High" queryTableFieldId="87"/>
    <tableColumn id="69" xr3:uid="{EA53E02C-1D24-4F98-8328-FBBF9CA085C3}" uniqueName="69" name="Containers_Medium" queryTableFieldId="88"/>
    <tableColumn id="72" xr3:uid="{49B7E700-AD3B-4D0B-981D-02ED26974FF3}" uniqueName="72" name="Containers_Low" queryTableFieldId="102"/>
    <tableColumn id="73" xr3:uid="{25D47DEF-3F63-445E-8DC9-2AADC414A0A4}" uniqueName="73" name="Containers_Info" queryTableFieldId="103"/>
    <tableColumn id="65" xr3:uid="{005D96E4-C109-48CA-A7C5-E2CE2133567A}" uniqueName="65" name="Latest Branch Scan" queryTableFieldId="118">
      <calculatedColumnFormula>ScansTable[[#This Row],[StartDate]]=_xlfn.MAXIFS(ScansTable[StartDate],ScansTable[ProjectName],ScansTable[[#This Row],[ProjectName]],ScansTable[Branch],ScansTable[[#This Row],[Branch]])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1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4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192D0-E0A6-46D2-A89D-6817B857299E}">
  <dimension ref="B1:G16"/>
  <sheetViews>
    <sheetView zoomScaleNormal="100" workbookViewId="0">
      <selection activeCell="D19" sqref="D19"/>
    </sheetView>
  </sheetViews>
  <sheetFormatPr defaultRowHeight="15" x14ac:dyDescent="0.25"/>
  <cols>
    <col min="1" max="2" width="2.140625" style="4" customWidth="1"/>
    <col min="3" max="3" width="19.7109375" style="4" customWidth="1"/>
    <col min="4" max="4" width="72.5703125" style="4" customWidth="1"/>
    <col min="5" max="5" width="21.7109375" style="4" customWidth="1"/>
    <col min="6" max="6" width="17.42578125" style="4" customWidth="1"/>
    <col min="7" max="7" width="2.140625" style="4" customWidth="1"/>
    <col min="8" max="16384" width="9.140625" style="4"/>
  </cols>
  <sheetData>
    <row r="1" spans="2:7" ht="11.25" customHeight="1" thickBot="1" x14ac:dyDescent="0.3"/>
    <row r="2" spans="2:7" ht="56.25" customHeight="1" x14ac:dyDescent="0.25">
      <c r="B2" s="80"/>
      <c r="C2" s="118" t="s">
        <v>184</v>
      </c>
      <c r="D2" s="118"/>
      <c r="E2" s="118"/>
      <c r="F2" s="118"/>
      <c r="G2" s="85"/>
    </row>
    <row r="3" spans="2:7" ht="11.25" customHeight="1" thickBot="1" x14ac:dyDescent="1.05">
      <c r="B3" s="81"/>
      <c r="C3" s="88"/>
      <c r="D3" s="88"/>
      <c r="E3" s="88"/>
      <c r="F3" s="88"/>
      <c r="G3" s="86"/>
    </row>
    <row r="4" spans="2:7" ht="15.75" thickBot="1" x14ac:dyDescent="0.3">
      <c r="B4" s="81"/>
      <c r="C4" s="91" t="s">
        <v>185</v>
      </c>
      <c r="D4" s="78">
        <v>1.03</v>
      </c>
      <c r="E4" s="77" t="s">
        <v>187</v>
      </c>
      <c r="F4" s="79">
        <v>46198</v>
      </c>
      <c r="G4" s="86"/>
    </row>
    <row r="5" spans="2:7" ht="11.25" customHeight="1" thickBot="1" x14ac:dyDescent="1.05">
      <c r="B5" s="81"/>
      <c r="C5" s="88"/>
      <c r="D5" s="88"/>
      <c r="E5" s="88"/>
      <c r="F5" s="88"/>
      <c r="G5" s="86"/>
    </row>
    <row r="6" spans="2:7" x14ac:dyDescent="0.25">
      <c r="B6" s="81"/>
      <c r="C6" s="92" t="s">
        <v>175</v>
      </c>
      <c r="D6" t="s">
        <v>93</v>
      </c>
      <c r="E6" t="s">
        <v>176</v>
      </c>
      <c r="F6" s="8" t="s">
        <v>25</v>
      </c>
      <c r="G6" s="86"/>
    </row>
    <row r="7" spans="2:7" x14ac:dyDescent="0.25">
      <c r="B7" s="81"/>
      <c r="C7" s="93" t="s">
        <v>0</v>
      </c>
      <c r="D7" s="89" t="s">
        <v>205</v>
      </c>
      <c r="E7" t="s">
        <v>186</v>
      </c>
      <c r="F7" s="8" t="s">
        <v>177</v>
      </c>
      <c r="G7" s="86"/>
    </row>
    <row r="8" spans="2:7" x14ac:dyDescent="0.25">
      <c r="B8" s="81"/>
      <c r="C8" s="93" t="s">
        <v>165</v>
      </c>
      <c r="D8" t="s">
        <v>166</v>
      </c>
      <c r="E8" t="s">
        <v>178</v>
      </c>
      <c r="F8" s="8" t="s">
        <v>177</v>
      </c>
      <c r="G8" s="86"/>
    </row>
    <row r="9" spans="2:7" x14ac:dyDescent="0.25">
      <c r="B9" s="81"/>
      <c r="C9" s="93" t="s">
        <v>1</v>
      </c>
      <c r="D9" t="s">
        <v>2</v>
      </c>
      <c r="E9" t="s">
        <v>179</v>
      </c>
      <c r="F9" s="8" t="s">
        <v>177</v>
      </c>
      <c r="G9" s="86"/>
    </row>
    <row r="10" spans="2:7" x14ac:dyDescent="0.25">
      <c r="B10" s="81"/>
      <c r="C10" s="93" t="s">
        <v>9</v>
      </c>
      <c r="D10" t="s">
        <v>10</v>
      </c>
      <c r="E10" t="s">
        <v>180</v>
      </c>
      <c r="F10" s="8" t="s">
        <v>177</v>
      </c>
      <c r="G10" s="86"/>
    </row>
    <row r="11" spans="2:7" x14ac:dyDescent="0.25">
      <c r="B11" s="81"/>
      <c r="C11" s="93" t="s">
        <v>19</v>
      </c>
      <c r="D11" t="s">
        <v>21</v>
      </c>
      <c r="E11" t="s">
        <v>181</v>
      </c>
      <c r="F11" s="8" t="s">
        <v>177</v>
      </c>
      <c r="G11" s="86"/>
    </row>
    <row r="12" spans="2:7" x14ac:dyDescent="0.25">
      <c r="B12" s="81"/>
      <c r="C12" s="93" t="s">
        <v>20</v>
      </c>
      <c r="D12" t="s">
        <v>22</v>
      </c>
      <c r="E12" t="s">
        <v>182</v>
      </c>
      <c r="F12" s="8" t="s">
        <v>177</v>
      </c>
      <c r="G12" s="86"/>
    </row>
    <row r="13" spans="2:7" x14ac:dyDescent="0.25">
      <c r="B13" s="81"/>
      <c r="C13" s="93" t="s">
        <v>150</v>
      </c>
      <c r="D13" t="s">
        <v>151</v>
      </c>
      <c r="E13" t="s">
        <v>183</v>
      </c>
      <c r="F13" s="8" t="s">
        <v>177</v>
      </c>
      <c r="G13" s="86"/>
    </row>
    <row r="14" spans="2:7" ht="11.25" customHeight="1" thickBot="1" x14ac:dyDescent="0.3">
      <c r="B14" s="81"/>
      <c r="C14" s="87"/>
      <c r="D14" s="87"/>
      <c r="E14" s="87"/>
      <c r="F14" s="87"/>
      <c r="G14" s="86"/>
    </row>
    <row r="15" spans="2:7" ht="65.25" customHeight="1" thickBot="1" x14ac:dyDescent="0.3">
      <c r="B15" s="81"/>
      <c r="C15" s="90" t="s">
        <v>188</v>
      </c>
      <c r="D15" s="119" t="s">
        <v>189</v>
      </c>
      <c r="E15" s="120"/>
      <c r="F15" s="121"/>
      <c r="G15" s="86"/>
    </row>
    <row r="16" spans="2:7" ht="11.25" customHeight="1" thickBot="1" x14ac:dyDescent="0.3">
      <c r="B16" s="82"/>
      <c r="C16" s="83"/>
      <c r="D16" s="83"/>
      <c r="E16" s="83"/>
      <c r="F16" s="83"/>
      <c r="G16" s="84"/>
    </row>
  </sheetData>
  <sheetProtection selectLockedCells="1"/>
  <mergeCells count="2">
    <mergeCell ref="C2:F2"/>
    <mergeCell ref="D15:F15"/>
  </mergeCells>
  <conditionalFormatting sqref="F7:F13">
    <cfRule type="cellIs" dxfId="682" priority="1" operator="equal">
      <formula>"ERROR"</formula>
    </cfRule>
    <cfRule type="containsText" priority="2" operator="containsText" text="FOUND">
      <formula>NOT(ISERROR(SEARCH("FOUND",F7)))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304B-CF45-49D2-B306-A43221CCF9AC}">
  <dimension ref="B1:W596"/>
  <sheetViews>
    <sheetView tabSelected="1" zoomScaleNormal="100" workbookViewId="0">
      <pane ySplit="2" topLeftCell="A3" activePane="bottomLeft" state="frozen"/>
      <selection pane="bottomLeft" activeCell="U10" sqref="U10:W17"/>
    </sheetView>
  </sheetViews>
  <sheetFormatPr defaultRowHeight="15" x14ac:dyDescent="0.25"/>
  <cols>
    <col min="1" max="1" width="2.140625" style="4" customWidth="1"/>
    <col min="2" max="2" width="21.5703125" style="4" customWidth="1"/>
    <col min="3" max="3" width="10.5703125" style="4" bestFit="1" customWidth="1"/>
    <col min="4" max="4" width="2.85546875" style="4" customWidth="1"/>
    <col min="5" max="5" width="42.5703125" style="4" bestFit="1" customWidth="1"/>
    <col min="6" max="6" width="7.5703125" style="4" bestFit="1" customWidth="1"/>
    <col min="7" max="7" width="6.85546875" style="4" bestFit="1" customWidth="1"/>
    <col min="8" max="8" width="7.7109375" style="4" bestFit="1" customWidth="1"/>
    <col min="9" max="9" width="2.140625" style="4" customWidth="1"/>
    <col min="10" max="10" width="16.7109375" style="4" bestFit="1" customWidth="1"/>
    <col min="11" max="11" width="12.140625" style="4" bestFit="1" customWidth="1"/>
    <col min="12" max="12" width="2.85546875" style="4" customWidth="1"/>
    <col min="13" max="13" width="22" style="4" bestFit="1" customWidth="1"/>
    <col min="14" max="14" width="13" style="4" customWidth="1"/>
    <col min="15" max="15" width="10.28515625" style="4" customWidth="1"/>
    <col min="16" max="16" width="2.85546875" style="4" customWidth="1"/>
    <col min="17" max="17" width="11.28515625" style="4" customWidth="1"/>
    <col min="18" max="18" width="8.5703125" style="4" customWidth="1"/>
    <col min="19" max="19" width="6.140625" style="4" customWidth="1"/>
    <col min="20" max="20" width="2.85546875" style="4" customWidth="1"/>
    <col min="21" max="21" width="30.85546875" style="4" bestFit="1" customWidth="1"/>
    <col min="22" max="22" width="10.42578125" style="4" bestFit="1" customWidth="1"/>
    <col min="23" max="23" width="10.5703125" style="4" bestFit="1" customWidth="1"/>
    <col min="24" max="24" width="23.42578125" style="4" bestFit="1" customWidth="1"/>
    <col min="25" max="25" width="20" style="4" bestFit="1" customWidth="1"/>
    <col min="26" max="26" width="13.85546875" style="4" bestFit="1" customWidth="1"/>
    <col min="27" max="27" width="8.7109375" style="4" bestFit="1" customWidth="1"/>
    <col min="28" max="28" width="20.42578125" style="4" bestFit="1" customWidth="1"/>
    <col min="29" max="29" width="29.7109375" style="4" bestFit="1" customWidth="1"/>
    <col min="30" max="30" width="34.5703125" style="4" bestFit="1" customWidth="1"/>
    <col min="31" max="31" width="15" style="4" bestFit="1" customWidth="1"/>
    <col min="32" max="32" width="9.28515625" style="4" bestFit="1" customWidth="1"/>
    <col min="33" max="33" width="25.5703125" style="4" bestFit="1" customWidth="1"/>
    <col min="34" max="34" width="10.140625" style="4" bestFit="1" customWidth="1"/>
    <col min="35" max="35" width="12.5703125" style="4" bestFit="1" customWidth="1"/>
    <col min="36" max="36" width="11.28515625" style="4" bestFit="1" customWidth="1"/>
    <col min="37" max="16384" width="9.140625" style="4"/>
  </cols>
  <sheetData>
    <row r="1" spans="2:23" ht="11.25" customHeight="1" thickBot="1" x14ac:dyDescent="0.3"/>
    <row r="2" spans="2:23" ht="30.75" thickBot="1" x14ac:dyDescent="0.3">
      <c r="B2" s="76" t="s">
        <v>168</v>
      </c>
      <c r="C2" s="75" t="s">
        <v>93</v>
      </c>
      <c r="D2" s="114"/>
      <c r="E2" s="72" t="s">
        <v>17</v>
      </c>
      <c r="F2" s="76" t="s">
        <v>72</v>
      </c>
      <c r="G2" s="70" t="s">
        <v>73</v>
      </c>
      <c r="H2" s="71" t="s">
        <v>53</v>
      </c>
      <c r="J2" s="72" t="s">
        <v>18</v>
      </c>
      <c r="K2" s="72" t="s">
        <v>16</v>
      </c>
      <c r="M2" s="69" t="s">
        <v>40</v>
      </c>
      <c r="N2" s="70" t="s">
        <v>41</v>
      </c>
      <c r="O2" s="71" t="s">
        <v>42</v>
      </c>
      <c r="Q2" s="68" t="s">
        <v>71</v>
      </c>
      <c r="R2" s="70" t="s">
        <v>42</v>
      </c>
      <c r="S2" s="71" t="s">
        <v>57</v>
      </c>
      <c r="U2" s="74" t="s">
        <v>92</v>
      </c>
      <c r="V2" s="73" t="s">
        <v>93</v>
      </c>
    </row>
    <row r="3" spans="2:23" ht="15.75" thickBot="1" x14ac:dyDescent="0.3">
      <c r="B3" s="35" t="s">
        <v>74</v>
      </c>
      <c r="C3" s="95" t="s">
        <v>206</v>
      </c>
      <c r="D3" s="115"/>
      <c r="E3" s="116" t="s">
        <v>201</v>
      </c>
      <c r="F3" s="136">
        <v>0</v>
      </c>
      <c r="G3" s="137">
        <v>103</v>
      </c>
      <c r="H3" s="138">
        <v>0</v>
      </c>
      <c r="J3" s="135" t="s">
        <v>201</v>
      </c>
      <c r="K3" s="134">
        <v>103</v>
      </c>
      <c r="M3" s="21" t="s">
        <v>76</v>
      </c>
      <c r="N3" s="22" t="e">
        <f>_xlfn.DAYS(C4,C3)</f>
        <v>#VALUE!</v>
      </c>
      <c r="O3" s="122" t="s">
        <v>169</v>
      </c>
      <c r="Q3" s="23">
        <v>0</v>
      </c>
      <c r="R3" s="98">
        <f>IFERROR(S3/$N$5,0)</f>
        <v>0</v>
      </c>
      <c r="S3" s="24">
        <f>COUNTIF(ScansTable[HourRequested],Q3)</f>
        <v>0</v>
      </c>
      <c r="U3" s="21" t="s">
        <v>78</v>
      </c>
      <c r="V3" s="25" t="e">
        <f>N5/N4</f>
        <v>#VALUE!</v>
      </c>
    </row>
    <row r="4" spans="2:23" x14ac:dyDescent="0.25">
      <c r="B4" s="27" t="s">
        <v>75</v>
      </c>
      <c r="C4" s="94" t="s">
        <v>206</v>
      </c>
      <c r="M4" s="21" t="s">
        <v>77</v>
      </c>
      <c r="N4" s="22" t="e">
        <f>ROUNDUP(N3/7,0)</f>
        <v>#VALUE!</v>
      </c>
      <c r="O4" s="123"/>
      <c r="Q4" s="26">
        <v>1</v>
      </c>
      <c r="R4" s="99">
        <f t="shared" ref="R4:R26" si="0">IFERROR(S4/$N$5,0)</f>
        <v>0</v>
      </c>
      <c r="S4" s="12">
        <f>COUNTIF(ScansTable[HourRequested],Q4)</f>
        <v>0</v>
      </c>
      <c r="U4" s="27" t="s">
        <v>79</v>
      </c>
      <c r="V4" s="28" t="e">
        <f>N5/N3</f>
        <v>#VALUE!</v>
      </c>
    </row>
    <row r="5" spans="2:23" x14ac:dyDescent="0.25">
      <c r="B5" s="27" t="s">
        <v>170</v>
      </c>
      <c r="C5" s="15" t="s">
        <v>206</v>
      </c>
      <c r="M5" s="21" t="s">
        <v>35</v>
      </c>
      <c r="N5" s="22">
        <f>COUNTA(ScansTable[ScanID])</f>
        <v>0</v>
      </c>
      <c r="O5" s="123"/>
      <c r="Q5" s="26">
        <v>2</v>
      </c>
      <c r="R5" s="99">
        <f t="shared" si="0"/>
        <v>0</v>
      </c>
      <c r="S5" s="12">
        <f>COUNTIF(ScansTable[HourRequested],Q5)</f>
        <v>0</v>
      </c>
      <c r="U5" s="27" t="s">
        <v>80</v>
      </c>
      <c r="V5" s="28">
        <f>AVERAGE(V11:V15)</f>
        <v>0</v>
      </c>
    </row>
    <row r="6" spans="2:23" x14ac:dyDescent="0.25">
      <c r="B6" s="27" t="s">
        <v>167</v>
      </c>
      <c r="C6" s="15" t="s">
        <v>206</v>
      </c>
      <c r="M6" s="27" t="s">
        <v>36</v>
      </c>
      <c r="N6" s="29">
        <f>COUNTA(_xlfn.UNIQUE(ScansTable[ProjectName]))</f>
        <v>1</v>
      </c>
      <c r="O6" s="124"/>
      <c r="Q6" s="26">
        <v>3</v>
      </c>
      <c r="R6" s="99">
        <f t="shared" si="0"/>
        <v>0</v>
      </c>
      <c r="S6" s="12">
        <f>COUNTIF(ScansTable[HourRequested],Q6)</f>
        <v>0</v>
      </c>
      <c r="U6" s="27" t="s">
        <v>88</v>
      </c>
      <c r="V6" s="28">
        <f>AVERAGE(V16:V17)</f>
        <v>0</v>
      </c>
    </row>
    <row r="7" spans="2:23" x14ac:dyDescent="0.25">
      <c r="B7" s="27" t="s">
        <v>163</v>
      </c>
      <c r="C7" s="15" t="s">
        <v>206</v>
      </c>
      <c r="M7" s="27" t="s">
        <v>38</v>
      </c>
      <c r="N7" s="29">
        <f>COUNTIF(ScansTable[Status], "Completed")</f>
        <v>0</v>
      </c>
      <c r="O7" s="30">
        <f>IFERROR(N7/N5,0)</f>
        <v>0</v>
      </c>
      <c r="Q7" s="26">
        <v>4</v>
      </c>
      <c r="R7" s="99">
        <f t="shared" si="0"/>
        <v>0</v>
      </c>
      <c r="S7" s="12">
        <f>COUNTIF(ScansTable[HourRequested],Q7)</f>
        <v>0</v>
      </c>
      <c r="U7" s="27" t="s">
        <v>89</v>
      </c>
      <c r="V7" s="28" t="e">
        <f>INDEX(Lookups!B:B, MATCH(LARGE(Lookups!B:B, 1), Lookups!B:B,0))</f>
        <v>#NUM!</v>
      </c>
    </row>
    <row r="8" spans="2:23" ht="15.75" thickBot="1" x14ac:dyDescent="0.3">
      <c r="B8" s="27" t="s">
        <v>161</v>
      </c>
      <c r="C8" s="15" t="s">
        <v>206</v>
      </c>
      <c r="M8" s="27" t="s">
        <v>37</v>
      </c>
      <c r="N8" s="29">
        <f>COUNTIF(ScansTable[Status], "Failed")</f>
        <v>0</v>
      </c>
      <c r="O8" s="30">
        <f>IFERROR(N8/N5,0)</f>
        <v>0</v>
      </c>
      <c r="Q8" s="26">
        <v>5</v>
      </c>
      <c r="R8" s="99">
        <f t="shared" si="0"/>
        <v>0</v>
      </c>
      <c r="S8" s="12">
        <f>COUNTIF(ScansTable[HourRequested],Q8)</f>
        <v>0</v>
      </c>
      <c r="U8" s="31" t="s">
        <v>90</v>
      </c>
      <c r="V8" s="32" t="e">
        <f>INDEX(Lookups!A:A, MATCH(LARGE(Lookups!B:B, 1), Lookups!B:B,0))</f>
        <v>#NUM!</v>
      </c>
    </row>
    <row r="9" spans="2:23" ht="15.75" thickBot="1" x14ac:dyDescent="0.3">
      <c r="B9" s="27" t="s">
        <v>164</v>
      </c>
      <c r="C9" s="15" t="s">
        <v>206</v>
      </c>
      <c r="M9" s="31" t="s">
        <v>39</v>
      </c>
      <c r="N9" s="33">
        <f>COUNTIF(ScansTable[Status], "Partial")</f>
        <v>0</v>
      </c>
      <c r="O9" s="34">
        <f>IFERROR(N9/N5,0)</f>
        <v>0</v>
      </c>
      <c r="Q9" s="26">
        <v>6</v>
      </c>
      <c r="R9" s="99">
        <f t="shared" si="0"/>
        <v>0</v>
      </c>
      <c r="S9" s="12">
        <f>COUNTIF(ScansTable[HourRequested],Q9)</f>
        <v>0</v>
      </c>
    </row>
    <row r="10" spans="2:23" ht="15.75" thickBot="1" x14ac:dyDescent="0.3">
      <c r="B10" s="31" t="s">
        <v>162</v>
      </c>
      <c r="C10" s="16" t="s">
        <v>206</v>
      </c>
      <c r="Q10" s="26">
        <v>7</v>
      </c>
      <c r="R10" s="99">
        <f t="shared" si="0"/>
        <v>0</v>
      </c>
      <c r="S10" s="12">
        <f>COUNTIF(ScansTable[HourRequested],Q10)</f>
        <v>0</v>
      </c>
      <c r="U10" s="105" t="s">
        <v>190</v>
      </c>
      <c r="V10" s="104" t="s">
        <v>95</v>
      </c>
      <c r="W10" s="96" t="s">
        <v>99</v>
      </c>
    </row>
    <row r="11" spans="2:23" ht="15.75" thickBot="1" x14ac:dyDescent="0.3">
      <c r="M11" s="69" t="s">
        <v>54</v>
      </c>
      <c r="N11" s="70" t="s">
        <v>55</v>
      </c>
      <c r="O11" s="71" t="s">
        <v>56</v>
      </c>
      <c r="Q11" s="26">
        <v>8</v>
      </c>
      <c r="R11" s="99">
        <f t="shared" si="0"/>
        <v>0</v>
      </c>
      <c r="S11" s="12">
        <f>COUNTIF(ScansTable[HourRequested],Q11)</f>
        <v>0</v>
      </c>
      <c r="U11" s="102" t="s">
        <v>84</v>
      </c>
      <c r="V11" s="145">
        <v>0</v>
      </c>
      <c r="W11" s="106" t="e">
        <v>#DIV/0!</v>
      </c>
    </row>
    <row r="12" spans="2:23" x14ac:dyDescent="0.25">
      <c r="M12" s="35" t="s">
        <v>57</v>
      </c>
      <c r="N12" s="36">
        <f>IFERROR(AVERAGE(ScansTable[Total_Vulnerabilties]),0)</f>
        <v>0</v>
      </c>
      <c r="O12" s="24">
        <f>MAX(ScansTable[Total_Critical])</f>
        <v>0</v>
      </c>
      <c r="Q12" s="26">
        <v>9</v>
      </c>
      <c r="R12" s="99">
        <f t="shared" si="0"/>
        <v>0</v>
      </c>
      <c r="S12" s="12">
        <f>COUNTIF(ScansTable[HourRequested],Q12)</f>
        <v>0</v>
      </c>
      <c r="U12" s="102" t="s">
        <v>85</v>
      </c>
      <c r="V12" s="145">
        <v>0</v>
      </c>
      <c r="W12" s="106" t="e">
        <v>#DIV/0!</v>
      </c>
    </row>
    <row r="13" spans="2:23" x14ac:dyDescent="0.25">
      <c r="M13" s="27" t="s">
        <v>58</v>
      </c>
      <c r="N13" s="37">
        <f>IFERROR(AVERAGE(ScansTable[Total_Critical]),0)</f>
        <v>0</v>
      </c>
      <c r="O13" s="12">
        <f>MAX(ScansTable[Total_High])</f>
        <v>0</v>
      </c>
      <c r="Q13" s="26">
        <v>10</v>
      </c>
      <c r="R13" s="99">
        <f t="shared" si="0"/>
        <v>0</v>
      </c>
      <c r="S13" s="12">
        <f>COUNTIF(ScansTable[HourRequested],Q13)</f>
        <v>0</v>
      </c>
      <c r="U13" s="102" t="s">
        <v>82</v>
      </c>
      <c r="V13" s="145">
        <v>0</v>
      </c>
      <c r="W13" s="106" t="e">
        <v>#DIV/0!</v>
      </c>
    </row>
    <row r="14" spans="2:23" x14ac:dyDescent="0.25">
      <c r="M14" s="27" t="s">
        <v>59</v>
      </c>
      <c r="N14" s="37">
        <f>IFERROR(AVERAGE(ScansTable[Total_High]),0)</f>
        <v>0</v>
      </c>
      <c r="O14" s="12">
        <f>MAX(ScansTable[Total_Medium])</f>
        <v>0</v>
      </c>
      <c r="Q14" s="26">
        <v>11</v>
      </c>
      <c r="R14" s="99">
        <f t="shared" si="0"/>
        <v>0</v>
      </c>
      <c r="S14" s="12">
        <f>COUNTIF(ScansTable[HourRequested],Q14)</f>
        <v>0</v>
      </c>
      <c r="U14" s="102" t="s">
        <v>83</v>
      </c>
      <c r="V14" s="145">
        <v>0</v>
      </c>
      <c r="W14" s="106" t="e">
        <v>#DIV/0!</v>
      </c>
    </row>
    <row r="15" spans="2:23" x14ac:dyDescent="0.25">
      <c r="M15" s="27" t="s">
        <v>60</v>
      </c>
      <c r="N15" s="37">
        <f>IFERROR(AVERAGE(ScansTable[Total_Medium]),0)</f>
        <v>0</v>
      </c>
      <c r="O15" s="12">
        <f>MAX(ScansTable[Total_Low])</f>
        <v>0</v>
      </c>
      <c r="Q15" s="26">
        <v>12</v>
      </c>
      <c r="R15" s="99">
        <f t="shared" si="0"/>
        <v>0</v>
      </c>
      <c r="S15" s="12">
        <f>COUNTIF(ScansTable[HourRequested],Q15)</f>
        <v>0</v>
      </c>
      <c r="U15" s="102" t="s">
        <v>81</v>
      </c>
      <c r="V15" s="145">
        <v>0</v>
      </c>
      <c r="W15" s="106" t="e">
        <v>#DIV/0!</v>
      </c>
    </row>
    <row r="16" spans="2:23" x14ac:dyDescent="0.25">
      <c r="M16" s="27" t="s">
        <v>61</v>
      </c>
      <c r="N16" s="37">
        <f>IFERROR(AVERAGE(ScansTable[Total_Low]),0)</f>
        <v>0</v>
      </c>
      <c r="O16" s="12">
        <f>MAX(ScansTable[Total_Info])</f>
        <v>0</v>
      </c>
      <c r="Q16" s="26">
        <v>13</v>
      </c>
      <c r="R16" s="99">
        <f t="shared" si="0"/>
        <v>0</v>
      </c>
      <c r="S16" s="12">
        <f>COUNTIF(ScansTable[HourRequested],Q16)</f>
        <v>0</v>
      </c>
      <c r="U16" s="102" t="s">
        <v>86</v>
      </c>
      <c r="V16" s="145">
        <v>0</v>
      </c>
      <c r="W16" s="106" t="e">
        <v>#DIV/0!</v>
      </c>
    </row>
    <row r="17" spans="13:23" ht="15.75" thickBot="1" x14ac:dyDescent="0.3">
      <c r="M17" s="31" t="s">
        <v>62</v>
      </c>
      <c r="N17" s="38">
        <f>IFERROR(AVERAGE(ScansTable[Total_Info]),0)</f>
        <v>0</v>
      </c>
      <c r="O17" s="14">
        <f>MAX(ScansTable[Total_Info])</f>
        <v>0</v>
      </c>
      <c r="Q17" s="26">
        <v>14</v>
      </c>
      <c r="R17" s="99">
        <f t="shared" si="0"/>
        <v>0</v>
      </c>
      <c r="S17" s="12">
        <f>COUNTIF(ScansTable[HourRequested],Q17)</f>
        <v>0</v>
      </c>
      <c r="U17" s="103" t="s">
        <v>87</v>
      </c>
      <c r="V17" s="146">
        <v>0</v>
      </c>
      <c r="W17" s="107" t="e">
        <v>#DIV/0!</v>
      </c>
    </row>
    <row r="18" spans="13:23" ht="15.75" thickBot="1" x14ac:dyDescent="0.3">
      <c r="Q18" s="26">
        <v>15</v>
      </c>
      <c r="R18" s="99">
        <f t="shared" si="0"/>
        <v>0</v>
      </c>
      <c r="S18" s="12">
        <f>COUNTIF(ScansTable[HourRequested],Q18)</f>
        <v>0</v>
      </c>
      <c r="U18"/>
      <c r="V18"/>
      <c r="W18"/>
    </row>
    <row r="19" spans="13:23" ht="15.75" thickBot="1" x14ac:dyDescent="0.3">
      <c r="M19" s="69" t="s">
        <v>65</v>
      </c>
      <c r="N19" s="70" t="s">
        <v>55</v>
      </c>
      <c r="O19" s="71" t="s">
        <v>56</v>
      </c>
      <c r="Q19" s="26">
        <v>16</v>
      </c>
      <c r="R19" s="99">
        <f t="shared" si="0"/>
        <v>0</v>
      </c>
      <c r="S19" s="12">
        <f>COUNTIF(ScansTable[HourRequested],Q19)</f>
        <v>0</v>
      </c>
      <c r="U19" s="74" t="s">
        <v>14</v>
      </c>
      <c r="V19" s="141" t="s">
        <v>53</v>
      </c>
      <c r="W19" s="142" t="s">
        <v>96</v>
      </c>
    </row>
    <row r="20" spans="13:23" ht="15.75" thickBot="1" x14ac:dyDescent="0.3">
      <c r="M20" s="21" t="s">
        <v>63</v>
      </c>
      <c r="N20" s="39">
        <f>IFERROR(AVERAGEIF(ScansTable[Loc], "&lt;&gt;0"),0)</f>
        <v>0</v>
      </c>
      <c r="O20" s="10">
        <f>MAX(ScansTable[Loc])</f>
        <v>0</v>
      </c>
      <c r="Q20" s="26">
        <v>17</v>
      </c>
      <c r="R20" s="99">
        <f t="shared" si="0"/>
        <v>0</v>
      </c>
      <c r="S20" s="12">
        <f>COUNTIF(ScansTable[HourRequested],Q20)</f>
        <v>0</v>
      </c>
      <c r="U20" s="143" t="s">
        <v>201</v>
      </c>
      <c r="V20" s="139"/>
      <c r="W20" s="140" t="e">
        <v>#DIV/0!</v>
      </c>
    </row>
    <row r="21" spans="13:23" ht="15.75" thickBot="1" x14ac:dyDescent="0.3">
      <c r="M21" s="31" t="s">
        <v>64</v>
      </c>
      <c r="N21" s="40">
        <f>IFERROR(AVERAGE(ScansTable[Runtime]),0)</f>
        <v>0</v>
      </c>
      <c r="O21" s="41">
        <f>MAX(ScansTable[Runtime])</f>
        <v>0</v>
      </c>
      <c r="Q21" s="26">
        <v>18</v>
      </c>
      <c r="R21" s="99">
        <f t="shared" si="0"/>
        <v>0</v>
      </c>
      <c r="S21" s="12">
        <f>COUNTIF(ScansTable[HourRequested],Q21)</f>
        <v>0</v>
      </c>
      <c r="U21"/>
      <c r="V21"/>
      <c r="W21"/>
    </row>
    <row r="22" spans="13:23" ht="15.75" thickBot="1" x14ac:dyDescent="0.3">
      <c r="Q22" s="26">
        <v>19</v>
      </c>
      <c r="R22" s="99">
        <f t="shared" si="0"/>
        <v>0</v>
      </c>
      <c r="S22" s="12">
        <f>COUNTIF(ScansTable[HourRequested],Q22)</f>
        <v>0</v>
      </c>
    </row>
    <row r="23" spans="13:23" ht="15.75" thickBot="1" x14ac:dyDescent="0.3">
      <c r="M23" s="69" t="s">
        <v>28</v>
      </c>
      <c r="N23" s="70" t="s">
        <v>53</v>
      </c>
      <c r="O23" s="71" t="s">
        <v>42</v>
      </c>
      <c r="Q23" s="26">
        <v>20</v>
      </c>
      <c r="R23" s="99">
        <f t="shared" si="0"/>
        <v>0</v>
      </c>
      <c r="S23" s="12">
        <f>COUNTIF(ScansTable[HourRequested],Q23)</f>
        <v>0</v>
      </c>
    </row>
    <row r="24" spans="13:23" x14ac:dyDescent="0.25">
      <c r="M24" s="21" t="s">
        <v>66</v>
      </c>
      <c r="N24" s="22">
        <f>COUNTIF(ScansTable[Sast], TRUE)</f>
        <v>0</v>
      </c>
      <c r="O24" s="42">
        <f>IFERROR(N24/COUNTA(ScansTable[ScanID]),0)</f>
        <v>0</v>
      </c>
      <c r="Q24" s="26">
        <v>21</v>
      </c>
      <c r="R24" s="99">
        <f t="shared" si="0"/>
        <v>0</v>
      </c>
      <c r="S24" s="12">
        <f>COUNTIF(ScansTable[HourRequested],Q24)</f>
        <v>0</v>
      </c>
    </row>
    <row r="25" spans="13:23" ht="15.75" thickBot="1" x14ac:dyDescent="0.3">
      <c r="M25" s="27" t="s">
        <v>67</v>
      </c>
      <c r="N25" s="29">
        <f>COUNTIF(ScansTable[Sca], TRUE)</f>
        <v>0</v>
      </c>
      <c r="O25" s="30">
        <f>IFERROR(N25/COUNTA(ScansTable[ScanID]),0)</f>
        <v>0</v>
      </c>
      <c r="Q25" s="26">
        <v>22</v>
      </c>
      <c r="R25" s="99">
        <f t="shared" si="0"/>
        <v>0</v>
      </c>
      <c r="S25" s="12">
        <f>COUNTIF(ScansTable[HourRequested],Q25)</f>
        <v>0</v>
      </c>
    </row>
    <row r="26" spans="13:23" ht="15.75" thickBot="1" x14ac:dyDescent="0.3">
      <c r="M26" s="27" t="s">
        <v>68</v>
      </c>
      <c r="N26" s="29">
        <f>COUNTIF(ScansTable[Kics], TRUE)</f>
        <v>0</v>
      </c>
      <c r="O26" s="30">
        <f>IFERROR(N26/COUNTA(ScansTable[ScanID]),0)</f>
        <v>0</v>
      </c>
      <c r="Q26" s="43">
        <v>23</v>
      </c>
      <c r="R26" s="100">
        <f t="shared" si="0"/>
        <v>0</v>
      </c>
      <c r="S26" s="14">
        <f>COUNTIF(ScansTable[HourRequested],Q26)</f>
        <v>0</v>
      </c>
    </row>
    <row r="27" spans="13:23" x14ac:dyDescent="0.25">
      <c r="M27" s="27" t="s">
        <v>33</v>
      </c>
      <c r="N27" s="29">
        <f>COUNTIF(ScansTable[Containers], TRUE)</f>
        <v>0</v>
      </c>
      <c r="O27" s="30">
        <f>IFERROR(N27/COUNTA(ScansTable[ScanID]),0)</f>
        <v>0</v>
      </c>
    </row>
    <row r="28" spans="13:23" x14ac:dyDescent="0.25">
      <c r="M28" s="27" t="s">
        <v>69</v>
      </c>
      <c r="N28" s="29">
        <f>COUNTIF(ScansTable[Api], TRUE)</f>
        <v>0</v>
      </c>
      <c r="O28" s="30">
        <f>IFERROR(N28/COUNTA(ScansTable[ScanID]),0)</f>
        <v>0</v>
      </c>
    </row>
    <row r="29" spans="13:23" ht="15.75" thickBot="1" x14ac:dyDescent="0.3">
      <c r="M29" s="31" t="s">
        <v>191</v>
      </c>
      <c r="N29" s="33">
        <f>COUNTIF(ScansTable[SSCS], TRUE)</f>
        <v>0</v>
      </c>
      <c r="O29" s="34">
        <f>IFERROR(N29/COUNTA(ScansTable[ScanID]),0)</f>
        <v>0</v>
      </c>
    </row>
    <row r="30" spans="13:23" ht="15.75" thickBot="1" x14ac:dyDescent="0.3"/>
    <row r="596" ht="15.75" thickBot="1" x14ac:dyDescent="0.3"/>
  </sheetData>
  <mergeCells count="1">
    <mergeCell ref="O3:O6"/>
  </mergeCell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4ADFD-3759-4E5C-AB5C-B99D016AF638}">
  <dimension ref="B1:K37"/>
  <sheetViews>
    <sheetView workbookViewId="0">
      <selection activeCell="E14" sqref="E14"/>
    </sheetView>
  </sheetViews>
  <sheetFormatPr defaultRowHeight="15" x14ac:dyDescent="0.25"/>
  <cols>
    <col min="1" max="1" width="2" style="4" customWidth="1"/>
    <col min="2" max="2" width="16" style="4" bestFit="1" customWidth="1"/>
    <col min="3" max="3" width="9.140625" style="4"/>
    <col min="4" max="4" width="17.5703125" style="4" bestFit="1" customWidth="1"/>
    <col min="5" max="5" width="9.140625" style="4"/>
    <col min="6" max="6" width="12.7109375" style="4" customWidth="1"/>
    <col min="7" max="7" width="13.28515625" style="4" customWidth="1"/>
    <col min="8" max="8" width="9.140625" style="4"/>
    <col min="9" max="9" width="13.7109375" style="4" customWidth="1"/>
    <col min="10" max="10" width="12.42578125" style="4" bestFit="1" customWidth="1"/>
    <col min="11" max="11" width="17.140625" style="4" customWidth="1"/>
    <col min="12" max="12" width="9.140625" style="4"/>
    <col min="13" max="13" width="9.140625" style="4" customWidth="1"/>
    <col min="14" max="16384" width="9.140625" style="4"/>
  </cols>
  <sheetData>
    <row r="1" spans="2:11" ht="11.25" customHeight="1" thickBot="1" x14ac:dyDescent="0.3"/>
    <row r="2" spans="2:11" ht="51.75" customHeight="1" thickBot="1" x14ac:dyDescent="0.35">
      <c r="B2" s="125" t="s">
        <v>97</v>
      </c>
      <c r="C2" s="126"/>
      <c r="D2" s="127"/>
      <c r="E2" s="59" t="s">
        <v>40</v>
      </c>
      <c r="F2" s="60" t="s">
        <v>99</v>
      </c>
      <c r="G2" s="61" t="s">
        <v>100</v>
      </c>
      <c r="I2" s="5" t="s">
        <v>97</v>
      </c>
      <c r="J2" s="5" t="s">
        <v>95</v>
      </c>
      <c r="K2" s="5" t="s">
        <v>100</v>
      </c>
    </row>
    <row r="3" spans="2:11" ht="18.75" x14ac:dyDescent="0.3">
      <c r="B3" s="48">
        <v>0</v>
      </c>
      <c r="C3" s="17" t="s">
        <v>98</v>
      </c>
      <c r="D3" s="56">
        <v>20000</v>
      </c>
      <c r="E3" s="54">
        <f>COUNTIFS(ScansTable[Loc],"&gt;="&amp;B3, ScansTable[Loc], "&lt;="&amp;D3, ScansTable[Loc], "&lt;&gt;0", ScansTable[Status], "Completed")</f>
        <v>0</v>
      </c>
      <c r="F3" s="18">
        <f>IFERROR(E3/$E$15,0)</f>
        <v>0</v>
      </c>
      <c r="G3" s="49">
        <f>IFERROR(AVERAGEIFS(ScansTable[Runtime],ScansTable[Loc],"&gt;="&amp;B3,ScansTable[Loc],"&lt;="&amp;D3,ScansTable[Runtime],"&gt;0"),0)</f>
        <v>0</v>
      </c>
      <c r="I3" s="5" t="s">
        <v>101</v>
      </c>
      <c r="J3" s="6">
        <f t="shared" ref="J3:J14" si="0">E3</f>
        <v>0</v>
      </c>
      <c r="K3" s="7">
        <f t="shared" ref="K3:K14" si="1">G3</f>
        <v>0</v>
      </c>
    </row>
    <row r="4" spans="2:11" ht="18.75" x14ac:dyDescent="0.3">
      <c r="B4" s="48">
        <v>20001</v>
      </c>
      <c r="C4" s="17" t="s">
        <v>98</v>
      </c>
      <c r="D4" s="56">
        <v>50000</v>
      </c>
      <c r="E4" s="54">
        <f>COUNTIFS(ScansTable[Loc],"&gt;="&amp;B4, ScansTable[Loc], "&lt;="&amp;D4, ScansTable[Loc], "&lt;&gt;0", ScansTable[Status], "Completed")</f>
        <v>0</v>
      </c>
      <c r="F4" s="18">
        <f>IFERROR(E4/$E$15,0)</f>
        <v>0</v>
      </c>
      <c r="G4" s="49">
        <f>IFERROR(AVERAGEIFS(ScansTable[Runtime],ScansTable[Loc],"&gt;="&amp;B4,ScansTable[Loc],"&lt;="&amp;D4,ScansTable[Runtime],"&gt;0"),0)</f>
        <v>0</v>
      </c>
      <c r="I4" s="5" t="s">
        <v>102</v>
      </c>
      <c r="J4" s="6">
        <f t="shared" si="0"/>
        <v>0</v>
      </c>
      <c r="K4" s="7">
        <f t="shared" si="1"/>
        <v>0</v>
      </c>
    </row>
    <row r="5" spans="2:11" ht="18.75" x14ac:dyDescent="0.3">
      <c r="B5" s="48">
        <v>50001</v>
      </c>
      <c r="C5" s="17" t="s">
        <v>98</v>
      </c>
      <c r="D5" s="56">
        <v>100000</v>
      </c>
      <c r="E5" s="54">
        <f>COUNTIFS(ScansTable[Loc],"&gt;="&amp;B5, ScansTable[Loc], "&lt;="&amp;D5, ScansTable[Loc], "&lt;&gt;0", ScansTable[Status], "Completed")</f>
        <v>0</v>
      </c>
      <c r="F5" s="18">
        <f t="shared" ref="F5:F13" si="2">IFERROR(E5/$E$15,0)</f>
        <v>0</v>
      </c>
      <c r="G5" s="49">
        <f>IFERROR(AVERAGEIFS(ScansTable[Runtime],ScansTable[Loc],"&gt;="&amp;B5,ScansTable[Loc],"&lt;="&amp;D5,ScansTable[Runtime],"&gt;0"),0)</f>
        <v>0</v>
      </c>
      <c r="I5" s="5" t="s">
        <v>103</v>
      </c>
      <c r="J5" s="6">
        <f t="shared" si="0"/>
        <v>0</v>
      </c>
      <c r="K5" s="7">
        <f t="shared" si="1"/>
        <v>0</v>
      </c>
    </row>
    <row r="6" spans="2:11" ht="18.75" x14ac:dyDescent="0.3">
      <c r="B6" s="48">
        <v>100001</v>
      </c>
      <c r="C6" s="17" t="s">
        <v>98</v>
      </c>
      <c r="D6" s="56">
        <v>250000</v>
      </c>
      <c r="E6" s="54">
        <f>COUNTIFS(ScansTable[Loc],"&gt;="&amp;B6, ScansTable[Loc], "&lt;="&amp;D6, ScansTable[Loc], "&lt;&gt;0", ScansTable[Status], "Completed")</f>
        <v>0</v>
      </c>
      <c r="F6" s="18">
        <f t="shared" si="2"/>
        <v>0</v>
      </c>
      <c r="G6" s="49">
        <f>IFERROR(AVERAGEIFS(ScansTable[Runtime],ScansTable[Loc],"&gt;="&amp;B6,ScansTable[Loc],"&lt;="&amp;D6,ScansTable[Runtime],"&gt;0"),0)</f>
        <v>0</v>
      </c>
      <c r="I6" s="5" t="s">
        <v>104</v>
      </c>
      <c r="J6" s="6">
        <f t="shared" si="0"/>
        <v>0</v>
      </c>
      <c r="K6" s="7">
        <f t="shared" si="1"/>
        <v>0</v>
      </c>
    </row>
    <row r="7" spans="2:11" ht="18.75" x14ac:dyDescent="0.3">
      <c r="B7" s="48">
        <v>250001</v>
      </c>
      <c r="C7" s="17" t="s">
        <v>98</v>
      </c>
      <c r="D7" s="56">
        <v>500000</v>
      </c>
      <c r="E7" s="54">
        <f>COUNTIFS(ScansTable[Loc],"&gt;="&amp;B7, ScansTable[Loc], "&lt;="&amp;D7, ScansTable[Loc], "&lt;&gt;0", ScansTable[Status], "Completed")</f>
        <v>0</v>
      </c>
      <c r="F7" s="18">
        <f t="shared" si="2"/>
        <v>0</v>
      </c>
      <c r="G7" s="49">
        <f>IFERROR(AVERAGEIFS(ScansTable[Runtime],ScansTable[Loc],"&gt;="&amp;B7,ScansTable[Loc],"&lt;="&amp;D7,ScansTable[Runtime],"&gt;0"),0)</f>
        <v>0</v>
      </c>
      <c r="I7" s="5" t="s">
        <v>105</v>
      </c>
      <c r="J7" s="6">
        <f t="shared" si="0"/>
        <v>0</v>
      </c>
      <c r="K7" s="7">
        <f t="shared" si="1"/>
        <v>0</v>
      </c>
    </row>
    <row r="8" spans="2:11" ht="18.75" x14ac:dyDescent="0.3">
      <c r="B8" s="48">
        <v>500001</v>
      </c>
      <c r="C8" s="17" t="s">
        <v>98</v>
      </c>
      <c r="D8" s="56">
        <v>1000000</v>
      </c>
      <c r="E8" s="54">
        <f>COUNTIFS(ScansTable[Loc],"&gt;="&amp;B8, ScansTable[Loc], "&lt;="&amp;D8, ScansTable[Loc], "&lt;&gt;0", ScansTable[Status], "Completed")</f>
        <v>0</v>
      </c>
      <c r="F8" s="18">
        <f t="shared" si="2"/>
        <v>0</v>
      </c>
      <c r="G8" s="49">
        <f>IFERROR(AVERAGEIFS(ScansTable[Runtime],ScansTable[Loc],"&gt;="&amp;B8,ScansTable[Loc],"&lt;="&amp;D8,ScansTable[Runtime],"&gt;0"),0)</f>
        <v>0</v>
      </c>
      <c r="I8" s="5" t="s">
        <v>106</v>
      </c>
      <c r="J8" s="6">
        <f t="shared" si="0"/>
        <v>0</v>
      </c>
      <c r="K8" s="7">
        <f t="shared" si="1"/>
        <v>0</v>
      </c>
    </row>
    <row r="9" spans="2:11" ht="18.75" x14ac:dyDescent="0.3">
      <c r="B9" s="48">
        <v>1000001</v>
      </c>
      <c r="C9" s="17" t="s">
        <v>98</v>
      </c>
      <c r="D9" s="56">
        <v>2000000</v>
      </c>
      <c r="E9" s="54">
        <f>COUNTIFS(ScansTable[Loc],"&gt;="&amp;B9, ScansTable[Loc], "&lt;="&amp;D9, ScansTable[Loc], "&lt;&gt;0", ScansTable[Status], "Completed")</f>
        <v>0</v>
      </c>
      <c r="F9" s="18">
        <f t="shared" si="2"/>
        <v>0</v>
      </c>
      <c r="G9" s="49">
        <f>IFERROR(AVERAGEIFS(ScansTable[Runtime],ScansTable[Loc],"&gt;="&amp;B9,ScansTable[Loc],"&lt;="&amp;D9,ScansTable[Runtime],"&gt;0"),0)</f>
        <v>0</v>
      </c>
      <c r="I9" s="5" t="s">
        <v>107</v>
      </c>
      <c r="J9" s="6">
        <f t="shared" si="0"/>
        <v>0</v>
      </c>
      <c r="K9" s="7">
        <f t="shared" si="1"/>
        <v>0</v>
      </c>
    </row>
    <row r="10" spans="2:11" ht="18.75" x14ac:dyDescent="0.3">
      <c r="B10" s="48">
        <v>2000001</v>
      </c>
      <c r="C10" s="17" t="s">
        <v>98</v>
      </c>
      <c r="D10" s="56">
        <v>3000000</v>
      </c>
      <c r="E10" s="54">
        <f>COUNTIFS(ScansTable[Loc],"&gt;="&amp;B10, ScansTable[Loc], "&lt;="&amp;D10, ScansTable[Loc], "&lt;&gt;0", ScansTable[Status], "Completed")</f>
        <v>0</v>
      </c>
      <c r="F10" s="18">
        <f t="shared" si="2"/>
        <v>0</v>
      </c>
      <c r="G10" s="49">
        <f>IFERROR(AVERAGEIFS(ScansTable[Runtime],ScansTable[Loc],"&gt;="&amp;B10,ScansTable[Loc],"&lt;="&amp;D10,ScansTable[Runtime],"&gt;0"),0)</f>
        <v>0</v>
      </c>
      <c r="I10" s="5" t="s">
        <v>108</v>
      </c>
      <c r="J10" s="6">
        <f t="shared" si="0"/>
        <v>0</v>
      </c>
      <c r="K10" s="7">
        <f t="shared" si="1"/>
        <v>0</v>
      </c>
    </row>
    <row r="11" spans="2:11" ht="18.75" x14ac:dyDescent="0.3">
      <c r="B11" s="48">
        <v>3000001</v>
      </c>
      <c r="C11" s="17" t="s">
        <v>98</v>
      </c>
      <c r="D11" s="56">
        <v>5000000</v>
      </c>
      <c r="E11" s="54">
        <f>COUNTIFS(ScansTable[Loc],"&gt;="&amp;B11, ScansTable[Loc], "&lt;="&amp;D11, ScansTable[Loc], "&lt;&gt;0", ScansTable[Status], "Completed")</f>
        <v>0</v>
      </c>
      <c r="F11" s="18">
        <f t="shared" si="2"/>
        <v>0</v>
      </c>
      <c r="G11" s="49">
        <f>IFERROR(AVERAGEIFS(ScansTable[Runtime],ScansTable[Loc],"&gt;="&amp;B11,ScansTable[Loc],"&lt;="&amp;D11,ScansTable[Runtime],"&gt;0"),0)</f>
        <v>0</v>
      </c>
      <c r="I11" s="5" t="s">
        <v>109</v>
      </c>
      <c r="J11" s="6">
        <f t="shared" si="0"/>
        <v>0</v>
      </c>
      <c r="K11" s="7">
        <f t="shared" si="1"/>
        <v>0</v>
      </c>
    </row>
    <row r="12" spans="2:11" ht="18.75" x14ac:dyDescent="0.3">
      <c r="B12" s="48">
        <v>5000001</v>
      </c>
      <c r="C12" s="17" t="s">
        <v>98</v>
      </c>
      <c r="D12" s="56">
        <v>7000000</v>
      </c>
      <c r="E12" s="54">
        <f>COUNTIFS(ScansTable[Loc],"&gt;="&amp;B12, ScansTable[Loc], "&lt;="&amp;D12, ScansTable[Loc], "&lt;&gt;0", ScansTable[Status], "Completed")</f>
        <v>0</v>
      </c>
      <c r="F12" s="18">
        <f t="shared" si="2"/>
        <v>0</v>
      </c>
      <c r="G12" s="49">
        <f>IFERROR(AVERAGEIFS(ScansTable[Runtime],ScansTable[Loc],"&gt;="&amp;B12,ScansTable[Loc],"&lt;="&amp;D12,ScansTable[Runtime],"&gt;0"),0)</f>
        <v>0</v>
      </c>
      <c r="I12" s="5" t="s">
        <v>110</v>
      </c>
      <c r="J12" s="6">
        <f t="shared" si="0"/>
        <v>0</v>
      </c>
      <c r="K12" s="7">
        <f t="shared" si="1"/>
        <v>0</v>
      </c>
    </row>
    <row r="13" spans="2:11" ht="18.75" x14ac:dyDescent="0.3">
      <c r="B13" s="48">
        <v>7000001</v>
      </c>
      <c r="C13" s="17" t="s">
        <v>98</v>
      </c>
      <c r="D13" s="56">
        <v>10000000</v>
      </c>
      <c r="E13" s="54">
        <f>COUNTIFS(ScansTable[Loc],"&gt;="&amp;B13, ScansTable[Loc], "&lt;="&amp;D13, ScansTable[Loc], "&lt;&gt;0", ScansTable[Status], "Completed")</f>
        <v>0</v>
      </c>
      <c r="F13" s="18">
        <f t="shared" si="2"/>
        <v>0</v>
      </c>
      <c r="G13" s="49">
        <f>IFERROR(AVERAGEIFS(ScansTable[Runtime],ScansTable[Loc],"&gt;="&amp;B13,ScansTable[Loc],"&lt;="&amp;D13,ScansTable[Runtime],"&gt;0"),0)</f>
        <v>0</v>
      </c>
      <c r="I13" s="5" t="s">
        <v>111</v>
      </c>
      <c r="J13" s="6">
        <f t="shared" si="0"/>
        <v>0</v>
      </c>
      <c r="K13" s="7">
        <f t="shared" si="1"/>
        <v>0</v>
      </c>
    </row>
    <row r="14" spans="2:11" ht="19.5" thickBot="1" x14ac:dyDescent="0.35">
      <c r="B14" s="50">
        <v>10000001</v>
      </c>
      <c r="C14" s="51" t="s">
        <v>98</v>
      </c>
      <c r="D14" s="57">
        <v>100000000</v>
      </c>
      <c r="E14" s="55">
        <f>COUNTIFS(ScansTable[Loc],"&gt;="&amp;B14, ScansTable[Loc], "&lt;="&amp;D14, ScansTable[Loc], "&lt;&gt;0", ScansTable[Status], "Completed")</f>
        <v>0</v>
      </c>
      <c r="F14" s="52">
        <f>IFERROR(E14/$E$15,0)</f>
        <v>0</v>
      </c>
      <c r="G14" s="53">
        <f>IFERROR(AVERAGEIFS(ScansTable[Runtime],ScansTable[Loc],"&gt;="&amp;B14,ScansTable[Loc],"&lt;="&amp;D14,ScansTable[Runtime],"&gt;0"),0)</f>
        <v>0</v>
      </c>
      <c r="I14" s="5" t="s">
        <v>112</v>
      </c>
      <c r="J14" s="6">
        <f t="shared" si="0"/>
        <v>0</v>
      </c>
      <c r="K14" s="7">
        <f t="shared" si="1"/>
        <v>0</v>
      </c>
    </row>
    <row r="15" spans="2:11" ht="16.5" thickBot="1" x14ac:dyDescent="0.3">
      <c r="B15" s="19"/>
      <c r="C15" s="19"/>
      <c r="D15" s="19"/>
      <c r="E15" s="58">
        <f>SUM(E3:E14)</f>
        <v>0</v>
      </c>
      <c r="F15" s="20"/>
      <c r="G15" s="19"/>
    </row>
    <row r="37" spans="2:7" ht="15.75" x14ac:dyDescent="0.25">
      <c r="B37" s="128" t="s">
        <v>171</v>
      </c>
      <c r="C37" s="128"/>
      <c r="D37" s="128"/>
      <c r="E37" s="128"/>
      <c r="F37" s="128"/>
      <c r="G37" s="128"/>
    </row>
  </sheetData>
  <mergeCells count="2">
    <mergeCell ref="B2:D2"/>
    <mergeCell ref="B37:G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AC7E-2CBA-4B53-9546-4BDBEB3D064C}">
  <dimension ref="A1"/>
  <sheetViews>
    <sheetView workbookViewId="0">
      <selection activeCell="AD33" sqref="AD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32090-049A-481F-B4B2-0BBB3AF2EAB2}">
  <dimension ref="B1:O9"/>
  <sheetViews>
    <sheetView workbookViewId="0">
      <selection activeCell="B2" sqref="B2:C3"/>
    </sheetView>
  </sheetViews>
  <sheetFormatPr defaultRowHeight="15" x14ac:dyDescent="0.25"/>
  <cols>
    <col min="1" max="1" width="2.140625" style="4" customWidth="1"/>
    <col min="2" max="2" width="28.85546875" style="4" bestFit="1" customWidth="1"/>
    <col min="3" max="3" width="10.7109375" style="4" bestFit="1" customWidth="1"/>
    <col min="4" max="4" width="14" style="4" bestFit="1" customWidth="1"/>
    <col min="5" max="5" width="8.140625" style="4" bestFit="1" customWidth="1"/>
    <col min="6" max="6" width="2.140625" style="4" customWidth="1"/>
    <col min="7" max="7" width="9.42578125" style="4" bestFit="1" customWidth="1"/>
    <col min="8" max="8" width="15.42578125" style="4" bestFit="1" customWidth="1"/>
    <col min="9" max="9" width="15.85546875" style="4" bestFit="1" customWidth="1"/>
    <col min="10" max="10" width="15.5703125" style="4" bestFit="1" customWidth="1"/>
    <col min="11" max="11" width="2.140625" style="4" customWidth="1"/>
    <col min="12" max="12" width="10.7109375" style="4" bestFit="1" customWidth="1"/>
    <col min="13" max="13" width="8.140625" style="4" bestFit="1" customWidth="1"/>
    <col min="14" max="16384" width="9.140625" style="4"/>
  </cols>
  <sheetData>
    <row r="1" spans="2:15" ht="11.25" customHeight="1" thickBot="1" x14ac:dyDescent="0.3"/>
    <row r="2" spans="2:15" ht="19.5" thickBot="1" x14ac:dyDescent="0.35">
      <c r="B2" s="108" t="s">
        <v>174</v>
      </c>
      <c r="C2" s="109" t="s">
        <v>25</v>
      </c>
      <c r="F2" s="44"/>
      <c r="G2" s="113" t="s">
        <v>152</v>
      </c>
      <c r="H2" s="110" t="s">
        <v>153</v>
      </c>
      <c r="I2" s="111" t="s">
        <v>154</v>
      </c>
      <c r="J2" s="109" t="s">
        <v>155</v>
      </c>
      <c r="L2" s="129" t="s">
        <v>173</v>
      </c>
      <c r="M2" s="130"/>
      <c r="N2" s="44"/>
      <c r="O2" s="44"/>
    </row>
    <row r="3" spans="2:15" ht="19.5" thickBot="1" x14ac:dyDescent="0.35">
      <c r="B3" s="19" t="s">
        <v>152</v>
      </c>
      <c r="C3" s="19"/>
      <c r="F3" s="44"/>
      <c r="L3" s="108" t="s">
        <v>25</v>
      </c>
      <c r="M3" s="108" t="s">
        <v>172</v>
      </c>
    </row>
    <row r="4" spans="2:15" ht="16.5" thickBot="1" x14ac:dyDescent="0.3">
      <c r="F4" s="45"/>
      <c r="L4" s="117" t="s">
        <v>201</v>
      </c>
      <c r="M4" s="144"/>
    </row>
    <row r="5" spans="2:15" ht="15.75" x14ac:dyDescent="0.25">
      <c r="F5" s="45"/>
      <c r="L5"/>
      <c r="M5"/>
    </row>
    <row r="6" spans="2:15" ht="16.5" thickBot="1" x14ac:dyDescent="0.3">
      <c r="F6" s="45"/>
      <c r="L6"/>
      <c r="M6"/>
    </row>
    <row r="7" spans="2:15" ht="15.75" x14ac:dyDescent="0.25">
      <c r="F7" s="45"/>
    </row>
    <row r="8" spans="2:15" ht="15.75" x14ac:dyDescent="0.25">
      <c r="F8" s="45"/>
    </row>
    <row r="9" spans="2:15" ht="16.5" thickBot="1" x14ac:dyDescent="0.3">
      <c r="F9" s="45"/>
      <c r="G9" s="19"/>
      <c r="H9" s="19"/>
      <c r="I9" s="19"/>
      <c r="J9" s="19"/>
    </row>
  </sheetData>
  <mergeCells count="1">
    <mergeCell ref="L2:M2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8394E-BDDD-453D-83D3-BC639F159AAA}">
  <dimension ref="B1:R9"/>
  <sheetViews>
    <sheetView workbookViewId="0">
      <selection activeCell="U18" sqref="U18"/>
    </sheetView>
  </sheetViews>
  <sheetFormatPr defaultRowHeight="15" x14ac:dyDescent="0.25"/>
  <cols>
    <col min="1" max="1" width="2.140625" style="4" customWidth="1"/>
    <col min="2" max="2" width="11.5703125" style="4" customWidth="1"/>
    <col min="3" max="18" width="12.85546875" style="4" customWidth="1"/>
    <col min="19" max="16384" width="9.140625" style="4"/>
  </cols>
  <sheetData>
    <row r="1" spans="2:18" ht="11.25" customHeight="1" thickBot="1" x14ac:dyDescent="0.3"/>
    <row r="2" spans="2:18" ht="19.5" thickBot="1" x14ac:dyDescent="0.3">
      <c r="C2" s="131" t="s">
        <v>57</v>
      </c>
      <c r="D2" s="132"/>
      <c r="E2" s="131" t="s">
        <v>66</v>
      </c>
      <c r="F2" s="132"/>
      <c r="G2" s="131" t="s">
        <v>67</v>
      </c>
      <c r="H2" s="132"/>
      <c r="I2" s="131" t="s">
        <v>157</v>
      </c>
      <c r="J2" s="132"/>
      <c r="K2" s="131" t="s">
        <v>68</v>
      </c>
      <c r="L2" s="132"/>
      <c r="M2" s="131" t="s">
        <v>69</v>
      </c>
      <c r="N2" s="132"/>
      <c r="O2" s="131" t="s">
        <v>191</v>
      </c>
      <c r="P2" s="132"/>
      <c r="Q2" s="131" t="s">
        <v>33</v>
      </c>
      <c r="R2" s="132"/>
    </row>
    <row r="3" spans="2:18" ht="16.5" customHeight="1" thickBot="1" x14ac:dyDescent="0.3">
      <c r="B3" s="67" t="s">
        <v>156</v>
      </c>
      <c r="C3" s="66" t="s">
        <v>55</v>
      </c>
      <c r="D3" s="64" t="s">
        <v>56</v>
      </c>
      <c r="E3" s="65" t="s">
        <v>55</v>
      </c>
      <c r="F3" s="63" t="s">
        <v>56</v>
      </c>
      <c r="G3" s="62" t="s">
        <v>55</v>
      </c>
      <c r="H3" s="64" t="s">
        <v>56</v>
      </c>
      <c r="I3" s="62" t="s">
        <v>55</v>
      </c>
      <c r="J3" s="64" t="s">
        <v>56</v>
      </c>
      <c r="K3" s="65" t="s">
        <v>55</v>
      </c>
      <c r="L3" s="63" t="s">
        <v>56</v>
      </c>
      <c r="M3" s="65" t="s">
        <v>55</v>
      </c>
      <c r="N3" s="63" t="s">
        <v>56</v>
      </c>
      <c r="O3" s="62" t="s">
        <v>55</v>
      </c>
      <c r="P3" s="64" t="s">
        <v>56</v>
      </c>
      <c r="Q3" s="62" t="s">
        <v>55</v>
      </c>
      <c r="R3" s="64" t="s">
        <v>56</v>
      </c>
    </row>
    <row r="4" spans="2:18" ht="15.75" x14ac:dyDescent="0.25">
      <c r="B4" s="46" t="s">
        <v>57</v>
      </c>
      <c r="C4" s="9">
        <f>IFERROR(AVERAGE(INDEX(ScansTable[], 0, MATCH($B4&amp;"_Vulnerabilties", ScansTable[#Headers], 0))),0)</f>
        <v>0</v>
      </c>
      <c r="D4" s="10">
        <f>MAX(INDEX(ScansTable[], 0, MATCH($B4&amp;"_Vulnerabilties", ScansTable[#Headers], 0)))</f>
        <v>0</v>
      </c>
      <c r="E4" s="9">
        <f>IFERROR(AVERAGEIFS(INDEX(ScansTable[], 0, MATCH(E$2&amp;"_"&amp;$B4&amp;"_Vulnerabilties", ScansTable[#Headers], 0)), INDEX(ScansTable[], 0, MATCH(E$2, ScansTable[#Headers], 0)), TRUE),0)</f>
        <v>0</v>
      </c>
      <c r="F4" s="10">
        <f>_xlfn.MAXIFS(INDEX(ScansTable[], 0, MATCH(E$2&amp;"_"&amp;$B4&amp;"_Vulnerabilties", ScansTable[#Headers], 0)), INDEX(ScansTable[], 0, MATCH(E$2, ScansTable[#Headers], 0)), TRUE)</f>
        <v>0</v>
      </c>
      <c r="G4" s="9">
        <f>IFERROR(AVERAGEIFS(INDEX(ScansTable[], 0, MATCH(G$2&amp;"_"&amp;$B4&amp;"_Vulnerabilties", ScansTable[#Headers], 0)), INDEX(ScansTable[], 0, MATCH(G$2, ScansTable[#Headers], 0)), TRUE),0)</f>
        <v>0</v>
      </c>
      <c r="H4" s="10">
        <f>_xlfn.MAXIFS(INDEX(ScansTable[], 0, MATCH(G$2&amp;"_"&amp;$B4&amp;"_Vulnerabilties", ScansTable[#Headers], 0)), INDEX(ScansTable[], 0, MATCH(G$2, ScansTable[#Headers], 0)), TRUE)</f>
        <v>0</v>
      </c>
      <c r="I4" s="9">
        <f>IFERROR(AVERAGEIFS(INDEX(ScansTable[], 0, MATCH(I$2&amp;"_"&amp;$B4&amp;"_Vulnerabilties", ScansTable[#Headers], 0)), INDEX(ScansTable[], 0, MATCH(G$2, ScansTable[#Headers], 0)), TRUE),0)</f>
        <v>0</v>
      </c>
      <c r="J4" s="10">
        <f>_xlfn.MAXIFS(INDEX(ScansTable[], 0, MATCH(I$2&amp;"_"&amp;$B4&amp;"_Vulnerabilties", ScansTable[#Headers], 0)), INDEX(ScansTable[], 0, MATCH(G$2, ScansTable[#Headers], 0)), TRUE)</f>
        <v>0</v>
      </c>
      <c r="K4" s="9">
        <f>IFERROR(AVERAGEIFS(INDEX(ScansTable[], 0, MATCH(K$2&amp;"_"&amp;$B4&amp;"_Vulnerabilties", ScansTable[#Headers], 0)), INDEX(ScansTable[], 0, MATCH(K$2, ScansTable[#Headers], 0)), TRUE),0)</f>
        <v>0</v>
      </c>
      <c r="L4" s="10">
        <f>_xlfn.MAXIFS(INDEX(ScansTable[], 0, MATCH(K$2&amp;"_"&amp;$B4&amp;"_Vulnerabilties", ScansTable[#Headers], 0)), INDEX(ScansTable[], 0, MATCH(K$2, ScansTable[#Headers], 0)), TRUE)</f>
        <v>0</v>
      </c>
      <c r="M4" s="9">
        <f>IFERROR(AVERAGEIFS(INDEX(ScansTable[], 0, MATCH(M$2&amp;"_"&amp;$B4&amp;"_Vulnerabilties", ScansTable[#Headers], 0)), INDEX(ScansTable[], 0, MATCH(M$2, ScansTable[#Headers], 0)), TRUE),0)</f>
        <v>0</v>
      </c>
      <c r="N4" s="10">
        <f>_xlfn.MAXIFS(INDEX(ScansTable[], 0, MATCH(M$2&amp;"_"&amp;$B4&amp;"_Vulnerabilties", ScansTable[#Headers], 0)), INDEX(ScansTable[], 0, MATCH(M$2, ScansTable[#Headers], 0)), TRUE)</f>
        <v>0</v>
      </c>
      <c r="O4" s="9">
        <f>IFERROR(AVERAGEIFS(INDEX(ScansTable[], 0, MATCH(O$2&amp;"_"&amp;$B4&amp;"_Vulnerabilties", ScansTable[#Headers], 0)), INDEX(ScansTable[], 0, MATCH(O$2, ScansTable[#Headers], 0)), TRUE),0)</f>
        <v>0</v>
      </c>
      <c r="P4" s="10">
        <f>_xlfn.MAXIFS(INDEX(ScansTable[], 0, MATCH(O$2&amp;"_"&amp;$B4&amp;"_Vulnerabilties", ScansTable[#Headers], 0)), INDEX(ScansTable[], 0, MATCH(O$2, ScansTable[#Headers], 0)), TRUE)</f>
        <v>0</v>
      </c>
      <c r="Q4" s="9">
        <f>IFERROR(AVERAGEIFS(INDEX(ScansTable[], 0, MATCH(Q$2&amp;"_"&amp;$B4&amp;"_Vulnerabilties", ScansTable[#Headers], 0)), INDEX(ScansTable[], 0, MATCH(Q$2, ScansTable[#Headers], 0)), TRUE),0)</f>
        <v>0</v>
      </c>
      <c r="R4" s="10">
        <f>_xlfn.MAXIFS(INDEX(ScansTable[], 0, MATCH(Q$2&amp;"_"&amp;$B4&amp;"_Vulnerabilties", ScansTable[#Headers], 0)), INDEX(ScansTable[], 0, MATCH(Q$2, ScansTable[#Headers], 0)), TRUE)</f>
        <v>0</v>
      </c>
    </row>
    <row r="5" spans="2:18" ht="15.75" x14ac:dyDescent="0.25">
      <c r="B5" s="46" t="s">
        <v>58</v>
      </c>
      <c r="C5" s="11">
        <f>IFERROR(AVERAGE(INDEX(ScansTable[], 0, MATCH(C$2&amp;"_"&amp;$B5, ScansTable[#Headers], 0))),0)</f>
        <v>0</v>
      </c>
      <c r="D5" s="12">
        <f>MAX(INDEX(ScansTable[], 0, MATCH(C$2&amp;"_"&amp;$B5, ScansTable[#Headers], 0)))</f>
        <v>0</v>
      </c>
      <c r="E5" s="11">
        <f>IFERROR(AVERAGEIFS(INDEX(ScansTable[], 0, MATCH(E$2&amp;"_"&amp;$B5, ScansTable[#Headers], 0)), INDEX(ScansTable[], 0, MATCH(E$2, ScansTable[#Headers], 0)), TRUE),0)</f>
        <v>0</v>
      </c>
      <c r="F5" s="12">
        <f>_xlfn.MAXIFS(INDEX(ScansTable[], 0, MATCH(E$2&amp;"_"&amp;$B5, ScansTable[#Headers], 0)), INDEX(ScansTable[], 0, MATCH(E$2, ScansTable[#Headers], 0)), TRUE)</f>
        <v>0</v>
      </c>
      <c r="G5" s="11">
        <f>IFERROR(AVERAGEIFS(INDEX(ScansTable[], 0, MATCH(G$2&amp;"_"&amp;$B5, ScansTable[#Headers], 0)), INDEX(ScansTable[], 0, MATCH(G$2, ScansTable[#Headers], 0)), TRUE),0)</f>
        <v>0</v>
      </c>
      <c r="H5" s="12">
        <f>_xlfn.MAXIFS(INDEX(ScansTable[], 0, MATCH(G$2&amp;"_"&amp;$B5, ScansTable[#Headers], 0)), INDEX(ScansTable[], 0, MATCH(G$2, ScansTable[#Headers], 0)), TRUE)</f>
        <v>0</v>
      </c>
      <c r="I5" s="11">
        <f>IFERROR(AVERAGEIFS(INDEX(ScansTable[], 0, MATCH(I$2&amp;"_"&amp;$B5, ScansTable[#Headers], 0)), INDEX(ScansTable[], 0, MATCH(G$2, ScansTable[#Headers], 0)), TRUE),0)</f>
        <v>0</v>
      </c>
      <c r="J5" s="12">
        <f>_xlfn.MAXIFS(INDEX(ScansTable[], 0, MATCH(I$2&amp;"_"&amp;$B5, ScansTable[#Headers], 0)), INDEX(ScansTable[], 0, MATCH(G$2, ScansTable[#Headers], 0)), TRUE)</f>
        <v>0</v>
      </c>
      <c r="K5" s="11">
        <f>IFERROR(AVERAGEIFS(INDEX(ScansTable[], 0, MATCH(K$2&amp;"_"&amp;$B5, ScansTable[#Headers], 0)), INDEX(ScansTable[], 0, MATCH(K$2, ScansTable[#Headers], 0)), TRUE),0)</f>
        <v>0</v>
      </c>
      <c r="L5" s="12">
        <f>_xlfn.MAXIFS(INDEX(ScansTable[], 0, MATCH(K$2&amp;"_"&amp;$B5, ScansTable[#Headers], 0)), INDEX(ScansTable[], 0, MATCH(K$2, ScansTable[#Headers], 0)), TRUE)</f>
        <v>0</v>
      </c>
      <c r="M5" s="11">
        <f>IFERROR(AVERAGEIFS(INDEX(ScansTable[], 0, MATCH(M$2&amp;"_"&amp;$B5, ScansTable[#Headers], 0)), INDEX(ScansTable[], 0, MATCH(M$2, ScansTable[#Headers], 0)), TRUE),0)</f>
        <v>0</v>
      </c>
      <c r="N5" s="12">
        <f>_xlfn.MAXIFS(INDEX(ScansTable[], 0, MATCH(M$2&amp;"_"&amp;$B5, ScansTable[#Headers], 0)), INDEX(ScansTable[], 0, MATCH(M$2, ScansTable[#Headers], 0)), TRUE)</f>
        <v>0</v>
      </c>
      <c r="O5" s="11">
        <f>IFERROR(AVERAGEIFS(INDEX(ScansTable[], 0, MATCH(O$2&amp;"_"&amp;$B5, ScansTable[#Headers], 0)), INDEX(ScansTable[], 0, MATCH(O$2, ScansTable[#Headers], 0)), TRUE),0)</f>
        <v>0</v>
      </c>
      <c r="P5" s="12">
        <f>_xlfn.MAXIFS(INDEX(ScansTable[], 0, MATCH(O$2&amp;"_"&amp;$B5, ScansTable[#Headers], 0)), INDEX(ScansTable[], 0, MATCH(O$2, ScansTable[#Headers], 0)), TRUE)</f>
        <v>0</v>
      </c>
      <c r="Q5" s="11">
        <f>IFERROR(AVERAGEIFS(INDEX(ScansTable[], 0, MATCH(Q$2&amp;"_"&amp;$B5, ScansTable[#Headers], 0)), INDEX(ScansTable[], 0, MATCH(Q$2, ScansTable[#Headers], 0)), TRUE),0)</f>
        <v>0</v>
      </c>
      <c r="R5" s="12">
        <f>_xlfn.MAXIFS(INDEX(ScansTable[], 0, MATCH(Q$2&amp;"_"&amp;$B5, ScansTable[#Headers], 0)), INDEX(ScansTable[], 0, MATCH(Q$2, ScansTable[#Headers], 0)), TRUE)</f>
        <v>0</v>
      </c>
    </row>
    <row r="6" spans="2:18" ht="15.75" x14ac:dyDescent="0.25">
      <c r="B6" s="46" t="s">
        <v>59</v>
      </c>
      <c r="C6" s="11">
        <f>IFERROR(AVERAGE(INDEX(ScansTable[], 0, MATCH(C$2&amp;"_"&amp;$B6, ScansTable[#Headers], 0))),0)</f>
        <v>0</v>
      </c>
      <c r="D6" s="12">
        <f>MAX(INDEX(ScansTable[], 0, MATCH(C$2&amp;"_"&amp;$B6, ScansTable[#Headers], 0)))</f>
        <v>0</v>
      </c>
      <c r="E6" s="11">
        <f>IFERROR(AVERAGEIFS(INDEX(ScansTable[], 0, MATCH(E$2&amp;"_"&amp;$B6, ScansTable[#Headers], 0)), INDEX(ScansTable[], 0, MATCH(E$2, ScansTable[#Headers], 0)), TRUE),0)</f>
        <v>0</v>
      </c>
      <c r="F6" s="12">
        <f>_xlfn.MAXIFS(INDEX(ScansTable[], 0, MATCH(E$2&amp;"_"&amp;$B6, ScansTable[#Headers], 0)), INDEX(ScansTable[], 0, MATCH(E$2, ScansTable[#Headers], 0)), TRUE)</f>
        <v>0</v>
      </c>
      <c r="G6" s="11">
        <f>IFERROR(AVERAGEIFS(INDEX(ScansTable[], 0, MATCH(G$2&amp;"_"&amp;$B6, ScansTable[#Headers], 0)), INDEX(ScansTable[], 0, MATCH(G$2, ScansTable[#Headers], 0)), TRUE),0)</f>
        <v>0</v>
      </c>
      <c r="H6" s="12">
        <f>_xlfn.MAXIFS(INDEX(ScansTable[], 0, MATCH(G$2&amp;"_"&amp;$B6, ScansTable[#Headers], 0)), INDEX(ScansTable[], 0, MATCH(G$2, ScansTable[#Headers], 0)), TRUE)</f>
        <v>0</v>
      </c>
      <c r="I6" s="11">
        <f>IFERROR(AVERAGEIFS(INDEX(ScansTable[], 0, MATCH(I$2&amp;"_"&amp;$B6, ScansTable[#Headers], 0)), INDEX(ScansTable[], 0, MATCH(G$2, ScansTable[#Headers], 0)), TRUE),0)</f>
        <v>0</v>
      </c>
      <c r="J6" s="12">
        <f>_xlfn.MAXIFS(INDEX(ScansTable[], 0, MATCH(I$2&amp;"_"&amp;$B6, ScansTable[#Headers], 0)), INDEX(ScansTable[], 0, MATCH(G$2, ScansTable[#Headers], 0)), TRUE)</f>
        <v>0</v>
      </c>
      <c r="K6" s="11">
        <f>IFERROR(AVERAGEIFS(INDEX(ScansTable[], 0, MATCH(K$2&amp;"_"&amp;$B6, ScansTable[#Headers], 0)), INDEX(ScansTable[], 0, MATCH(K$2, ScansTable[#Headers], 0)), TRUE),0)</f>
        <v>0</v>
      </c>
      <c r="L6" s="12">
        <f>_xlfn.MAXIFS(INDEX(ScansTable[], 0, MATCH(K$2&amp;"_"&amp;$B6, ScansTable[#Headers], 0)), INDEX(ScansTable[], 0, MATCH(K$2, ScansTable[#Headers], 0)), TRUE)</f>
        <v>0</v>
      </c>
      <c r="M6" s="11">
        <f>IFERROR(AVERAGEIFS(INDEX(ScansTable[], 0, MATCH(M$2&amp;"_"&amp;$B6, ScansTable[#Headers], 0)), INDEX(ScansTable[], 0, MATCH(M$2, ScansTable[#Headers], 0)), TRUE),0)</f>
        <v>0</v>
      </c>
      <c r="N6" s="12">
        <f>_xlfn.MAXIFS(INDEX(ScansTable[], 0, MATCH(M$2&amp;"_"&amp;$B6, ScansTable[#Headers], 0)), INDEX(ScansTable[], 0, MATCH(M$2, ScansTable[#Headers], 0)), TRUE)</f>
        <v>0</v>
      </c>
      <c r="O6" s="11">
        <f>IFERROR(AVERAGEIFS(INDEX(ScansTable[], 0, MATCH(O$2&amp;"_"&amp;$B6, ScansTable[#Headers], 0)), INDEX(ScansTable[], 0, MATCH(O$2, ScansTable[#Headers], 0)), TRUE),0)</f>
        <v>0</v>
      </c>
      <c r="P6" s="12">
        <f>_xlfn.MAXIFS(INDEX(ScansTable[], 0, MATCH(O$2&amp;"_"&amp;$B6, ScansTable[#Headers], 0)), INDEX(ScansTable[], 0, MATCH(O$2, ScansTable[#Headers], 0)), TRUE)</f>
        <v>0</v>
      </c>
      <c r="Q6" s="11">
        <f>IFERROR(AVERAGEIFS(INDEX(ScansTable[], 0, MATCH(Q$2&amp;"_"&amp;$B6, ScansTable[#Headers], 0)), INDEX(ScansTable[], 0, MATCH(Q$2, ScansTable[#Headers], 0)), TRUE),0)</f>
        <v>0</v>
      </c>
      <c r="R6" s="12">
        <f>_xlfn.MAXIFS(INDEX(ScansTable[], 0, MATCH(Q$2&amp;"_"&amp;$B6, ScansTable[#Headers], 0)), INDEX(ScansTable[], 0, MATCH(Q$2, ScansTable[#Headers], 0)), TRUE)</f>
        <v>0</v>
      </c>
    </row>
    <row r="7" spans="2:18" ht="15.75" x14ac:dyDescent="0.25">
      <c r="B7" s="46" t="s">
        <v>60</v>
      </c>
      <c r="C7" s="11">
        <f>IFERROR(AVERAGE(INDEX(ScansTable[], 0, MATCH(C$2&amp;"_"&amp;$B7, ScansTable[#Headers], 0))),0)</f>
        <v>0</v>
      </c>
      <c r="D7" s="12">
        <f>MAX(INDEX(ScansTable[], 0, MATCH(C$2&amp;"_"&amp;$B7, ScansTable[#Headers], 0)))</f>
        <v>0</v>
      </c>
      <c r="E7" s="11">
        <f>IFERROR(AVERAGEIFS(INDEX(ScansTable[], 0, MATCH(E$2&amp;"_"&amp;$B7, ScansTable[#Headers], 0)), INDEX(ScansTable[], 0, MATCH(E$2, ScansTable[#Headers], 0)), TRUE),0)</f>
        <v>0</v>
      </c>
      <c r="F7" s="12">
        <f>_xlfn.MAXIFS(INDEX(ScansTable[], 0, MATCH(E$2&amp;"_"&amp;$B7, ScansTable[#Headers], 0)), INDEX(ScansTable[], 0, MATCH(E$2, ScansTable[#Headers], 0)), TRUE)</f>
        <v>0</v>
      </c>
      <c r="G7" s="11">
        <f>IFERROR(AVERAGEIFS(INDEX(ScansTable[], 0, MATCH(G$2&amp;"_"&amp;$B7, ScansTable[#Headers], 0)), INDEX(ScansTable[], 0, MATCH(G$2, ScansTable[#Headers], 0)), TRUE),0)</f>
        <v>0</v>
      </c>
      <c r="H7" s="12">
        <f>_xlfn.MAXIFS(INDEX(ScansTable[], 0, MATCH(G$2&amp;"_"&amp;$B7, ScansTable[#Headers], 0)), INDEX(ScansTable[], 0, MATCH(G$2, ScansTable[#Headers], 0)), TRUE)</f>
        <v>0</v>
      </c>
      <c r="I7" s="11">
        <f>IFERROR(AVERAGEIFS(INDEX(ScansTable[], 0, MATCH(I$2&amp;"_"&amp;$B7, ScansTable[#Headers], 0)), INDEX(ScansTable[], 0, MATCH(G$2, ScansTable[#Headers], 0)), TRUE),0)</f>
        <v>0</v>
      </c>
      <c r="J7" s="12">
        <f>_xlfn.MAXIFS(INDEX(ScansTable[], 0, MATCH(I$2&amp;"_"&amp;$B7, ScansTable[#Headers], 0)), INDEX(ScansTable[], 0, MATCH(G$2, ScansTable[#Headers], 0)), TRUE)</f>
        <v>0</v>
      </c>
      <c r="K7" s="11">
        <f>IFERROR(AVERAGEIFS(INDEX(ScansTable[], 0, MATCH(K$2&amp;"_"&amp;$B7, ScansTable[#Headers], 0)), INDEX(ScansTable[], 0, MATCH(K$2, ScansTable[#Headers], 0)), TRUE),0)</f>
        <v>0</v>
      </c>
      <c r="L7" s="12">
        <f>_xlfn.MAXIFS(INDEX(ScansTable[], 0, MATCH(K$2&amp;"_"&amp;$B7, ScansTable[#Headers], 0)), INDEX(ScansTable[], 0, MATCH(K$2, ScansTable[#Headers], 0)), TRUE)</f>
        <v>0</v>
      </c>
      <c r="M7" s="11">
        <f>IFERROR(AVERAGEIFS(INDEX(ScansTable[], 0, MATCH(M$2&amp;"_"&amp;$B7, ScansTable[#Headers], 0)), INDEX(ScansTable[], 0, MATCH(M$2, ScansTable[#Headers], 0)), TRUE),0)</f>
        <v>0</v>
      </c>
      <c r="N7" s="12">
        <f>_xlfn.MAXIFS(INDEX(ScansTable[], 0, MATCH(M$2&amp;"_"&amp;$B7, ScansTable[#Headers], 0)), INDEX(ScansTable[], 0, MATCH(M$2, ScansTable[#Headers], 0)), TRUE)</f>
        <v>0</v>
      </c>
      <c r="O7" s="11">
        <f>IFERROR(AVERAGEIFS(INDEX(ScansTable[], 0, MATCH(O$2&amp;"_"&amp;$B7, ScansTable[#Headers], 0)), INDEX(ScansTable[], 0, MATCH(O$2, ScansTable[#Headers], 0)), TRUE),0)</f>
        <v>0</v>
      </c>
      <c r="P7" s="12">
        <f>_xlfn.MAXIFS(INDEX(ScansTable[], 0, MATCH(O$2&amp;"_"&amp;$B7, ScansTable[#Headers], 0)), INDEX(ScansTable[], 0, MATCH(O$2, ScansTable[#Headers], 0)), TRUE)</f>
        <v>0</v>
      </c>
      <c r="Q7" s="11">
        <f>IFERROR(AVERAGEIFS(INDEX(ScansTable[], 0, MATCH(Q$2&amp;"_"&amp;$B7, ScansTable[#Headers], 0)), INDEX(ScansTable[], 0, MATCH(Q$2, ScansTable[#Headers], 0)), TRUE),0)</f>
        <v>0</v>
      </c>
      <c r="R7" s="12">
        <f>_xlfn.MAXIFS(INDEX(ScansTable[], 0, MATCH(Q$2&amp;"_"&amp;$B7, ScansTable[#Headers], 0)), INDEX(ScansTable[], 0, MATCH(Q$2, ScansTable[#Headers], 0)), TRUE)</f>
        <v>0</v>
      </c>
    </row>
    <row r="8" spans="2:18" ht="15.75" x14ac:dyDescent="0.25">
      <c r="B8" s="46" t="s">
        <v>61</v>
      </c>
      <c r="C8" s="11">
        <f>IFERROR(AVERAGE(INDEX(ScansTable[], 0, MATCH(C$2&amp;"_"&amp;$B8, ScansTable[#Headers], 0))),0)</f>
        <v>0</v>
      </c>
      <c r="D8" s="12">
        <f>MAX(INDEX(ScansTable[], 0, MATCH(C$2&amp;"_"&amp;$B8, ScansTable[#Headers], 0)))</f>
        <v>0</v>
      </c>
      <c r="E8" s="11">
        <f>IFERROR(AVERAGEIFS(INDEX(ScansTable[], 0, MATCH(E$2&amp;"_"&amp;$B8, ScansTable[#Headers], 0)), INDEX(ScansTable[], 0, MATCH(E$2, ScansTable[#Headers], 0)), TRUE),0)</f>
        <v>0</v>
      </c>
      <c r="F8" s="12">
        <f>_xlfn.MAXIFS(INDEX(ScansTable[], 0, MATCH(E$2&amp;"_"&amp;$B8, ScansTable[#Headers], 0)), INDEX(ScansTable[], 0, MATCH(E$2, ScansTable[#Headers], 0)), TRUE)</f>
        <v>0</v>
      </c>
      <c r="G8" s="11">
        <f>IFERROR(AVERAGEIFS(INDEX(ScansTable[], 0, MATCH(G$2&amp;"_"&amp;$B8, ScansTable[#Headers], 0)), INDEX(ScansTable[], 0, MATCH(G$2, ScansTable[#Headers], 0)), TRUE),0)</f>
        <v>0</v>
      </c>
      <c r="H8" s="12">
        <f>_xlfn.MAXIFS(INDEX(ScansTable[], 0, MATCH(G$2&amp;"_"&amp;$B8, ScansTable[#Headers], 0)), INDEX(ScansTable[], 0, MATCH(G$2, ScansTable[#Headers], 0)), TRUE)</f>
        <v>0</v>
      </c>
      <c r="I8" s="11">
        <f>IFERROR(AVERAGEIFS(INDEX(ScansTable[], 0, MATCH(I$2&amp;"_"&amp;$B8, ScansTable[#Headers], 0)), INDEX(ScansTable[], 0, MATCH(G$2, ScansTable[#Headers], 0)), TRUE),0)</f>
        <v>0</v>
      </c>
      <c r="J8" s="12">
        <f>_xlfn.MAXIFS(INDEX(ScansTable[], 0, MATCH(I$2&amp;"_"&amp;$B8, ScansTable[#Headers], 0)), INDEX(ScansTable[], 0, MATCH(G$2, ScansTable[#Headers], 0)), TRUE)</f>
        <v>0</v>
      </c>
      <c r="K8" s="11">
        <f>IFERROR(AVERAGEIFS(INDEX(ScansTable[], 0, MATCH(K$2&amp;"_"&amp;$B8, ScansTable[#Headers], 0)), INDEX(ScansTable[], 0, MATCH(K$2, ScansTable[#Headers], 0)), TRUE),0)</f>
        <v>0</v>
      </c>
      <c r="L8" s="12">
        <f>_xlfn.MAXIFS(INDEX(ScansTable[], 0, MATCH(K$2&amp;"_"&amp;$B8, ScansTable[#Headers], 0)), INDEX(ScansTable[], 0, MATCH(K$2, ScansTable[#Headers], 0)), TRUE)</f>
        <v>0</v>
      </c>
      <c r="M8" s="11">
        <f>IFERROR(AVERAGEIFS(INDEX(ScansTable[], 0, MATCH(M$2&amp;"_"&amp;$B8, ScansTable[#Headers], 0)), INDEX(ScansTable[], 0, MATCH(M$2, ScansTable[#Headers], 0)), TRUE),0)</f>
        <v>0</v>
      </c>
      <c r="N8" s="12">
        <f>_xlfn.MAXIFS(INDEX(ScansTable[], 0, MATCH(M$2&amp;"_"&amp;$B8, ScansTable[#Headers], 0)), INDEX(ScansTable[], 0, MATCH(M$2, ScansTable[#Headers], 0)), TRUE)</f>
        <v>0</v>
      </c>
      <c r="O8" s="11">
        <f>IFERROR(AVERAGEIFS(INDEX(ScansTable[], 0, MATCH(O$2&amp;"_"&amp;$B8, ScansTable[#Headers], 0)), INDEX(ScansTable[], 0, MATCH(O$2, ScansTable[#Headers], 0)), TRUE),0)</f>
        <v>0</v>
      </c>
      <c r="P8" s="12">
        <f>_xlfn.MAXIFS(INDEX(ScansTable[], 0, MATCH(O$2&amp;"_"&amp;$B8, ScansTable[#Headers], 0)), INDEX(ScansTable[], 0, MATCH(O$2, ScansTable[#Headers], 0)), TRUE)</f>
        <v>0</v>
      </c>
      <c r="Q8" s="11">
        <f>IFERROR(AVERAGEIFS(INDEX(ScansTable[], 0, MATCH(Q$2&amp;"_"&amp;$B8, ScansTable[#Headers], 0)), INDEX(ScansTable[], 0, MATCH(Q$2, ScansTable[#Headers], 0)), TRUE),0)</f>
        <v>0</v>
      </c>
      <c r="R8" s="12">
        <f>_xlfn.MAXIFS(INDEX(ScansTable[], 0, MATCH(Q$2&amp;"_"&amp;$B8, ScansTable[#Headers], 0)), INDEX(ScansTable[], 0, MATCH(Q$2, ScansTable[#Headers], 0)), TRUE)</f>
        <v>0</v>
      </c>
    </row>
    <row r="9" spans="2:18" ht="16.5" thickBot="1" x14ac:dyDescent="0.3">
      <c r="B9" s="47" t="s">
        <v>158</v>
      </c>
      <c r="C9" s="13">
        <f>IFERROR(AVERAGE(INDEX(ScansTable[], 0, MATCH(C$2&amp;"_"&amp;$B9, ScansTable[#Headers], 0))),0)</f>
        <v>0</v>
      </c>
      <c r="D9" s="14">
        <f>MAX(INDEX(ScansTable[], 0, MATCH(C$2&amp;"_"&amp;$B9, ScansTable[#Headers], 0)))</f>
        <v>0</v>
      </c>
      <c r="E9" s="13">
        <f>IFERROR(AVERAGEIFS(INDEX(ScansTable[], 0, MATCH($E$2&amp;"_"&amp;$B9, ScansTable[#Headers], 0)), INDEX(ScansTable[], 0, MATCH(E$2, ScansTable[#Headers], 0)), TRUE),0)</f>
        <v>0</v>
      </c>
      <c r="F9" s="14">
        <f>_xlfn.MAXIFS(INDEX(ScansTable[], 0, MATCH(E$2&amp;"_"&amp;$B9, ScansTable[#Headers], 0)), INDEX(ScansTable[], 0, MATCH(E$2, ScansTable[#Headers], 0)), TRUE)</f>
        <v>0</v>
      </c>
      <c r="G9" s="13">
        <f>IFERROR(AVERAGEIFS(INDEX(ScansTable[], 0, MATCH($E$2&amp;"_"&amp;$B9, ScansTable[#Headers], 0)), INDEX(ScansTable[], 0, MATCH(G$2, ScansTable[#Headers], 0)), TRUE),0)</f>
        <v>0</v>
      </c>
      <c r="H9" s="14">
        <f>_xlfn.MAXIFS(INDEX(ScansTable[], 0, MATCH(G$2&amp;"_"&amp;$B9, ScansTable[#Headers], 0)), INDEX(ScansTable[], 0, MATCH(G$2, ScansTable[#Headers], 0)), TRUE)</f>
        <v>0</v>
      </c>
      <c r="I9" s="13">
        <f>IFERROR(AVERAGEIFS(INDEX(ScansTable[], 0, MATCH(I$2&amp;"_"&amp;$B9, ScansTable[#Headers], 0)), INDEX(ScansTable[], 0, MATCH(G$2, ScansTable[#Headers], 0)), TRUE),0)</f>
        <v>0</v>
      </c>
      <c r="J9" s="14">
        <f>_xlfn.MAXIFS(INDEX(ScansTable[], 0, MATCH(I$2&amp;"_"&amp;$B9, ScansTable[#Headers], 0)), INDEX(ScansTable[], 0, MATCH(G$2, ScansTable[#Headers], 0)), TRUE)</f>
        <v>0</v>
      </c>
      <c r="K9" s="13">
        <f>IFERROR(AVERAGEIFS(INDEX(ScansTable[], 0, MATCH($E$2&amp;"_"&amp;$B9, ScansTable[#Headers], 0)), INDEX(ScansTable[], 0, MATCH(K$2, ScansTable[#Headers], 0)), TRUE),0)</f>
        <v>0</v>
      </c>
      <c r="L9" s="14">
        <f>_xlfn.MAXIFS(INDEX(ScansTable[], 0, MATCH(K$2&amp;"_"&amp;$B9, ScansTable[#Headers], 0)), INDEX(ScansTable[], 0, MATCH(K$2, ScansTable[#Headers], 0)), TRUE)</f>
        <v>0</v>
      </c>
      <c r="M9" s="13">
        <f>IFERROR(AVERAGEIFS(INDEX(ScansTable[], 0, MATCH($E$2&amp;"_"&amp;$B9, ScansTable[#Headers], 0)), INDEX(ScansTable[], 0, MATCH(M$2, ScansTable[#Headers], 0)), TRUE),0)</f>
        <v>0</v>
      </c>
      <c r="N9" s="14">
        <f>_xlfn.MAXIFS(INDEX(ScansTable[], 0, MATCH(M$2&amp;"_"&amp;$B9, ScansTable[#Headers], 0)), INDEX(ScansTable[], 0, MATCH(M$2, ScansTable[#Headers], 0)), TRUE)</f>
        <v>0</v>
      </c>
      <c r="O9" s="13">
        <f>IFERROR(AVERAGEIFS(INDEX(ScansTable[], 0, MATCH($E$2&amp;"_"&amp;$B9, ScansTable[#Headers], 0)), INDEX(ScansTable[], 0, MATCH(O$2, ScansTable[#Headers], 0)), TRUE),0)</f>
        <v>0</v>
      </c>
      <c r="P9" s="14">
        <f>_xlfn.MAXIFS(INDEX(ScansTable[], 0, MATCH(O$2&amp;"_"&amp;$B9, ScansTable[#Headers], 0)), INDEX(ScansTable[], 0, MATCH(O$2, ScansTable[#Headers], 0)), TRUE)</f>
        <v>0</v>
      </c>
      <c r="Q9" s="13">
        <f>IFERROR(AVERAGEIFS(INDEX(ScansTable[], 0, MATCH($E$2&amp;"_"&amp;$B9, ScansTable[#Headers], 0)), INDEX(ScansTable[], 0, MATCH(Q$2, ScansTable[#Headers], 0)), TRUE),0)</f>
        <v>0</v>
      </c>
      <c r="R9" s="14">
        <f>_xlfn.MAXIFS(INDEX(ScansTable[], 0, MATCH(Q$2&amp;"_"&amp;$B9, ScansTable[#Headers], 0)), INDEX(ScansTable[], 0, MATCH(Q$2, ScansTable[#Headers], 0)), TRUE)</f>
        <v>0</v>
      </c>
    </row>
  </sheetData>
  <mergeCells count="8">
    <mergeCell ref="O2:P2"/>
    <mergeCell ref="Q2:R2"/>
    <mergeCell ref="I2:J2"/>
    <mergeCell ref="C2:D2"/>
    <mergeCell ref="E2:F2"/>
    <mergeCell ref="G2:H2"/>
    <mergeCell ref="K2:L2"/>
    <mergeCell ref="M2:N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596A2-BB49-4A69-B10E-E4C10446DAB9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5.5703125" bestFit="1" customWidth="1"/>
    <col min="2" max="2" width="18.85546875" bestFit="1" customWidth="1"/>
    <col min="3" max="3" width="13.85546875" bestFit="1" customWidth="1"/>
    <col min="4" max="4" width="12.42578125" bestFit="1" customWidth="1"/>
    <col min="5" max="5" width="12.7109375" bestFit="1" customWidth="1"/>
    <col min="6" max="6" width="12.140625" bestFit="1" customWidth="1"/>
    <col min="7" max="7" width="12.28515625" bestFit="1" customWidth="1"/>
    <col min="8" max="8" width="14.5703125" bestFit="1" customWidth="1"/>
    <col min="9" max="9" width="11.42578125" bestFit="1" customWidth="1"/>
    <col min="10" max="10" width="5.140625" bestFit="1" customWidth="1"/>
  </cols>
  <sheetData>
    <row r="1" spans="1:8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159</v>
      </c>
      <c r="H1" t="s">
        <v>160</v>
      </c>
    </row>
    <row r="2" spans="1:8" x14ac:dyDescent="0.25">
      <c r="D2" s="1"/>
      <c r="E2" s="1"/>
      <c r="F2" s="8"/>
      <c r="G2" s="8"/>
      <c r="H2" s="8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424C8-1E42-443C-A88B-5D7EB9B413E0}">
  <dimension ref="A1:H2"/>
  <sheetViews>
    <sheetView workbookViewId="0">
      <pane ySplit="1" topLeftCell="A2" activePane="bottomLeft" state="frozen"/>
      <selection pane="bottomLeft" sqref="A1:H2"/>
    </sheetView>
  </sheetViews>
  <sheetFormatPr defaultRowHeight="15" x14ac:dyDescent="0.25"/>
  <cols>
    <col min="1" max="1" width="11.7109375" bestFit="1" customWidth="1"/>
    <col min="2" max="2" width="15" bestFit="1" customWidth="1"/>
    <col min="3" max="3" width="12.42578125" bestFit="1" customWidth="1"/>
    <col min="4" max="4" width="12.7109375" bestFit="1" customWidth="1"/>
    <col min="5" max="5" width="13.7109375" bestFit="1" customWidth="1"/>
    <col min="6" max="6" width="8.7109375" bestFit="1" customWidth="1"/>
    <col min="7" max="7" width="12.140625" bestFit="1" customWidth="1"/>
    <col min="8" max="8" width="17" bestFit="1" customWidth="1"/>
  </cols>
  <sheetData>
    <row r="1" spans="1:8" x14ac:dyDescent="0.25">
      <c r="A1" t="s">
        <v>11</v>
      </c>
      <c r="B1" t="s">
        <v>12</v>
      </c>
      <c r="C1" t="s">
        <v>6</v>
      </c>
      <c r="D1" t="s">
        <v>7</v>
      </c>
      <c r="E1" t="s">
        <v>13</v>
      </c>
      <c r="F1" t="s">
        <v>14</v>
      </c>
      <c r="G1" t="s">
        <v>8</v>
      </c>
      <c r="H1" t="s">
        <v>15</v>
      </c>
    </row>
    <row r="2" spans="1:8" x14ac:dyDescent="0.25">
      <c r="C2" s="1"/>
      <c r="D2" s="1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C532-87EA-4F9B-A7DF-E4F1F17FC9D0}">
  <dimension ref="A1:BS9"/>
  <sheetViews>
    <sheetView zoomScaleNormal="100" workbookViewId="0">
      <pane ySplit="1" topLeftCell="A2" activePane="bottomLeft" state="frozen"/>
      <selection activeCell="AZ1" sqref="AZ1"/>
      <selection pane="bottomLeft" sqref="A1:BS2"/>
    </sheetView>
  </sheetViews>
  <sheetFormatPr defaultRowHeight="15" x14ac:dyDescent="0.25"/>
  <cols>
    <col min="1" max="1" width="9.5703125" bestFit="1" customWidth="1"/>
    <col min="2" max="2" width="11.42578125" bestFit="1" customWidth="1"/>
    <col min="3" max="3" width="15" bestFit="1" customWidth="1"/>
    <col min="4" max="4" width="9" bestFit="1" customWidth="1"/>
    <col min="5" max="5" width="9.42578125" bestFit="1" customWidth="1"/>
    <col min="6" max="6" width="6.42578125" bestFit="1" customWidth="1"/>
    <col min="7" max="7" width="12.42578125" bestFit="1" customWidth="1"/>
    <col min="8" max="8" width="11.85546875" bestFit="1" customWidth="1"/>
    <col min="9" max="9" width="11" bestFit="1" customWidth="1"/>
    <col min="10" max="10" width="17.7109375" bestFit="1" customWidth="1"/>
    <col min="11" max="11" width="11.85546875" bestFit="1" customWidth="1"/>
    <col min="12" max="12" width="11" bestFit="1" customWidth="1"/>
    <col min="13" max="14" width="10.42578125" bestFit="1" customWidth="1"/>
    <col min="15" max="15" width="13.85546875" bestFit="1" customWidth="1"/>
    <col min="16" max="16" width="15" bestFit="1" customWidth="1"/>
    <col min="17" max="17" width="7.140625" bestFit="1" customWidth="1"/>
    <col min="18" max="18" width="6.42578125" bestFit="1" customWidth="1"/>
    <col min="19" max="19" width="7" bestFit="1" customWidth="1"/>
    <col min="20" max="20" width="13.28515625" bestFit="1" customWidth="1"/>
    <col min="21" max="21" width="6.140625" bestFit="1" customWidth="1"/>
    <col min="22" max="22" width="8.140625" bestFit="1" customWidth="1"/>
    <col min="23" max="23" width="21.42578125" bestFit="1" customWidth="1"/>
    <col min="24" max="24" width="15.140625" bestFit="1" customWidth="1"/>
    <col min="25" max="25" width="12.7109375" bestFit="1" customWidth="1"/>
    <col min="26" max="26" width="16" bestFit="1" customWidth="1"/>
    <col min="27" max="27" width="12.140625" bestFit="1" customWidth="1"/>
    <col min="28" max="28" width="12.140625" customWidth="1"/>
    <col min="29" max="29" width="26.28515625" bestFit="1" customWidth="1"/>
    <col min="30" max="30" width="14.5703125" bestFit="1" customWidth="1"/>
    <col min="31" max="31" width="12.140625" bestFit="1" customWidth="1"/>
    <col min="32" max="32" width="15.42578125" bestFit="1" customWidth="1"/>
    <col min="33" max="34" width="11.5703125" bestFit="1" customWidth="1"/>
    <col min="35" max="35" width="26.140625" bestFit="1" customWidth="1"/>
    <col min="36" max="36" width="14.42578125" bestFit="1" customWidth="1"/>
    <col min="37" max="37" width="12" bestFit="1" customWidth="1"/>
    <col min="38" max="38" width="15.140625" bestFit="1" customWidth="1"/>
    <col min="39" max="40" width="11.42578125" bestFit="1" customWidth="1"/>
    <col min="41" max="41" width="25.5703125" bestFit="1" customWidth="1"/>
    <col min="42" max="42" width="13.85546875" bestFit="1" customWidth="1"/>
    <col min="43" max="43" width="11.42578125" bestFit="1" customWidth="1"/>
    <col min="44" max="44" width="14.5703125" bestFit="1" customWidth="1"/>
    <col min="45" max="46" width="10.85546875" bestFit="1" customWidth="1"/>
    <col min="47" max="47" width="30.85546875" bestFit="1" customWidth="1"/>
    <col min="48" max="48" width="19.140625" bestFit="1" customWidth="1"/>
    <col min="49" max="49" width="16.7109375" bestFit="1" customWidth="1"/>
    <col min="50" max="50" width="20" bestFit="1" customWidth="1"/>
    <col min="51" max="52" width="16.140625" bestFit="1" customWidth="1"/>
    <col min="53" max="53" width="25.28515625" bestFit="1" customWidth="1"/>
    <col min="54" max="54" width="13.5703125" bestFit="1" customWidth="1"/>
    <col min="55" max="55" width="11.140625" bestFit="1" customWidth="1"/>
    <col min="56" max="56" width="14.28515625" bestFit="1" customWidth="1"/>
    <col min="57" max="58" width="10.5703125" bestFit="1" customWidth="1"/>
    <col min="59" max="59" width="27.28515625" bestFit="1" customWidth="1"/>
    <col min="60" max="60" width="15.7109375" bestFit="1" customWidth="1"/>
    <col min="61" max="61" width="13.140625" bestFit="1" customWidth="1"/>
    <col min="62" max="62" width="16.42578125" bestFit="1" customWidth="1"/>
    <col min="63" max="64" width="12.5703125" bestFit="1" customWidth="1"/>
    <col min="65" max="65" width="32.7109375" bestFit="1" customWidth="1"/>
    <col min="66" max="66" width="21" bestFit="1" customWidth="1"/>
    <col min="67" max="67" width="18.42578125" bestFit="1" customWidth="1"/>
    <col min="68" max="68" width="21.7109375" bestFit="1" customWidth="1"/>
    <col min="69" max="70" width="17.85546875" bestFit="1" customWidth="1"/>
    <col min="71" max="71" width="20.42578125" bestFit="1" customWidth="1"/>
    <col min="72" max="72" width="32.7109375" bestFit="1" customWidth="1"/>
    <col min="73" max="73" width="21" bestFit="1" customWidth="1"/>
    <col min="74" max="74" width="18.42578125" bestFit="1" customWidth="1"/>
    <col min="75" max="75" width="21.7109375" bestFit="1" customWidth="1"/>
    <col min="76" max="78" width="17.85546875" bestFit="1" customWidth="1"/>
    <col min="79" max="80" width="18.42578125" bestFit="1" customWidth="1"/>
    <col min="81" max="82" width="12.140625" bestFit="1" customWidth="1"/>
  </cols>
  <sheetData>
    <row r="1" spans="1:71" x14ac:dyDescent="0.25">
      <c r="A1" t="s">
        <v>23</v>
      </c>
      <c r="B1" t="s">
        <v>24</v>
      </c>
      <c r="C1" t="s">
        <v>12</v>
      </c>
      <c r="D1" t="s">
        <v>25</v>
      </c>
      <c r="E1" t="s">
        <v>26</v>
      </c>
      <c r="F1" t="s">
        <v>27</v>
      </c>
      <c r="G1" t="s">
        <v>6</v>
      </c>
      <c r="H1" t="s">
        <v>49</v>
      </c>
      <c r="I1" t="s">
        <v>50</v>
      </c>
      <c r="J1" t="s">
        <v>70</v>
      </c>
      <c r="K1" t="s">
        <v>91</v>
      </c>
      <c r="L1" t="s">
        <v>51</v>
      </c>
      <c r="M1" t="s">
        <v>28</v>
      </c>
      <c r="N1" t="s">
        <v>113</v>
      </c>
      <c r="O1" t="s">
        <v>52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34</v>
      </c>
      <c r="V1" t="s">
        <v>191</v>
      </c>
      <c r="W1" t="s">
        <v>43</v>
      </c>
      <c r="X1" t="s">
        <v>44</v>
      </c>
      <c r="Y1" t="s">
        <v>45</v>
      </c>
      <c r="Z1" t="s">
        <v>46</v>
      </c>
      <c r="AA1" t="s">
        <v>47</v>
      </c>
      <c r="AB1" t="s">
        <v>48</v>
      </c>
      <c r="AC1" t="s">
        <v>114</v>
      </c>
      <c r="AD1" t="s">
        <v>115</v>
      </c>
      <c r="AE1" t="s">
        <v>116</v>
      </c>
      <c r="AF1" t="s">
        <v>117</v>
      </c>
      <c r="AG1" t="s">
        <v>118</v>
      </c>
      <c r="AH1" t="s">
        <v>119</v>
      </c>
      <c r="AI1" t="s">
        <v>120</v>
      </c>
      <c r="AJ1" t="s">
        <v>121</v>
      </c>
      <c r="AK1" t="s">
        <v>122</v>
      </c>
      <c r="AL1" t="s">
        <v>123</v>
      </c>
      <c r="AM1" t="s">
        <v>124</v>
      </c>
      <c r="AN1" t="s">
        <v>125</v>
      </c>
      <c r="AO1" t="s">
        <v>126</v>
      </c>
      <c r="AP1" t="s">
        <v>127</v>
      </c>
      <c r="AQ1" t="s">
        <v>128</v>
      </c>
      <c r="AR1" t="s">
        <v>129</v>
      </c>
      <c r="AS1" t="s">
        <v>130</v>
      </c>
      <c r="AT1" t="s">
        <v>131</v>
      </c>
      <c r="AU1" t="s">
        <v>132</v>
      </c>
      <c r="AV1" t="s">
        <v>133</v>
      </c>
      <c r="AW1" t="s">
        <v>134</v>
      </c>
      <c r="AX1" t="s">
        <v>135</v>
      </c>
      <c r="AY1" t="s">
        <v>136</v>
      </c>
      <c r="AZ1" t="s">
        <v>137</v>
      </c>
      <c r="BA1" t="s">
        <v>138</v>
      </c>
      <c r="BB1" t="s">
        <v>139</v>
      </c>
      <c r="BC1" t="s">
        <v>140</v>
      </c>
      <c r="BD1" t="s">
        <v>141</v>
      </c>
      <c r="BE1" t="s">
        <v>142</v>
      </c>
      <c r="BF1" t="s">
        <v>143</v>
      </c>
      <c r="BG1" t="s">
        <v>192</v>
      </c>
      <c r="BH1" t="s">
        <v>193</v>
      </c>
      <c r="BI1" t="s">
        <v>194</v>
      </c>
      <c r="BJ1" t="s">
        <v>195</v>
      </c>
      <c r="BK1" t="s">
        <v>196</v>
      </c>
      <c r="BL1" t="s">
        <v>197</v>
      </c>
      <c r="BM1" t="s">
        <v>144</v>
      </c>
      <c r="BN1" t="s">
        <v>145</v>
      </c>
      <c r="BO1" t="s">
        <v>146</v>
      </c>
      <c r="BP1" t="s">
        <v>147</v>
      </c>
      <c r="BQ1" t="s">
        <v>148</v>
      </c>
      <c r="BR1" t="s">
        <v>149</v>
      </c>
      <c r="BS1" t="s">
        <v>203</v>
      </c>
    </row>
    <row r="2" spans="1:71" x14ac:dyDescent="0.25">
      <c r="G2" s="1"/>
      <c r="H2" s="1"/>
      <c r="I2" s="1"/>
      <c r="L2" s="2"/>
    </row>
    <row r="8" spans="1:71" x14ac:dyDescent="0.25">
      <c r="B8" s="3"/>
    </row>
    <row r="9" spans="1:71" x14ac:dyDescent="0.25">
      <c r="B9" s="3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4BA8-B9C0-4536-9156-6F434595572E}">
  <dimension ref="A1:B5"/>
  <sheetViews>
    <sheetView workbookViewId="0">
      <selection activeCell="B8" sqref="B8"/>
    </sheetView>
  </sheetViews>
  <sheetFormatPr defaultRowHeight="15" x14ac:dyDescent="0.25"/>
  <cols>
    <col min="2" max="2" width="106.42578125" bestFit="1" customWidth="1"/>
  </cols>
  <sheetData>
    <row r="1" spans="1:2" x14ac:dyDescent="0.25">
      <c r="A1" t="s">
        <v>185</v>
      </c>
      <c r="B1" t="s">
        <v>198</v>
      </c>
    </row>
    <row r="2" spans="1:2" x14ac:dyDescent="0.25">
      <c r="A2" s="112">
        <v>1</v>
      </c>
      <c r="B2" t="s">
        <v>199</v>
      </c>
    </row>
    <row r="3" spans="1:2" x14ac:dyDescent="0.25">
      <c r="A3">
        <v>1.01</v>
      </c>
      <c r="B3" t="s">
        <v>200</v>
      </c>
    </row>
    <row r="4" spans="1:2" x14ac:dyDescent="0.25">
      <c r="A4">
        <v>1.02</v>
      </c>
      <c r="B4" t="s">
        <v>202</v>
      </c>
    </row>
    <row r="5" spans="1:2" x14ac:dyDescent="0.25">
      <c r="A5">
        <v>1.03</v>
      </c>
      <c r="B5" t="s">
        <v>204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4C7B-B996-4E57-91EA-3AA3F5A5422D}">
  <dimension ref="A1:C138"/>
  <sheetViews>
    <sheetView workbookViewId="0">
      <selection activeCell="H11" sqref="H11"/>
    </sheetView>
  </sheetViews>
  <sheetFormatPr defaultRowHeight="15" x14ac:dyDescent="0.25"/>
  <cols>
    <col min="1" max="1" width="11.85546875" style="97" bestFit="1" customWidth="1"/>
    <col min="2" max="2" width="6.5703125" bestFit="1" customWidth="1"/>
    <col min="3" max="3" width="4.85546875" bestFit="1" customWidth="1"/>
  </cols>
  <sheetData>
    <row r="1" spans="1:3" x14ac:dyDescent="0.25">
      <c r="A1" s="133" t="s">
        <v>91</v>
      </c>
      <c r="B1" s="101" t="s">
        <v>41</v>
      </c>
      <c r="C1" s="101" t="s">
        <v>94</v>
      </c>
    </row>
    <row r="2" spans="1:3" x14ac:dyDescent="0.25">
      <c r="A2"/>
    </row>
    <row r="3" spans="1:3" x14ac:dyDescent="0.25">
      <c r="A3"/>
    </row>
    <row r="4" spans="1:3" x14ac:dyDescent="0.25">
      <c r="A4"/>
    </row>
    <row r="5" spans="1:3" x14ac:dyDescent="0.25">
      <c r="A5"/>
    </row>
    <row r="6" spans="1:3" x14ac:dyDescent="0.25">
      <c r="A6"/>
    </row>
    <row r="7" spans="1:3" x14ac:dyDescent="0.25">
      <c r="A7"/>
    </row>
    <row r="8" spans="1:3" x14ac:dyDescent="0.25">
      <c r="A8"/>
    </row>
    <row r="9" spans="1:3" x14ac:dyDescent="0.25">
      <c r="A9"/>
    </row>
    <row r="10" spans="1:3" x14ac:dyDescent="0.25">
      <c r="A10"/>
    </row>
    <row r="11" spans="1:3" x14ac:dyDescent="0.25">
      <c r="A11"/>
    </row>
    <row r="12" spans="1:3" x14ac:dyDescent="0.25">
      <c r="A12"/>
    </row>
    <row r="13" spans="1:3" x14ac:dyDescent="0.25">
      <c r="A13"/>
    </row>
    <row r="14" spans="1:3" x14ac:dyDescent="0.25">
      <c r="A14"/>
    </row>
    <row r="15" spans="1:3" x14ac:dyDescent="0.25">
      <c r="A15"/>
    </row>
    <row r="16" spans="1:3" x14ac:dyDescent="0.25">
      <c r="A16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</sheetData>
  <sortState xmlns:xlrd2="http://schemas.microsoft.com/office/spreadsheetml/2017/richdata2" ref="A1:C137">
    <sortCondition ref="B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49927123-2E37-45E8-B79F-364C654172CF}">
  <ds:schemaRefs/>
</ds:datastoreItem>
</file>

<file path=customXml/itemProps2.xml><?xml version="1.0" encoding="utf-8"?>
<ds:datastoreItem xmlns:ds="http://schemas.openxmlformats.org/officeDocument/2006/customXml" ds:itemID="{89BA68C2-7938-4F51-A437-35A58E932900}">
  <ds:schemaRefs/>
</ds:datastoreItem>
</file>

<file path=customXml/itemProps3.xml><?xml version="1.0" encoding="utf-8"?>
<ds:datastoreItem xmlns:ds="http://schemas.openxmlformats.org/officeDocument/2006/customXml" ds:itemID="{ABEA9613-9FC4-48ED-95A7-CC1FEA414A55}">
  <ds:schemaRefs/>
</ds:datastoreItem>
</file>

<file path=customXml/itemProps4.xml><?xml version="1.0" encoding="utf-8"?>
<ds:datastoreItem xmlns:ds="http://schemas.openxmlformats.org/officeDocument/2006/customXml" ds:itemID="{A795A5DA-DB3D-4805-B4A8-681C245DFF3C}">
  <ds:schemaRefs/>
</ds:datastoreItem>
</file>

<file path=customXml/itemProps5.xml><?xml version="1.0" encoding="utf-8"?>
<ds:datastoreItem xmlns:ds="http://schemas.openxmlformats.org/officeDocument/2006/customXml" ds:itemID="{BBBB60D9-D722-4C4F-8EFC-8C4063B5F380}">
  <ds:schemaRefs/>
</ds:datastoreItem>
</file>

<file path=customXml/itemProps6.xml><?xml version="1.0" encoding="utf-8"?>
<ds:datastoreItem xmlns:ds="http://schemas.openxmlformats.org/officeDocument/2006/customXml" ds:itemID="{A73F133E-C9AE-4294-84EC-FD6059AD4622}">
  <ds:schemaRefs/>
</ds:datastoreItem>
</file>

<file path=customXml/itemProps7.xml><?xml version="1.0" encoding="utf-8"?>
<ds:datastoreItem xmlns:ds="http://schemas.openxmlformats.org/officeDocument/2006/customXml" ds:itemID="{0A1C4646-4B60-45E3-86AA-C23E6388B9D5}">
  <ds:schemaRefs/>
</ds:datastoreItem>
</file>

<file path=customXml/itemProps8.xml><?xml version="1.0" encoding="utf-8"?>
<ds:datastoreItem xmlns:ds="http://schemas.openxmlformats.org/officeDocument/2006/customXml" ds:itemID="{18AB8D23-66A8-4143-9881-F52A65BBE38D}">
  <ds:schemaRefs/>
</ds:datastoreItem>
</file>

<file path=customXml/itemProps9.xml><?xml version="1.0" encoding="utf-8"?>
<ds:datastoreItem xmlns:ds="http://schemas.openxmlformats.org/officeDocument/2006/customXml" ds:itemID="{35D20315-4040-47F3-8787-34EBBE57EA23}">
  <ds:schemaRefs/>
</ds:datastoreItem>
</file>

<file path=customXml/itemProps10.xml><?xml version="1.0" encoding="utf-8"?>
<ds:datastoreItem xmlns:ds="http://schemas.openxmlformats.org/officeDocument/2006/customXml" ds:itemID="{486A53C1-426C-4802-98F1-2120BCEE9F00}">
  <ds:schemaRefs/>
</ds:datastoreItem>
</file>

<file path=customXml/itemProps11.xml><?xml version="1.0" encoding="utf-8"?>
<ds:datastoreItem xmlns:ds="http://schemas.openxmlformats.org/officeDocument/2006/customXml" ds:itemID="{C29F687A-D469-43E4-AB7B-AACE11D88096}">
  <ds:schemaRefs/>
</ds:datastoreItem>
</file>

<file path=customXml/itemProps12.xml><?xml version="1.0" encoding="utf-8"?>
<ds:datastoreItem xmlns:ds="http://schemas.openxmlformats.org/officeDocument/2006/customXml" ds:itemID="{C62F7074-6450-4E9A-BC4A-62EBBD15C289}">
  <ds:schemaRefs/>
</ds:datastoreItem>
</file>

<file path=customXml/itemProps13.xml><?xml version="1.0" encoding="utf-8"?>
<ds:datastoreItem xmlns:ds="http://schemas.openxmlformats.org/officeDocument/2006/customXml" ds:itemID="{739A007D-EE8B-4B76-BA40-564B132044D7}">
  <ds:schemaRefs/>
</ds:datastoreItem>
</file>

<file path=customXml/itemProps14.xml><?xml version="1.0" encoding="utf-8"?>
<ds:datastoreItem xmlns:ds="http://schemas.openxmlformats.org/officeDocument/2006/customXml" ds:itemID="{31571B3B-350A-41CF-9A2F-B93F7490092D}">
  <ds:schemaRefs/>
</ds:datastoreItem>
</file>

<file path=customXml/itemProps15.xml><?xml version="1.0" encoding="utf-8"?>
<ds:datastoreItem xmlns:ds="http://schemas.openxmlformats.org/officeDocument/2006/customXml" ds:itemID="{E7E5C7C8-1F32-4CC4-A24A-B5C1F13608F3}">
  <ds:schemaRefs/>
</ds:datastoreItem>
</file>

<file path=customXml/itemProps16.xml><?xml version="1.0" encoding="utf-8"?>
<ds:datastoreItem xmlns:ds="http://schemas.openxmlformats.org/officeDocument/2006/customXml" ds:itemID="{9177584A-2A43-4460-9D04-369E22B5404E}">
  <ds:schemaRefs/>
</ds:datastoreItem>
</file>

<file path=customXml/itemProps17.xml><?xml version="1.0" encoding="utf-8"?>
<ds:datastoreItem xmlns:ds="http://schemas.openxmlformats.org/officeDocument/2006/customXml" ds:itemID="{A7CA9EEC-2D12-4191-9EA6-96E1B6256725}">
  <ds:schemaRefs/>
</ds:datastoreItem>
</file>

<file path=customXml/itemProps18.xml><?xml version="1.0" encoding="utf-8"?>
<ds:datastoreItem xmlns:ds="http://schemas.openxmlformats.org/officeDocument/2006/customXml" ds:itemID="{5E736E07-E640-4DB5-A51E-64C228BA5852}">
  <ds:schemaRefs/>
</ds:datastoreItem>
</file>

<file path=customXml/itemProps19.xml><?xml version="1.0" encoding="utf-8"?>
<ds:datastoreItem xmlns:ds="http://schemas.openxmlformats.org/officeDocument/2006/customXml" ds:itemID="{DEAC6858-95FB-46F8-BEEF-68E51FCE160D}">
  <ds:schemaRefs/>
</ds:datastoreItem>
</file>

<file path=customXml/itemProps20.xml><?xml version="1.0" encoding="utf-8"?>
<ds:datastoreItem xmlns:ds="http://schemas.openxmlformats.org/officeDocument/2006/customXml" ds:itemID="{7D9F4C69-410A-4146-8E25-69FBC5407FE8}">
  <ds:schemaRefs/>
</ds:datastoreItem>
</file>

<file path=customXml/itemProps21.xml><?xml version="1.0" encoding="utf-8"?>
<ds:datastoreItem xmlns:ds="http://schemas.openxmlformats.org/officeDocument/2006/customXml" ds:itemID="{E31DFFCB-57BB-4F39-A19B-99E757DE37CD}">
  <ds:schemaRefs>
    <ds:schemaRef ds:uri="http://schemas.microsoft.com/DataMashup"/>
  </ds:schemaRefs>
</ds:datastoreItem>
</file>

<file path=customXml/itemProps22.xml><?xml version="1.0" encoding="utf-8"?>
<ds:datastoreItem xmlns:ds="http://schemas.openxmlformats.org/officeDocument/2006/customXml" ds:itemID="{A3AB9660-4CE3-445C-90B9-3E7AE836A8BA}">
  <ds:schemaRefs/>
</ds:datastoreItem>
</file>

<file path=customXml/itemProps23.xml><?xml version="1.0" encoding="utf-8"?>
<ds:datastoreItem xmlns:ds="http://schemas.openxmlformats.org/officeDocument/2006/customXml" ds:itemID="{CBCDC119-DB1A-49BB-BDCE-77DCF8AF489C}">
  <ds:schemaRefs/>
</ds:datastoreItem>
</file>

<file path=customXml/itemProps24.xml><?xml version="1.0" encoding="utf-8"?>
<ds:datastoreItem xmlns:ds="http://schemas.openxmlformats.org/officeDocument/2006/customXml" ds:itemID="{1B34C23C-1EF9-4251-A5D2-C60EFE6D9AE6}">
  <ds:schemaRefs/>
</ds:datastoreItem>
</file>

<file path=customXml/itemProps25.xml><?xml version="1.0" encoding="utf-8"?>
<ds:datastoreItem xmlns:ds="http://schemas.openxmlformats.org/officeDocument/2006/customXml" ds:itemID="{D397FF88-5F5E-4078-9013-97817D6A9AAF}">
  <ds:schemaRefs/>
</ds:datastoreItem>
</file>

<file path=customXml/itemProps26.xml><?xml version="1.0" encoding="utf-8"?>
<ds:datastoreItem xmlns:ds="http://schemas.openxmlformats.org/officeDocument/2006/customXml" ds:itemID="{B4290653-4A60-4DCC-84D6-DAEDE8606E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9</vt:i4>
      </vt:variant>
    </vt:vector>
  </HeadingPairs>
  <TitlesOfParts>
    <vt:vector size="20" baseType="lpstr">
      <vt:lpstr>About</vt:lpstr>
      <vt:lpstr>Summary</vt:lpstr>
      <vt:lpstr>Avg Scan Time</vt:lpstr>
      <vt:lpstr>ScanCharts</vt:lpstr>
      <vt:lpstr>Engines</vt:lpstr>
      <vt:lpstr>Vulnerabilities</vt:lpstr>
      <vt:lpstr>Applications</vt:lpstr>
      <vt:lpstr>Projects</vt:lpstr>
      <vt:lpstr>Scans</vt:lpstr>
      <vt:lpstr>Change Management</vt:lpstr>
      <vt:lpstr>Lookups</vt:lpstr>
      <vt:lpstr>APPLICATIONS</vt:lpstr>
      <vt:lpstr>COUNTS</vt:lpstr>
      <vt:lpstr>DATA_PATH</vt:lpstr>
      <vt:lpstr>EndDate</vt:lpstr>
      <vt:lpstr>GENERAL</vt:lpstr>
      <vt:lpstr>PROJECTS</vt:lpstr>
      <vt:lpstr>SCANS</vt:lpstr>
      <vt:lpstr>StartDate</vt:lpstr>
      <vt:lpstr>STATUSES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Fowler</dc:creator>
  <cp:lastModifiedBy>Michael Fowler</cp:lastModifiedBy>
  <dcterms:created xsi:type="dcterms:W3CDTF">2025-03-10T01:27:07Z</dcterms:created>
  <dcterms:modified xsi:type="dcterms:W3CDTF">2026-06-25T00:08:09Z</dcterms:modified>
</cp:coreProperties>
</file>