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CXOne Report/"/>
    </mc:Choice>
  </mc:AlternateContent>
  <xr:revisionPtr revIDLastSave="2672" documentId="10_ncr:20000_{88B34991-1F1D-4D77-AE99-5C740012A695}" xr6:coauthVersionLast="47" xr6:coauthVersionMax="47" xr10:uidLastSave="{6CBC4C35-63C4-479B-A4BA-CEA0D0D8EFBC}"/>
  <bookViews>
    <workbookView xWindow="-120" yWindow="-120" windowWidth="38640" windowHeight="2184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Change Management" sheetId="19" state="hidden" r:id="rId10"/>
    <sheet name="Lookups" sheetId="10" state="hidden" r:id="rId11"/>
  </sheets>
  <definedNames>
    <definedName name="_xlnm._FilterDatabase" localSheetId="8" hidden="1">Scans!$BD$9:$BE$9</definedName>
    <definedName name="_xlcn.WorksheetConnection_CxOneReport.xlsxApplicationsTable1" hidden="1">ApplicationsTable[]</definedName>
    <definedName name="APPLICATIONS">About!$D$9</definedName>
    <definedName name="COUNTS">About!$D$12</definedName>
    <definedName name="DATA_PATH">About!$D$7</definedName>
    <definedName name="EndDate">Summary!$C$4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Summary!$B$2:$C$10</definedName>
    <definedName name="ExternalData_2" localSheetId="0" hidden="1">About!$C$6:$F$13</definedName>
    <definedName name="ExternalData_2" localSheetId="8" hidden="1">Scans!$A$1:$BR$2</definedName>
    <definedName name="GENERAL">About!$D$8</definedName>
    <definedName name="PROJECTS">About!$D$10</definedName>
    <definedName name="SCANS">About!$D$11</definedName>
    <definedName name="StartDate">Summary!$C$3</definedName>
    <definedName name="STATUSES">About!$D$13</definedName>
  </definedNames>
  <calcPr calcId="191029"/>
  <pivotCaches>
    <pivotCache cacheId="115" r:id="rId12"/>
    <pivotCache cacheId="116" r:id="rId13"/>
    <pivotCache cacheId="117" r:id="rId14"/>
    <pivotCache cacheId="118" r:id="rId15"/>
    <pivotCache cacheId="119" r:id="rId16"/>
    <pivotCache cacheId="120" r:id="rId17"/>
    <pivotCache cacheId="121" r:id="rId18"/>
  </pivotCaches>
  <extLst>
    <ext xmlns:x15="http://schemas.microsoft.com/office/spreadsheetml/2010/11/main" uri="{841E416B-1EF1-43b6-AB56-02D37102CBD5}">
      <x15:pivotCaches>
        <pivotCache cacheId="122" r:id="rId19"/>
        <pivotCache cacheId="123" r:id="rId20"/>
        <pivotCache cacheId="124" r:id="rId21"/>
        <pivotCache cacheId="125" r:id="rId22"/>
        <pivotCache cacheId="126" r:id="rId23"/>
        <pivotCache cacheId="127" r:id="rId24"/>
      </x15:pivotCaches>
    </ext>
    <ext xmlns:x15="http://schemas.microsoft.com/office/spreadsheetml/2010/11/main" uri="{983426D0-5260-488c-9760-48F4B6AC55F4}">
      <x15:pivotTableReferences>
        <x15:pivotTableReference r:id="rId25"/>
        <x15:pivotTableReference r:id="rId26"/>
        <x15:pivotTableReference r:id="rId27"/>
        <x15:pivotTableReference r:id="rId28"/>
        <x15:pivotTableReference r:id="rId29"/>
        <x15:pivotTableReference r:id="rId3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N3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4" i="7" s="1"/>
  <c r="O21" i="7"/>
  <c r="O20" i="7"/>
  <c r="O17" i="7"/>
  <c r="O16" i="7"/>
  <c r="O15" i="7"/>
  <c r="O14" i="7"/>
  <c r="O13" i="7"/>
  <c r="O12" i="7"/>
  <c r="V5" i="7" l="1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5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>
          <x15:oledbPr connection="Provider=Microsoft.Mashup.OleDb.1;Data Source=$Workbook$;Location=Applications;Extended Properties=&quot;&quot;">
            <x15:dbTables>
              <x15:dbTable name="Applications"/>
            </x15:dbTables>
          </x15:oledbPr>
        </x15:connection>
      </ext>
    </extLst>
  </connection>
  <connection id="6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>
          <x15:oledbPr connection="Provider=Microsoft.Mashup.OleDb.1;Data Source=$Workbook$;Location=Applications-Projects;Extended Properties=&quot;&quot;">
            <x15:dbTables>
              <x15:dbTable name="Applications-Projects"/>
            </x15:dbTables>
          </x15:oledbPr>
        </x15:connection>
      </ext>
    </extLst>
  </connection>
  <connection id="7" xr16:uid="{0AC6E69C-5818-4770-9AAA-65632C8AFC2A}" keepAlive="1" name="Query - Counts" description="Connection to the 'Counts' query in the workbook." type="5" refreshedVersion="0" background="1">
    <dbPr connection="Provider=Microsoft.Mashup.OleDb.1;Data Source=$Workbook$;Location=Counts;Extended Properties=&quot;&quot;" command="SELECT * FROM [Counts]"/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>
          <x15:oledbPr connection="Provider=Microsoft.Mashup.OleDb.1;Data Source=$Workbook$;Location=DateTable;Extended Properties=&quot;&quot;">
            <x15:dbTables>
              <x15:dbTable name="DateTable"/>
            </x15:dbTables>
          </x15:oledbPr>
        </x15:connection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>
          <x15:oledbPr connection="Provider=Microsoft.Mashup.OleDb.1;Data Source=$Workbook$;Location=Projects;Extended Properties=&quot;&quot;">
            <x15:dbTables>
              <x15:dbTable name="Projects"/>
            </x15:dbTables>
          </x15:oledbPr>
        </x15:connection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>
          <x15:oledbPr connection="Provider=Microsoft.Mashup.OleDb.1;Data Source=$Workbook$;Location=Projects-Branches;Extended Properties=&quot;&quot;">
            <x15:dbTables>
              <x15:dbTable name="Projects-Branches"/>
            </x15:dbTables>
          </x15:oledbPr>
        </x15:connection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>
          <x15:oledbPr connection="Provider=Microsoft.Mashup.OleDb.1;Data Source=$Workbook$;Location=Scans;Extended Properties=&quot;&quot;">
            <x15:dbTables>
              <x15:dbTable name="Scans"/>
            </x15:dbTables>
          </x15:oledbPr>
        </x15:connection>
      </ext>
    </extLst>
  </connection>
  <connection id="13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>
          <x15:oledbPr connection="Provider=Microsoft.Mashup.OleDb.1;Data Source=$Workbook$;Location=Statuses;Extended Properties=&quot;&quot;">
            <x15:dbTables>
              <x15:dbTable name="Statuses"/>
            </x15:dbTables>
          </x15:oledbPr>
        </x15:connection>
      </ext>
    </extLst>
  </connection>
  <connection id="14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<sst xmlns="http://schemas.openxmlformats.org/spreadsheetml/2006/main" count="292" uniqueCount="207">
  <si>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</si>
  <si>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</si>
  <si>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</si>
  <si>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</si>
  <si>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</si>
  <si>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</si>
  <si>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</si>
  <si>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</si>
  <si>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</si>
  <si>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</si>
  <si>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</si>
  <si>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</si>
  <si>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</si>
  <si>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</si>
  <si>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</si>
  <si>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</si>
  <si>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</si>
  <si>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</si>
  <si>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</si>
  <si>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</si>
  <si>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COUNTS</t>
  </si>
  <si>
    <t>scans.csv</t>
  </si>
  <si>
    <t>counts.csv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</si>
  <si>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</si>
  <si>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</si>
  <si>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</si>
  <si>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</si>
  <si>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</si>
  <si>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</si>
  <si>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</si>
  <si>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</si>
  <si>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</si>
  <si>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</si>
  <si>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</si>
  <si>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</si>
  <si>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</si>
  <si>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</si>
  <si>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</si>
  <si>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</si>
  <si>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</si>
  <si>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</si>
  <si>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</si>
  <si>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</si>
  <si>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</si>
  <si>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</si>
  <si>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</si>
  <si>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</si>
  <si>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</si>
  <si>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</si>
  <si>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</si>
  <si>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</si>
  <si>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</si>
  <si>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</si>
  <si>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</si>
  <si>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</si>
  <si>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</si>
  <si>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</si>
  <si>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</si>
  <si>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</si>
  <si>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</si>
  <si>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</si>
  <si>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</si>
  <si>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</si>
  <si>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</si>
  <si>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</si>
  <si>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</si>
  <si>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</si>
  <si>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</si>
  <si>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</si>
  <si>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</si>
  <si>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</si>
  <si>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</si>
  <si>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</si>
  <si>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</si>
  <si>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Start Date</t>
  </si>
  <si>
    <t>End Date</t>
  </si>
  <si>
    <t>Days</t>
  </si>
  <si>
    <t>Weeks</t>
  </si>
  <si>
    <t>Avg Scans per Week</t>
  </si>
  <si>
    <t>Avg Scans per Day</t>
  </si>
  <si>
    <t>Avg Scans per Weekday</t>
  </si>
  <si>
    <t>Friday</t>
  </si>
  <si>
    <t>Wednesday</t>
  </si>
  <si>
    <t>Thursday</t>
  </si>
  <si>
    <t>Monday</t>
  </si>
  <si>
    <t>Tuesday</t>
  </si>
  <si>
    <t>Saturday</t>
  </si>
  <si>
    <t>Sunday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</si>
  <si>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</si>
  <si>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</si>
  <si>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</si>
  <si>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</si>
  <si>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</si>
  <si>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</si>
  <si>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</si>
  <si>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</si>
  <si>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</si>
  <si>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</si>
  <si>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</si>
  <si>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</si>
  <si>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</si>
  <si>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</si>
  <si>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</si>
  <si>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</si>
  <si>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</si>
  <si>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</si>
  <si>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</si>
  <si>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</si>
  <si>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</si>
  <si>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</si>
  <si>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</si>
  <si>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</si>
  <si>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</si>
  <si>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</si>
  <si>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</si>
  <si>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</si>
  <si>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</si>
  <si>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</si>
  <si>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</si>
  <si>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</si>
  <si>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</si>
  <si>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</si>
  <si>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</si>
  <si>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</si>
  <si>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</si>
  <si>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</si>
  <si>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</si>
  <si>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</si>
  <si>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</si>
  <si>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</si>
  <si>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</si>
  <si>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</si>
  <si>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</si>
  <si>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</si>
  <si>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</si>
  <si>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</si>
  <si>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</si>
  <si>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</si>
  <si>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</si>
  <si>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</si>
  <si>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</si>
  <si>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</si>
  <si>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</si>
  <si>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</si>
  <si>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</si>
  <si>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</si>
  <si>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</si>
  <si>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</si>
  <si>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</si>
  <si>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</si>
  <si>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</si>
  <si>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</si>
  <si>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</si>
  <si>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</si>
  <si>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</si>
  <si>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</si>
  <si>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</si>
  <si>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</si>
  <si>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</si>
  <si>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</si>
  <si>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</si>
  <si>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CxOne version</t>
  </si>
  <si>
    <t>SAST version</t>
  </si>
  <si>
    <t>CxIam version</t>
  </si>
  <si>
    <t>KICS version</t>
  </si>
  <si>
    <t>GENERAL</t>
  </si>
  <si>
    <t>general.csv</t>
  </si>
  <si>
    <t>Current Contributors</t>
  </si>
  <si>
    <t>Detail</t>
  </si>
  <si>
    <t>N/A</t>
  </si>
  <si>
    <t>Licenced Contributors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</si>
  <si>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</si>
  <si>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</si>
  <si>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</si>
  <si>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</si>
  <si>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</si>
  <si>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</si>
  <si>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</si>
  <si>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</si>
  <si>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</si>
  <si>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</si>
  <si>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</si>
  <si>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Counts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</si>
  <si>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</si>
  <si>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</si>
  <si>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</si>
  <si>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</si>
  <si>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</si>
  <si>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</si>
  <si>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</si>
  <si>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</si>
  <si>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</si>
  <si>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</si>
  <si>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</si>
  <si>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</si>
  <si>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</si>
  <si>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</si>
  <si>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</si>
  <si>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</si>
  <si>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</si>
  <si>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</si>
  <si>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</si>
  <si>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</si>
  <si>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</si>
  <si>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</si>
  <si>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/>
  </si>
  <si>
    <t>C:\Temp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</si>
</sst>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6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9" xfId="0" applyFill="1" applyBorder="1"/>
    <xf numFmtId="0" fontId="0" fillId="6" borderId="38" xfId="0" applyFill="1" applyBorder="1"/>
    <xf numFmtId="0" fontId="0" fillId="6" borderId="34" xfId="0" applyFill="1" applyBorder="1"/>
    <xf numFmtId="0" fontId="0" fillId="6" borderId="36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41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168" fontId="0" fillId="3" borderId="29" xfId="0" applyNumberFormat="1" applyFill="1" applyBorder="1" applyAlignment="1">
      <alignment horizontal="center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2" xfId="0" applyBorder="1"/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9" xfId="0" applyBorder="1"/>
    <xf numFmtId="0" fontId="0" fillId="0" borderId="9" xfId="0" pivotButton="1" applyBorder="1"/>
    <xf numFmtId="10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8" fillId="3" borderId="26" xfId="0" applyFont="1" applyFill="1" applyBorder="1"/>
    <xf numFmtId="0" fontId="0" fillId="3" borderId="0" xfId="0" applyFill="1" applyAlignment="1">
      <alignment horizontal="center"/>
    </xf>
    <xf numFmtId="0" fontId="0" fillId="3" borderId="43" xfId="0" applyFill="1" applyBorder="1"/>
    <xf numFmtId="0" fontId="2" fillId="3" borderId="12" xfId="0" applyFont="1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0" fillId="0" borderId="0" xfId="0" pivotButton="1"/>
    <xf numFmtId="0" fontId="0" fillId="3" borderId="12" xfId="0" applyFill="1" applyBorder="1" applyAlignment="1">
      <alignment horizontal="center"/>
    </xf>
    <xf numFmtId="0" fontId="0" fillId="3" borderId="12" xfId="0" applyFill="1" applyBorder="1" applyAlignment="1">
      <alignment horizontal="left"/>
    </xf>
    <xf numFmtId="3" fontId="0" fillId="3" borderId="9" xfId="0" applyNumberFormat="1" applyFill="1" applyBorder="1" applyAlignment="1">
      <alignment horizontal="center"/>
    </xf>
    <xf numFmtId="3" fontId="0" fillId="3" borderId="10" xfId="0" applyNumberFormat="1" applyFill="1" applyBorder="1" applyAlignment="1">
      <alignment horizontal="center"/>
    </xf>
    <xf numFmtId="3" fontId="0" fillId="3" borderId="1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9" fontId="0" fillId="3" borderId="11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9" xfId="0" applyFill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3" fillId="6" borderId="40" xfId="0" applyFont="1" applyFill="1" applyBorder="1" applyAlignment="1">
      <alignment horizontal="center" vertical="center"/>
    </xf>
    <xf numFmtId="0" fontId="0" fillId="0" borderId="32" xfId="0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5" fillId="2" borderId="26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315"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Table" Target="pivotTables/pivotTable2.xml"/><Relationship Id="rId39" Type="http://schemas.openxmlformats.org/officeDocument/2006/relationships/customXml" Target="../customXml/item3.xml"/><Relationship Id="rId21" Type="http://schemas.openxmlformats.org/officeDocument/2006/relationships/pivotCacheDefinition" Target="pivotCache/pivotCacheDefinition10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6.xml"/><Relationship Id="rId47" Type="http://schemas.openxmlformats.org/officeDocument/2006/relationships/customXml" Target="../customXml/item11.xml"/><Relationship Id="rId50" Type="http://schemas.openxmlformats.org/officeDocument/2006/relationships/customXml" Target="../customXml/item14.xml"/><Relationship Id="rId55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9" Type="http://schemas.openxmlformats.org/officeDocument/2006/relationships/pivotTable" Target="pivotTables/pivotTable5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45" Type="http://schemas.openxmlformats.org/officeDocument/2006/relationships/customXml" Target="../customXml/item9.xml"/><Relationship Id="rId53" Type="http://schemas.openxmlformats.org/officeDocument/2006/relationships/customXml" Target="../customXml/item17.xml"/><Relationship Id="rId58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5.xml"/><Relationship Id="rId19" Type="http://schemas.openxmlformats.org/officeDocument/2006/relationships/pivotCacheDefinition" Target="pivotCache/pivotCacheDefinition8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pivotTable" Target="pivotTables/pivotTable3.xml"/><Relationship Id="rId30" Type="http://schemas.openxmlformats.org/officeDocument/2006/relationships/pivotTable" Target="pivotTables/pivotTable6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7.xml"/><Relationship Id="rId48" Type="http://schemas.openxmlformats.org/officeDocument/2006/relationships/customXml" Target="../customXml/item12.xml"/><Relationship Id="rId56" Type="http://schemas.openxmlformats.org/officeDocument/2006/relationships/customXml" Target="../customXml/item20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Table" Target="pivotTables/pivotTable1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46" Type="http://schemas.openxmlformats.org/officeDocument/2006/relationships/customXml" Target="../customXml/item10.xml"/><Relationship Id="rId59" Type="http://schemas.openxmlformats.org/officeDocument/2006/relationships/customXml" Target="../customXml/item23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5.xml"/><Relationship Id="rId54" Type="http://schemas.openxmlformats.org/officeDocument/2006/relationships/customXml" Target="../customXml/item18.xml"/><Relationship Id="rId62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pivotTable" Target="pivotTables/pivotTable4.xml"/><Relationship Id="rId36" Type="http://schemas.openxmlformats.org/officeDocument/2006/relationships/calcChain" Target="calcChain.xml"/><Relationship Id="rId49" Type="http://schemas.openxmlformats.org/officeDocument/2006/relationships/customXml" Target="../customXml/item13.xml"/><Relationship Id="rId57" Type="http://schemas.openxmlformats.org/officeDocument/2006/relationships/customXml" Target="../customXml/item21.xml"/><Relationship Id="rId10" Type="http://schemas.openxmlformats.org/officeDocument/2006/relationships/worksheet" Target="worksheets/sheet10.xml"/><Relationship Id="rId31" Type="http://schemas.openxmlformats.org/officeDocument/2006/relationships/theme" Target="theme/theme1.xml"/><Relationship Id="rId44" Type="http://schemas.openxmlformats.org/officeDocument/2006/relationships/customXml" Target="../customXml/item8.xml"/><Relationship Id="rId52" Type="http://schemas.openxmlformats.org/officeDocument/2006/relationships/customXml" Target="../customXml/item16.xml"/><Relationship Id="rId60" Type="http://schemas.openxmlformats.org/officeDocument/2006/relationships/customXml" Target="../customXml/item2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9521216"/>
        <c:axId val="2079518816"/>
      </c:line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valAx>
        <c:axId val="207951881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Max Runtime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21216"/>
        <c:crosses val="max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catAx>
        <c:axId val="20795212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1881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198.416727199074" createdVersion="8" refreshedVersion="8" minRefreshableVersion="3" recordCount="1" xr:uid="{418B69AD-4F93-4D85-9002-6555A6FCA6B6}">
  <cacheSource type="worksheet">
    <worksheetSource name="ScansTable"/>
  </cacheSource>
  <cacheFields count="7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Partial" u="1"/>
        <s v="Failed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SourceType" numFmtId="0">
      <sharedItems containsNonDate="0" containsBlank="1" count="7">
        <m/>
        <s v="zip" u="1"/>
        <s v="azure" u="1"/>
        <s v="bitbucket" u="1"/>
        <s v="github" u="1"/>
        <s v="" u="1"/>
        <s v="gitlab" u="1"/>
      </sharedItems>
    </cacheField>
    <cacheField name="SourceOrigin" numFmtId="0">
      <sharedItems containsNonDate="0" containsString="0" containsBlank="1"/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396" count="58">
        <m/>
        <n v="4" u="1"/>
        <n v="14" u="1"/>
        <n v="0" u="1"/>
        <n v="1" u="1"/>
        <n v="19" u="1"/>
        <n v="2" u="1"/>
        <n v="9" u="1"/>
        <n v="13" u="1"/>
        <n v="10" u="1"/>
        <n v="5" u="1"/>
        <n v="12" u="1"/>
        <n v="18" u="1"/>
        <n v="7" u="1"/>
        <n v="11" u="1"/>
        <n v="8" u="1"/>
        <n v="182" u="1"/>
        <n v="57" u="1"/>
        <n v="105" u="1"/>
        <n v="225" u="1"/>
        <n v="30" u="1"/>
        <n v="95" u="1"/>
        <n v="6" u="1"/>
        <n v="15" u="1"/>
        <n v="213" u="1"/>
        <n v="208" u="1"/>
        <n v="244" u="1"/>
        <n v="396" u="1"/>
        <n v="24" u="1"/>
        <n v="34" u="1"/>
        <n v="60" u="1"/>
        <n v="17" u="1"/>
        <n v="25" u="1"/>
        <n v="165" u="1"/>
        <n v="252" u="1"/>
        <n v="3" u="1"/>
        <n v="16" u="1"/>
        <n v="174" u="1"/>
        <n v="56" u="1"/>
        <n v="321" u="1"/>
        <n v="32" u="1"/>
        <n v="33" u="1"/>
        <n v="49" u="1"/>
        <n v="35" u="1"/>
        <n v="218" u="1"/>
        <n v="38" u="1"/>
        <n v="21" u="1"/>
        <n v="20" u="1"/>
        <n v="52" u="1"/>
        <n v="40" u="1"/>
        <n v="62" u="1"/>
        <n v="58" u="1"/>
        <n v="37" u="1"/>
        <n v="22" u="1"/>
        <n v="36" u="1"/>
        <n v="319" u="1"/>
        <n v="334" u="1"/>
        <n v="156" u="1"/>
      </sharedItems>
      <fieldGroup par="7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/>
    </cacheField>
    <cacheField name="Sast_Total_Vulnerabilties2" numFmtId="0" databaseField="0">
      <fieldGroup base="28">
        <discretePr count="58">
          <x v="51"/>
          <x v="1"/>
          <x v="31"/>
          <x v="0"/>
          <x v="6"/>
          <x v="12"/>
          <x v="17"/>
          <x v="47"/>
          <x v="48"/>
          <x v="49"/>
          <x v="50"/>
          <x v="23"/>
          <x v="7"/>
          <x v="5"/>
          <x v="10"/>
          <x v="2"/>
          <x v="25"/>
          <x v="26"/>
          <x v="27"/>
          <x v="28"/>
          <x v="29"/>
          <x v="30"/>
          <x v="22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24"/>
          <x v="0"/>
          <x v="0"/>
          <x v="0"/>
          <x v="3"/>
          <x v="4"/>
          <x v="8"/>
          <x v="9"/>
          <x v="11"/>
          <x v="13"/>
          <x v="14"/>
          <x v="15"/>
          <x v="16"/>
          <x v="18"/>
          <x v="19"/>
          <x v="20"/>
          <x v="21"/>
          <x v="0"/>
          <x v="0"/>
          <x v="0"/>
        </discretePr>
        <groupItems count="52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0324071" backgroundQuery="1" createdVersion="8" refreshedVersion="8" minRefreshableVersion="3" recordCount="0" supportSubquery="1" supportAdvancedDrill="1" xr:uid="{B078EFA6-2990-4F51-9BB9-32BEBF281B68}">
  <cacheSource type="external" connectionId="14"/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  <cacheField name="[Statuses].[Status].[Status]" caption="Status" numFmtId="0" hierarchy="107" level="1">
      <sharedItems count="3">
        <s v="Canceled"/>
        <s v="Completed"/>
        <s v="Failed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1365741" backgroundQuery="1" createdVersion="8" refreshedVersion="8" minRefreshableVersion="3" recordCount="0" supportSubquery="1" supportAdvancedDrill="1" xr:uid="{5533FFC0-18D9-4EB3-9EB5-A502F00CE883}">
  <cacheSource type="external" connectionId="14"/>
  <cacheFields count="4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  <cacheField name="[Measures].[Min of Runtime]" caption="Min of Runtime" numFmtId="0" hierarchy="140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2847221" backgroundQuery="1" createdVersion="8" refreshedVersion="8" minRefreshableVersion="3" recordCount="0" supportSubquery="1" supportAdvancedDrill="1" xr:uid="{3BBE7F89-4E16-4603-AC20-6B26F8810FDA}">
  <cacheSource type="external" connectionId="14"/>
  <cacheFields count="3">
    <cacheField name="[Scans].[ScanDate].[ScanDate]" caption="ScanDate" numFmtId="0" hierarchy="45" level="1">
      <sharedItems count="84">
        <s v="1/01/2026"/>
        <s v="1/02/2026"/>
        <s v="1/03/2026"/>
        <s v="10/01/2026"/>
        <s v="10/02/2026"/>
        <s v="11/01/2026"/>
        <s v="11/02/2026"/>
        <s v="11/12/2025"/>
        <s v="12/01/2026"/>
        <s v="12/02/2026"/>
        <s v="13/01/2026"/>
        <s v="13/02/2026"/>
        <s v="14/01/2026"/>
        <s v="14/02/2026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6/01/2026"/>
        <s v="6/02/2026"/>
        <s v="7/01/2026"/>
        <s v="7/02/2026"/>
        <s v="8/01/2026"/>
        <s v="8/02/2026"/>
        <s v="8/12/2025"/>
        <s v="9/01/2026"/>
        <s v="9/02/2026"/>
        <s v="9/12/2025"/>
      </sharedItems>
    </cacheField>
    <cacheField name="[Measures].[Count of ScanID]" caption="Count of ScanID" numFmtId="0" hierarchy="134" level="32767"/>
    <cacheField name="[Measures].[Sum of Loc]" caption="Sum of Loc" numFmtId="0" hierarchy="15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4004629" backgroundQuery="1" createdVersion="8" refreshedVersion="8" minRefreshableVersion="3" recordCount="0" supportSubquery="1" supportAdvancedDrill="1" xr:uid="{A389C5AA-1F11-44E4-BCCE-5E82D712734F}">
  <cacheSource type="external" connectionId="14"/>
  <cacheFields count="3"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unt of ScanID]" caption="Count of ScanID" numFmtId="0" hierarchy="134" level="32767"/>
    <cacheField name="Unsupported0" numFmtId="0" hierarchy="161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6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679861109" backgroundQuery="1" createdVersion="8" refreshedVersion="8" minRefreshableVersion="3" recordCount="0" supportSubquery="1" supportAdvancedDrill="1" xr:uid="{E3FA3C9E-EB9F-416F-AF6D-7CFC1D5B57C8}">
  <cacheSource type="external" connectionId="14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13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681250002" backgroundQuery="1" createdVersion="8" refreshedVersion="8" minRefreshableVersion="3" recordCount="0" supportSubquery="1" supportAdvancedDrill="1" xr:uid="{8DE96FC1-F017-4D26-B662-FC8072EE612F}">
  <cacheSource type="external" connectionId="14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28" level="32767"/>
    <cacheField name="[Measures].[Count of ApplicationID]" caption="Count of ApplicationID" numFmtId="0" hierarchy="129" level="32767"/>
    <cacheField name="[Measures].[Count of ScanID]" caption="Count of ScanID" numFmtId="0" hierarchy="134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3796296" backgroundQuery="1" createdVersion="8" refreshedVersion="8" minRefreshableVersion="3" recordCount="0" supportSubquery="1" supportAdvancedDrill="1" xr:uid="{095B9946-F4F4-40FD-AC8A-B837FFEDA7C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07" level="1">
      <sharedItems count="3">
        <s v="Canceled"/>
        <s v="Completed"/>
        <s v="Failed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4953705" backgroundQuery="1" createdVersion="8" refreshedVersion="8" minRefreshableVersion="3" recordCount="0" supportSubquery="1" supportAdvancedDrill="1" xr:uid="{CD380659-5E17-476B-89F8-23E2067FFDB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EngineName]" caption="Count of EngineName" numFmtId="0" hierarchy="141" level="32767"/>
    <cacheField name="[Statuses].[StartDate (Month)].[StartDate (Month)]" caption="StartDate (Month)" numFmtId="0" hierarchy="117" level="1">
      <sharedItems count="4">
        <s v="Dec"/>
        <s v="Jan"/>
        <s v="Feb"/>
        <s v="Mar"/>
      </sharedItems>
    </cacheField>
    <cacheField name="[Statuses].[StartDate (Year)].[StartDate (Year)]" caption="StartDate (Year)" numFmtId="0" hierarchy="115" level="1">
      <sharedItems count="2">
        <s v="2025"/>
        <s v="2026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5995367" backgroundQuery="1" createdVersion="8" refreshedVersion="8" minRefreshableVersion="3" recordCount="0" supportSubquery="1" supportAdvancedDrill="1" xr:uid="{3B8DFBE9-F6C5-4F4F-9241-E8B57AC42E27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09259257" backgroundQuery="1" createdVersion="8" refreshedVersion="8" minRefreshableVersion="3" recordCount="0" supportSubquery="1" supportAdvancedDrill="1" xr:uid="{5EE92FEF-26BD-4317-8B27-2F6C042EE71A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134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0763888" backgroundQuery="1" createdVersion="8" refreshedVersion="8" minRefreshableVersion="3" recordCount="0" supportSubquery="1" supportAdvancedDrill="1" xr:uid="{BFC4D163-EFA0-48FF-83D7-10A1EEDE698F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134" level="32767"/>
    <cacheField name="[Measures].[Sum of Loc]" caption="Sum of Loc" numFmtId="0" hierarchy="152" level="32767"/>
    <cacheField name="[DateTable].[Date].[Date]" caption="Date" numFmtId="0" hierarchy="18" level="1">
      <sharedItems count="91">
        <s v="1/01/2026"/>
        <s v="1/02/2026"/>
        <s v="1/03/2026"/>
        <s v="10/01/2026"/>
        <s v="10/02/2026"/>
        <s v="10/12/2025"/>
        <s v="11/01/2026"/>
        <s v="11/02/2026"/>
        <s v="11/12/2025"/>
        <s v="12/01/2026"/>
        <s v="12/02/2026"/>
        <s v="12/12/2025"/>
        <s v="13/01/2026"/>
        <s v="13/02/2026"/>
        <s v="13/12/2025"/>
        <s v="14/01/2026"/>
        <s v="14/02/2026"/>
        <s v="14/12/2025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5/12/2025"/>
        <s v="6/01/2026"/>
        <s v="6/02/2026"/>
        <s v="6/12/2025"/>
        <s v="7/01/2026"/>
        <s v="7/02/2026"/>
        <s v="7/12/2025"/>
        <s v="8/01/2026"/>
        <s v="8/02/2026"/>
        <s v="8/12/2025"/>
        <s v="9/01/2026"/>
        <s v="9/02/2026"/>
        <s v="9/12/2025"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1" level="1">
      <sharedItems containsSemiMixedTypes="0" containsNonDate="0" containsString="0"/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1805558" backgroundQuery="1" createdVersion="8" refreshedVersion="8" minRefreshableVersion="3" recordCount="0" supportSubquery="1" supportAdvancedDrill="1" xr:uid="{BB75D695-E6F6-429E-A6D4-AA3D9CC3068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134" level="32767"/>
    <cacheField name="[Measures].[Sum of Loc]" caption="Sum of Loc" numFmtId="0" hierarchy="152" level="32767"/>
    <cacheField name="[DateTable].[Month Name].[Month Name]" caption="Month Name" numFmtId="0" hierarchy="21" level="1">
      <sharedItems count="4">
        <s v="December"/>
        <s v="February"/>
        <s v="January"/>
        <s v="March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x v="0"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2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9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12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12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8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15"/>
    <rowHierarchyUsage hierarchyUsage="117"/>
  </rowHierarchiesUsage>
  <colHierarchiesUsage count="1">
    <colHierarchyUsage hierarchyUsage="10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12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120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3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1">
    <i>
      <x/>
    </i>
  </rowItems>
  <colItems count="1">
    <i/>
  </colItems>
  <dataFields count="1">
    <dataField name="# of Projects" fld="1" subtotal="count" baseField="0" baseItem="0"/>
  </dataFields>
  <formats count="67">
    <format dxfId="201">
      <pivotArea outline="0" collapsedLevelsAreSubtotals="1" fieldPosition="0"/>
    </format>
    <format dxfId="200">
      <pivotArea type="all" dataOnly="0" outline="0" fieldPosition="0"/>
    </format>
    <format dxfId="199">
      <pivotArea type="all" dataOnly="0" outline="0" fieldPosition="0"/>
    </format>
    <format dxfId="198">
      <pivotArea dataOnly="0" labelOnly="1" outline="0" axis="axisValues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field="0" type="button" dataOnly="0" labelOnly="1" outline="0" axis="axisRow" fieldPosition="0"/>
    </format>
    <format dxfId="194">
      <pivotArea dataOnly="0" labelOnly="1" outline="0" axis="axisValues" fieldPosition="0"/>
    </format>
    <format dxfId="193">
      <pivotArea outline="0" collapsedLevelsAreSubtotals="1" fieldPosition="0"/>
    </format>
    <format dxfId="192">
      <pivotArea dataOnly="0" labelOnly="1" fieldPosition="0">
        <references count="1">
          <reference field="0" count="0"/>
        </references>
      </pivotArea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field="0" type="button" dataOnly="0" labelOnly="1" outline="0" axis="axisRow" fieldPosition="0"/>
    </format>
    <format dxfId="188">
      <pivotArea dataOnly="0" labelOnly="1" fieldPosition="0">
        <references count="1">
          <reference field="0" count="0"/>
        </references>
      </pivotArea>
    </format>
    <format dxfId="187">
      <pivotArea dataOnly="0" labelOnly="1" outline="0" axis="axisValues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0" type="button" dataOnly="0" labelOnly="1" outline="0" axis="axisRow" fieldPosition="0"/>
    </format>
    <format dxfId="183">
      <pivotArea dataOnly="0" labelOnly="1" fieldPosition="0">
        <references count="1">
          <reference field="0" count="0"/>
        </references>
      </pivotArea>
    </format>
    <format dxfId="182">
      <pivotArea dataOnly="0" labelOnly="1" outline="0" axis="axisValues" fieldPosition="0"/>
    </format>
    <format dxfId="181">
      <pivotArea dataOnly="0" labelOnly="1" fieldPosition="0">
        <references count="1">
          <reference field="0" count="0"/>
        </references>
      </pivotArea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field="0" type="button" dataOnly="0" labelOnly="1" outline="0" axis="axisRow" fieldPosition="0"/>
    </format>
    <format dxfId="177">
      <pivotArea dataOnly="0" labelOnly="1" fieldPosition="0">
        <references count="1">
          <reference field="0" count="0"/>
        </references>
      </pivotArea>
    </format>
    <format dxfId="176">
      <pivotArea dataOnly="0" labelOnly="1" outline="0" axis="axisValues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fieldPosition="0">
        <references count="1">
          <reference field="0" count="0"/>
        </references>
      </pivotArea>
    </format>
    <format dxfId="170">
      <pivotArea field="0" type="button" dataOnly="0" labelOnly="1" outline="0" axis="axisRow" fieldPosition="0"/>
    </format>
    <format dxfId="169">
      <pivotArea dataOnly="0" labelOnly="1" outline="0" axis="axisValues" fieldPosition="0"/>
    </format>
    <format dxfId="168">
      <pivotArea dataOnly="0" labelOnly="1" fieldPosition="0">
        <references count="1">
          <reference field="0" count="0"/>
        </references>
      </pivotArea>
    </format>
    <format dxfId="167">
      <pivotArea dataOnly="0" labelOnly="1" fieldPosition="0">
        <references count="1">
          <reference field="0" count="0"/>
        </references>
      </pivotArea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0" type="button" dataOnly="0" labelOnly="1" outline="0" axis="axisRow" fieldPosition="0"/>
    </format>
    <format dxfId="163">
      <pivotArea dataOnly="0" labelOnly="1" fieldPosition="0">
        <references count="1">
          <reference field="0" count="0"/>
        </references>
      </pivotArea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0" type="button" dataOnly="0" labelOnly="1" outline="0" axis="axisRow" fieldPosition="0"/>
    </format>
    <format dxfId="158">
      <pivotArea dataOnly="0" labelOnly="1" fieldPosition="0">
        <references count="1">
          <reference field="0" count="0"/>
        </references>
      </pivotArea>
    </format>
    <format dxfId="157">
      <pivotArea dataOnly="0" labelOnly="1" outline="0" axis="axisValues" fieldPosition="0"/>
    </format>
    <format dxfId="156">
      <pivotArea field="0" type="button" dataOnly="0" labelOnly="1" outline="0" axis="axisRow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0" type="button" dataOnly="0" labelOnly="1" outline="0" axis="axisRow" fieldPosition="0"/>
    </format>
    <format dxfId="150">
      <pivotArea dataOnly="0" labelOnly="1" fieldPosition="0">
        <references count="1">
          <reference field="0" count="0"/>
        </references>
      </pivotArea>
    </format>
    <format dxfId="149">
      <pivotArea dataOnly="0" labelOnly="1" outline="0" axis="axisValues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0" type="button" dataOnly="0" labelOnly="1" outline="0" axis="axisRow" fieldPosition="0"/>
    </format>
    <format dxfId="145">
      <pivotArea dataOnly="0" labelOnly="1" fieldPosition="0">
        <references count="1">
          <reference field="0" count="0"/>
        </references>
      </pivotArea>
    </format>
    <format dxfId="144">
      <pivotArea dataOnly="0" labelOnly="1" outline="0" axis="axisValues" fieldPosition="0"/>
    </format>
    <format dxfId="143">
      <pivotArea field="0" type="button" dataOnly="0" labelOnly="1" outline="0" axis="axisRow" fieldPosition="0"/>
    </format>
    <format dxfId="142">
      <pivotArea dataOnly="0" labelOnly="1" outline="0" axis="axisValues" fieldPosition="0"/>
    </format>
    <format dxfId="141">
      <pivotArea type="all" dataOnly="0" outline="0" fieldPosition="0"/>
    </format>
    <format dxfId="140">
      <pivotArea outline="0" collapsedLevelsAreSubtotals="1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dataOnly="0" labelOnly="1" outline="0" axis="axisValues" fieldPosition="0"/>
    </format>
    <format dxfId="136">
      <pivotArea field="0" type="button" dataOnly="0" labelOnly="1" outline="0" axis="axisRow" fieldPosition="0"/>
    </format>
    <format dxfId="135">
      <pivotArea dataOnly="0" labelOnly="1" outline="0" axis="axisValues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119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7" firstHeaderRow="0" firstDataRow="1" firstDataCol="1"/>
  <pivotFields count="3"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17">
      <pivotArea type="all" dataOnly="0" outline="0" fieldPosition="0"/>
    </format>
    <format dxfId="216">
      <pivotArea outline="0" collapsedLevelsAreSubtotals="1" fieldPosition="0"/>
    </format>
    <format dxfId="215">
      <pivotArea dataOnly="0" labelOnly="1" fieldPosition="0">
        <references count="1">
          <reference field="0" count="0"/>
        </references>
      </pivotArea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dataOnly="0" labelOnly="1" fieldPosition="0">
        <references count="1">
          <reference field="0" count="0"/>
        </references>
      </pivotArea>
    </format>
    <format dxfId="211">
      <pivotArea field="0" type="button" dataOnly="0" labelOnly="1" outline="0" axis="axisRow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fieldPosition="0">
        <references count="1">
          <reference field="0" count="5">
            <x v="2"/>
            <x v="3"/>
            <x v="4"/>
            <x v="5"/>
            <x v="6"/>
          </reference>
        </references>
      </pivotArea>
    </format>
    <format dxfId="206">
      <pivotArea field="0" type="button" dataOnly="0" labelOnly="1" outline="0" axis="axisRow" fieldPosition="0"/>
    </format>
    <format dxfId="205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204">
      <pivotArea dataOnly="0" labelOnly="1" fieldPosition="0">
        <references count="1">
          <reference field="0" count="0"/>
        </references>
      </pivotArea>
    </format>
    <format dxfId="20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11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19:W20" firstHeaderRow="0" firstDataRow="1" firstDataCol="1"/>
  <pivotFields count="7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axis="axisRow" dataField="1" showAll="0">
      <items count="8">
        <item m="1" x="4"/>
        <item m="1" x="1"/>
        <item m="1" x="6"/>
        <item m="1" x="5"/>
        <item m="1" x="3"/>
        <item m="1" x="2"/>
        <item x="0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9">
        <item m="1" x="3"/>
        <item m="1" x="40"/>
        <item m="1" x="41"/>
        <item m="1" x="57"/>
        <item m="1" x="55"/>
        <item m="1" x="39"/>
        <item m="1" x="56"/>
        <item m="1" x="1"/>
        <item m="1" x="15"/>
        <item m="1" x="42"/>
        <item m="1" x="43"/>
        <item m="1" x="13"/>
        <item m="1" x="4"/>
        <item m="1" x="12"/>
        <item m="1" x="44"/>
        <item m="1" x="45"/>
        <item m="1" x="14"/>
        <item m="1" x="46"/>
        <item m="1" x="5"/>
        <item m="1" x="47"/>
        <item m="1" x="48"/>
        <item m="1" x="49"/>
        <item m="1" x="50"/>
        <item m="1" x="6"/>
        <item m="1" x="51"/>
        <item m="1" x="52"/>
        <item m="1" x="53"/>
        <item m="1" x="54"/>
        <item m="1" x="22"/>
        <item m="1" x="11"/>
        <item m="1" x="38"/>
        <item m="1" x="16"/>
        <item m="1" x="17"/>
        <item m="1" x="18"/>
        <item m="1" x="19"/>
        <item m="1" x="20"/>
        <item m="1" x="21"/>
        <item m="1" x="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7"/>
        <item m="1" x="8"/>
        <item m="1" x="9"/>
        <item m="1" x="1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</pivotFields>
  <rowFields count="1">
    <field x="14"/>
  </rowFields>
  <rowItems count="1">
    <i>
      <x v="6"/>
    </i>
  </rowItems>
  <colFields count="1">
    <field x="-2"/>
  </colFields>
  <colItems count="2">
    <i>
      <x/>
    </i>
    <i i="1">
      <x v="1"/>
    </i>
  </colItems>
  <dataFields count="2">
    <dataField name="# Scans" fld="14" subtotal="count" baseField="0" baseItem="0"/>
    <dataField name="% Scans" fld="14" subtotal="count" showDataAs="percentOfCol" baseField="10" baseItem="0" numFmtId="9"/>
  </dataFields>
  <formats count="39">
    <format dxfId="256">
      <pivotArea dataOnly="0" labelOnly="1" outline="0" axis="axisValues" fieldPosition="0"/>
    </format>
    <format dxfId="255">
      <pivotArea outline="0" fieldPosition="0">
        <references count="1">
          <reference field="4294967294" count="1">
            <x v="1"/>
          </reference>
        </references>
      </pivotArea>
    </format>
    <format dxfId="25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2">
      <pivotArea outline="0" collapsedLevelsAreSubtotals="1" fieldPosition="0"/>
    </format>
    <format dxfId="251">
      <pivotArea dataOnly="0" labelOnly="1" fieldPosition="0">
        <references count="1">
          <reference field="14" count="0"/>
        </references>
      </pivotArea>
    </format>
    <format dxfId="250">
      <pivotArea field="14" type="button" dataOnly="0" labelOnly="1" outline="0" axis="axisRow" fieldPosition="0"/>
    </format>
    <format dxfId="24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14" type="button" dataOnly="0" labelOnly="1" outline="0" axis="axisRow" fieldPosition="0"/>
    </format>
    <format dxfId="245">
      <pivotArea dataOnly="0" labelOnly="1" fieldPosition="0">
        <references count="1">
          <reference field="14" count="0"/>
        </references>
      </pivotArea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14" type="button" dataOnly="0" labelOnly="1" outline="0" axis="axisRow" fieldPosition="0"/>
    </format>
    <format dxfId="2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">
      <pivotArea outline="0" collapsedLevelsAreSubtotals="1" fieldPosition="0"/>
    </format>
    <format dxfId="238">
      <pivotArea field="14" type="button" dataOnly="0" labelOnly="1" outline="0" axis="axisRow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4" type="button" dataOnly="0" labelOnly="1" outline="0" axis="axisRow" fieldPosition="0"/>
    </format>
    <format dxfId="233">
      <pivotArea dataOnly="0" labelOnly="1" fieldPosition="0">
        <references count="1">
          <reference field="14" count="0"/>
        </references>
      </pivotArea>
    </format>
    <format dxfId="2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4" type="button" dataOnly="0" labelOnly="1" outline="0" axis="axisRow" fieldPosition="0"/>
    </format>
    <format dxfId="228">
      <pivotArea dataOnly="0" labelOnly="1" fieldPosition="0">
        <references count="1">
          <reference field="14" count="0"/>
        </references>
      </pivotArea>
    </format>
    <format dxfId="2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6">
      <pivotArea field="14" type="button" dataOnly="0" labelOnly="1" outline="0" axis="axisRow" fieldPosition="0"/>
    </format>
    <format dxfId="2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dataOnly="0" labelOnly="1" fieldPosition="0">
        <references count="1">
          <reference field="14" count="0"/>
        </references>
      </pivotArea>
    </format>
    <format dxfId="2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0">
      <pivotArea field="14" type="button" dataOnly="0" labelOnly="1" outline="0" axis="axisRow" fieldPosition="0"/>
    </format>
    <format dxfId="219">
      <pivotArea field="14" type="button" dataOnly="0" labelOnly="1" outline="0" axis="axisRow" fieldPosition="0"/>
    </format>
    <format dxfId="218">
      <pivotArea dataOnly="0" labelOnly="1" fieldPosition="0">
        <references count="1">
          <reference field="1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21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3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314">
      <pivotArea outline="0" collapsedLevelsAreSubtotals="1" fieldPosition="0"/>
    </format>
    <format dxfId="313">
      <pivotArea type="all" dataOnly="0" outline="0" fieldPosition="0"/>
    </format>
    <format dxfId="312">
      <pivotArea dataOnly="0" fieldPosition="0">
        <references count="1">
          <reference field="0" count="0"/>
        </references>
      </pivotArea>
    </format>
    <format dxfId="3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dataOnly="0" labelOnly="1" fieldPosition="0">
        <references count="1">
          <reference field="0" count="0"/>
        </references>
      </pivotArea>
    </format>
    <format dxfId="306">
      <pivotArea field="0" type="button" dataOnly="0" labelOnly="1" outline="0" axis="axisRow" fieldPosition="0"/>
    </format>
    <format dxfId="3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field="0" type="button" dataOnly="0" labelOnly="1" outline="0" axis="axisRow" fieldPosition="0"/>
    </format>
    <format dxfId="301">
      <pivotArea dataOnly="0" labelOnly="1" fieldPosition="0">
        <references count="1">
          <reference field="0" count="0"/>
        </references>
      </pivotArea>
    </format>
    <format dxfId="3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9">
      <pivotArea field="0" type="button" dataOnly="0" labelOnly="1" outline="0" axis="axisRow" fieldPosition="0"/>
    </format>
    <format dxfId="298">
      <pivotArea dataOnly="0" labelOnly="1" fieldPosition="0">
        <references count="1">
          <reference field="0" count="0"/>
        </references>
      </pivotArea>
    </format>
    <format dxfId="297">
      <pivotArea dataOnly="0" labelOnly="1" fieldPosition="0">
        <references count="1">
          <reference field="0" count="0"/>
        </references>
      </pivotArea>
    </format>
    <format dxfId="29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field="0" type="button" dataOnly="0" labelOnly="1" outline="0" axis="axisRow" fieldPosition="0"/>
    </format>
    <format dxfId="292">
      <pivotArea dataOnly="0" labelOnly="1" fieldPosition="0">
        <references count="1">
          <reference field="0" count="0"/>
        </references>
      </pivotArea>
    </format>
    <format dxfId="2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0">
      <pivotArea dataOnly="0" labelOnly="1" fieldPosition="0">
        <references count="1">
          <reference field="0" count="0"/>
        </references>
      </pivotArea>
    </format>
    <format dxfId="289">
      <pivotArea type="all" dataOnly="0" outline="0" fieldPosition="0"/>
    </format>
    <format dxfId="288">
      <pivotArea field="0" type="button" dataOnly="0" labelOnly="1" outline="0" axis="axisRow" fieldPosition="0"/>
    </format>
    <format dxfId="2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6">
      <pivotArea field="0" type="button" dataOnly="0" labelOnly="1" outline="0" axis="axisRow" fieldPosition="0"/>
    </format>
    <format dxfId="285">
      <pivotArea field="0" type="button" dataOnly="0" labelOnly="1" outline="0" axis="axisRow" fieldPosition="0"/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0" type="button" dataOnly="0" labelOnly="1" outline="0" axis="axisRow" fieldPosition="0"/>
    </format>
    <format dxfId="281">
      <pivotArea dataOnly="0" labelOnly="1" fieldPosition="0">
        <references count="1">
          <reference field="0" count="0"/>
        </references>
      </pivotArea>
    </format>
    <format dxfId="2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9">
      <pivotArea field="0" type="button" dataOnly="0" labelOnly="1" outline="0" axis="axisRow" fieldPosition="0"/>
    </format>
    <format dxfId="2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0" type="button" dataOnly="0" labelOnly="1" outline="0" axis="axisRow" fieldPosition="0"/>
    </format>
    <format dxfId="272">
      <pivotArea dataOnly="0" labelOnly="1" fieldPosition="0">
        <references count="1">
          <reference field="0" count="0"/>
        </references>
      </pivotArea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0" type="button" dataOnly="0" labelOnly="1" outline="0" axis="axisRow" fieldPosition="0"/>
    </format>
    <format dxfId="267">
      <pivotArea dataOnly="0" labelOnly="1" fieldPosition="0">
        <references count="1">
          <reference field="0" count="0"/>
        </references>
      </pivotArea>
    </format>
    <format dxfId="2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5">
      <pivotArea field="0" type="button" dataOnly="0" labelOnly="1" outline="0" axis="axisRow" fieldPosition="0"/>
    </format>
    <format dxfId="2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0" type="button" dataOnly="0" labelOnly="1" outline="0" axis="axisRow" fieldPosition="0"/>
    </format>
    <format dxfId="260">
      <pivotArea dataOnly="0" labelOnly="1" fieldPosition="0">
        <references count="1">
          <reference field="0" count="0"/>
        </references>
      </pivotArea>
    </format>
    <format dxfId="2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8">
      <pivotArea field="0" type="button" dataOnly="0" labelOnly="1" outline="0" axis="axisRow" fieldPosition="0"/>
    </format>
    <format dxfId="2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116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71">
      <pivotArea outline="0" collapsedLevelsAreSubtotals="1" fieldPosition="0"/>
    </format>
    <format dxfId="70">
      <pivotArea dataOnly="0" labelOnly="1" fieldPosition="0">
        <references count="1">
          <reference field="0" count="0"/>
        </references>
      </pivotArea>
    </format>
    <format dxfId="69">
      <pivotArea dataOnly="0" labelOnly="1" fieldPosition="0">
        <references count="1">
          <reference field="0" count="2">
            <x v="2"/>
            <x v="3"/>
          </reference>
        </references>
      </pivotArea>
    </format>
    <format dxfId="68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type="origin" dataOnly="0" labelOnly="1" outline="0" fieldPosition="0"/>
    </format>
    <format dxfId="63">
      <pivotArea field="2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0" type="button" dataOnly="0" labelOnly="1" outline="0" axis="axisRow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fieldPosition="0">
        <references count="1">
          <reference field="2" count="0"/>
        </references>
      </pivotArea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2" count="0"/>
        </references>
      </pivotArea>
    </format>
    <format dxfId="53">
      <pivotArea type="origin" dataOnly="0" labelOnly="1" outline="0" fieldPosition="0"/>
    </format>
    <format dxfId="52">
      <pivotArea field="2" type="button" dataOnly="0" labelOnly="1" outline="0" axis="axisCol" fieldPosition="0"/>
    </format>
    <format dxfId="51">
      <pivotArea type="topRight" dataOnly="0" labelOnly="1" outline="0" fieldPosition="0"/>
    </format>
    <format dxfId="50">
      <pivotArea outline="0" collapsedLevelsAreSubtotals="1" fieldPosition="0"/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2" type="button" dataOnly="0" labelOnly="1" outline="0" axis="axisCol" fieldPosition="0"/>
    </format>
    <format dxfId="46">
      <pivotArea type="topRight" dataOnly="0" labelOnly="1" outline="0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field="2" type="button" dataOnly="0" labelOnly="1" outline="0" axis="axisCol" fieldPosition="0"/>
    </format>
    <format dxfId="43">
      <pivotArea type="topRight" dataOnly="0" labelOnly="1" outline="0" fieldPosition="0"/>
    </format>
    <format dxfId="42">
      <pivotArea type="origin" dataOnly="0" labelOnly="1" outline="0" fieldPosition="0"/>
    </format>
    <format dxfId="41">
      <pivotArea type="origin" dataOnly="0" labelOnly="1" outline="0" fieldPosition="0"/>
    </format>
    <format dxfId="40">
      <pivotArea field="2" type="button" dataOnly="0" labelOnly="1" outline="0" axis="axisCol" fieldPosition="0"/>
    </format>
    <format dxfId="39">
      <pivotArea type="topRight" dataOnly="0" labelOnly="1" outline="0" fieldPosition="0"/>
    </format>
    <format dxfId="38">
      <pivotArea field="0" type="button" dataOnly="0" labelOnly="1" outline="0" axis="axisRow" fieldPosition="0"/>
    </format>
    <format dxfId="37">
      <pivotArea field="2" type="button" dataOnly="0" labelOnly="1" outline="0" axis="axisCol" fieldPosition="0"/>
    </format>
    <format dxfId="36">
      <pivotArea type="topRight" dataOnly="0" labelOnly="1" outline="0" fieldPosition="0"/>
    </format>
    <format dxfId="35">
      <pivotArea dataOnly="0" labelOnly="1" fieldPosition="0">
        <references count="1">
          <reference field="2" count="0"/>
        </references>
      </pivotArea>
    </format>
    <format dxfId="34">
      <pivotArea type="origin" dataOnly="0" labelOnly="1" outline="0" fieldPosition="0"/>
    </format>
    <format dxfId="33">
      <pivotArea type="topRight" dataOnly="0" labelOnly="1" outline="0" fieldPosition="0"/>
    </format>
    <format dxfId="32">
      <pivotArea type="origin" dataOnly="0" labelOnly="1" outline="0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type="origin" dataOnly="0" labelOnly="1" outline="0" fieldPosition="0"/>
    </format>
    <format dxfId="28">
      <pivotArea type="topRight" dataOnly="0" labelOnly="1" outline="0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2" count="0"/>
        </references>
      </pivotArea>
    </format>
    <format dxfId="25">
      <pivotArea field="2" type="button" dataOnly="0" labelOnly="1" outline="0" axis="axisCol" fieldPosition="0"/>
    </format>
    <format dxfId="24">
      <pivotArea type="origin" dataOnly="0" labelOnly="1" outline="0" fieldPosition="0"/>
    </format>
    <format dxfId="23">
      <pivotArea type="origin" dataOnly="0" labelOnly="1" outline="0" fieldPosition="0"/>
    </format>
    <format dxfId="22">
      <pivotArea field="2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2" type="button" dataOnly="0" labelOnly="1" outline="0" axis="axisCol" fieldPosition="0"/>
    </format>
    <format dxfId="19">
      <pivotArea type="all" dataOnly="0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Row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1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7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3"/>
        <item m="1" x="2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8">
        <item m="1" x="3"/>
        <item m="1" x="4"/>
        <item m="1" x="6"/>
        <item m="1" x="1"/>
        <item m="1" x="22"/>
        <item m="1" x="13"/>
        <item m="1" x="15"/>
        <item m="1" x="14"/>
        <item m="1" x="11"/>
        <item m="1" x="12"/>
        <item m="1" x="5"/>
        <item m="1" x="47"/>
        <item m="1" x="46"/>
        <item m="1" x="53"/>
        <item m="1" x="40"/>
        <item m="1" x="41"/>
        <item m="1" x="43"/>
        <item m="1" x="54"/>
        <item m="1" x="52"/>
        <item m="1" x="45"/>
        <item m="1" x="49"/>
        <item m="1" x="42"/>
        <item m="1" x="48"/>
        <item m="1" x="51"/>
        <item m="1" x="50"/>
        <item m="1" x="57"/>
        <item m="1" x="44"/>
        <item m="1" x="55"/>
        <item m="1" x="39"/>
        <item m="1" x="56"/>
        <item m="1" x="38"/>
        <item m="1" x="16"/>
        <item m="1" x="17"/>
        <item m="1" x="18"/>
        <item m="1" x="19"/>
        <item m="1" x="20"/>
        <item m="1" x="21"/>
        <item m="1" x="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7"/>
        <item m="1" x="8"/>
        <item m="1" x="9"/>
        <item m="1" x="10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87">
      <pivotArea field="3" type="button" dataOnly="0" labelOnly="1" outline="0" axis="axisRow" fieldPosition="0"/>
    </format>
    <format dxfId="86">
      <pivotArea dataOnly="0" labelOnly="1" fieldPosition="0">
        <references count="1">
          <reference field="3" count="0"/>
        </references>
      </pivotArea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3" type="button" dataOnly="0" labelOnly="1" outline="0" axis="axisRow" fieldPosition="0"/>
    </format>
    <format dxfId="81">
      <pivotArea dataOnly="0" labelOnly="1" fieldPosition="0">
        <references count="1">
          <reference field="3" count="0"/>
        </references>
      </pivotArea>
    </format>
    <format dxfId="80">
      <pivotArea dataOnly="0" labelOnly="1" outline="0" axis="axisValues" fieldPosition="0"/>
    </format>
    <format dxfId="79">
      <pivotArea field="3" type="button" dataOnly="0" labelOnly="1" outline="0" axis="axisRow" fieldPosition="0"/>
    </format>
    <format dxfId="78">
      <pivotArea dataOnly="0" labelOnly="1" outline="0" axis="axisValues" fieldPosition="0"/>
    </format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3" type="button" dataOnly="0" labelOnly="1" outline="0" axis="axisRow" fieldPosition="0"/>
    </format>
    <format dxfId="73">
      <pivotArea dataOnly="0" labelOnly="1" fieldPosition="0">
        <references count="1">
          <reference field="3" count="0"/>
        </references>
      </pivotArea>
    </format>
    <format dxfId="7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17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122">
      <pivotArea outline="0" collapsedLevelsAreSubtotals="1" fieldPosition="0"/>
    </format>
    <format dxfId="121">
      <pivotArea outline="0" collapsedLevelsAreSubtotals="1" fieldPosition="0"/>
    </format>
    <format dxfId="120">
      <pivotArea dataOnly="0" labelOnly="1" fieldPosition="0">
        <references count="1">
          <reference field="0" count="0"/>
        </references>
      </pivotArea>
    </format>
    <format dxfId="119">
      <pivotArea dataOnly="0" labelOnly="1" fieldPosition="0">
        <references count="1">
          <reference field="0" count="0"/>
        </references>
      </pivotArea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dataOnly="0" labelOnly="1" fieldPosition="0">
        <references count="1">
          <reference field="0" count="0"/>
        </references>
      </pivotArea>
    </format>
    <format dxfId="115">
      <pivotArea field="0" type="button" dataOnly="0" labelOnly="1" outline="0" axis="axisRow" fieldPosition="0"/>
    </format>
    <format dxfId="1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dataOnly="0" labelOnly="1" fieldPosition="0">
        <references count="1">
          <reference field="0" count="0"/>
        </references>
      </pivotArea>
    </format>
    <format dxfId="110">
      <pivotArea field="0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8">
      <pivotArea field="0" type="button" dataOnly="0" labelOnly="1" outline="0" axis="axisRow" fieldPosition="0"/>
    </format>
    <format dxfId="107">
      <pivotArea dataOnly="0" labelOnly="1" fieldPosition="0">
        <references count="1">
          <reference field="0" count="0"/>
        </references>
      </pivotArea>
    </format>
    <format dxfId="106">
      <pivotArea outline="0" collapsedLevelsAreSubtotals="1" fieldPosition="0"/>
    </format>
    <format dxfId="1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dataOnly="0" labelOnly="1" fieldPosition="0">
        <references count="1">
          <reference field="0" count="0"/>
        </references>
      </pivotArea>
    </format>
    <format dxfId="1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field="0" type="button" dataOnly="0" labelOnly="1" outline="0" axis="axisRow" fieldPosition="0"/>
    </format>
    <format dxfId="94">
      <pivotArea field="0" type="button" dataOnly="0" labelOnly="1" outline="0" axis="axisRow" fieldPosition="0"/>
    </format>
    <format dxfId="93">
      <pivotArea dataOnly="0" labelOnly="1" fieldPosition="0">
        <references count="1">
          <reference field="0" count="0"/>
        </references>
      </pivotArea>
    </format>
    <format dxfId="92">
      <pivotArea field="0" type="button" dataOnly="0" labelOnly="1" outline="0" axis="axisRow" fieldPosition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type="all" dataOnly="0" outline="0" fieldPosition="0"/>
    </format>
    <format dxfId="89">
      <pivotArea field="0" type="button" dataOnly="0" labelOnly="1" outline="0" axis="axisRow" fieldPosition="0"/>
    </format>
    <format dxfId="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118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5">
      <pivotArea field="0" type="button" dataOnly="0" labelOnly="1" outline="0" axis="axisRow" fieldPosition="0"/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4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19" unboundColumnsRight="1">
    <queryTableFields count="7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3" tableType="queryTable" totalsRowShown="0" tableBorderDxfId="127">
  <autoFilter ref="C6:F13" xr:uid="{62650372-3559-48C7-B6AF-E85BBF450C71}"/>
  <tableColumns count="4">
    <tableColumn id="1" xr3:uid="{BFEADDE7-3834-4858-8861-9B0888EA908A}" uniqueName="1" name="Parameter" queryTableFieldId="1" dataDxfId="126"/>
    <tableColumn id="2" xr3:uid="{B1845D49-569A-496A-B623-270C572C6D90}" uniqueName="2" name="Value" queryTableFieldId="2" dataDxfId="125"/>
    <tableColumn id="3" xr3:uid="{6313CE5E-2BCB-4D41-A6AE-E53E05CA4142}" uniqueName="3" name="Message" queryTableFieldId="3" dataDxfId="124"/>
    <tableColumn id="4" xr3:uid="{0EB8F86D-C793-4F2F-ACEE-324B55034023}" uniqueName="4" name="Status" queryTableFieldId="4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10" tableType="queryTable" totalsRowShown="0" headerRowDxfId="134" dataDxfId="132" headerRowBorderDxfId="133" tableBorderDxfId="131" totalsRowBorderDxfId="130">
  <autoFilter ref="B2:C10" xr:uid="{63059591-DBB9-40E1-9B24-6F529EB4F0D5}"/>
  <tableColumns count="2">
    <tableColumn id="1" xr3:uid="{FD645173-8F58-438C-96A8-41D4638717D6}" uniqueName="1" name="Detail" queryTableFieldId="1" dataDxfId="129"/>
    <tableColumn id="2" xr3:uid="{210B2AD6-9E96-477B-8596-9F2864421733}" uniqueName="2" name="Value" queryTableFieldId="2" dataDxfId="12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6"/>
    <tableColumn id="5" xr3:uid="{D2416ED7-B83D-43C7-A7C6-3FC334FFA6E4}" uniqueName="5" name="UpdatedAt" queryTableFieldId="5" dataDxfId="15"/>
    <tableColumn id="6" xr3:uid="{06E2EE53-777C-475C-941F-BC187A68CBD5}" uniqueName="6" name="Criticality" queryTableFieldId="6" dataDxfId="14"/>
    <tableColumn id="9" xr3:uid="{1865F313-123A-4E02-8BE5-CB6EEC236F1A}" uniqueName="9" name="RiskScore" queryTableFieldId="9" dataDxfId="13"/>
    <tableColumn id="10" xr3:uid="{962D889E-2086-4728-8744-6DC1CBE4B4BB}" uniqueName="10" name="RiskSeverity" queryTableFieldId="10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11"/>
    <tableColumn id="4" xr3:uid="{0439EBBB-D9B4-49AB-8998-491AAD577DF8}" uniqueName="4" name="UpdatedAt" queryTableFieldId="4" dataDxfId="1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BS2" tableType="queryTable" insertRow="1" totalsRowShown="0">
  <autoFilter ref="A1:BS2" xr:uid="{D9B6B700-850C-4406-A52E-417F7A4EF995}"/>
  <tableColumns count="7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9"/>
    <tableColumn id="7" xr3:uid="{6AC98336-D667-4163-8D3C-CB868F0D2699}" uniqueName="7" name="StartDate" queryTableFieldId="24" dataDxfId="8"/>
    <tableColumn id="8" xr3:uid="{CE522565-BE50-4994-84D1-D951AB8CCA19}" uniqueName="8" name="EndDate" queryTableFieldId="25" dataDxfId="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6"/>
  <sheetViews>
    <sheetView tabSelected="1" zoomScaleNormal="100" workbookViewId="0">
      <selection activeCell="D25" sqref="D25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1.7109375" style="4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80"/>
      <c r="C2" s="134" t="s">
        <v>184</v>
      </c>
      <c r="D2" s="134"/>
      <c r="E2" s="134"/>
      <c r="F2" s="134"/>
      <c r="G2" s="85"/>
    </row>
    <row r="3" spans="2:7" ht="11.25" customHeight="1" thickBot="1" x14ac:dyDescent="1.05">
      <c r="B3" s="81"/>
      <c r="C3" s="88"/>
      <c r="D3" s="88"/>
      <c r="E3" s="88"/>
      <c r="F3" s="88"/>
      <c r="G3" s="86"/>
    </row>
    <row r="4" spans="2:7" ht="15.75" thickBot="1" x14ac:dyDescent="0.3">
      <c r="B4" s="81"/>
      <c r="C4" s="91" t="s">
        <v>185</v>
      </c>
      <c r="D4" s="78">
        <v>1.03</v>
      </c>
      <c r="E4" s="77" t="s">
        <v>187</v>
      </c>
      <c r="F4" s="79">
        <v>46198</v>
      </c>
      <c r="G4" s="86"/>
    </row>
    <row r="5" spans="2:7" ht="11.25" customHeight="1" thickBot="1" x14ac:dyDescent="1.05">
      <c r="B5" s="81"/>
      <c r="C5" s="88"/>
      <c r="D5" s="88"/>
      <c r="E5" s="88"/>
      <c r="F5" s="88"/>
      <c r="G5" s="86"/>
    </row>
    <row r="6" spans="2:7" x14ac:dyDescent="0.25">
      <c r="B6" s="81"/>
      <c r="C6" s="92" t="s">
        <v>175</v>
      </c>
      <c r="D6" t="s">
        <v>93</v>
      </c>
      <c r="E6" t="s">
        <v>176</v>
      </c>
      <c r="F6" s="8" t="s">
        <v>25</v>
      </c>
      <c r="G6" s="86"/>
    </row>
    <row r="7" spans="2:7" x14ac:dyDescent="0.25">
      <c r="B7" s="81"/>
      <c r="C7" s="93" t="s">
        <v>0</v>
      </c>
      <c r="D7" s="89" t="s">
        <v>206</v>
      </c>
      <c r="E7" t="s">
        <v>186</v>
      </c>
      <c r="F7" s="8" t="s">
        <v>177</v>
      </c>
      <c r="G7" s="86"/>
    </row>
    <row r="8" spans="2:7" x14ac:dyDescent="0.25">
      <c r="B8" s="81"/>
      <c r="C8" s="93" t="s">
        <v>165</v>
      </c>
      <c r="D8" t="s">
        <v>166</v>
      </c>
      <c r="E8" t="s">
        <v>178</v>
      </c>
      <c r="F8" s="8" t="s">
        <v>177</v>
      </c>
      <c r="G8" s="86"/>
    </row>
    <row r="9" spans="2:7" x14ac:dyDescent="0.25">
      <c r="B9" s="81"/>
      <c r="C9" s="93" t="s">
        <v>1</v>
      </c>
      <c r="D9" t="s">
        <v>2</v>
      </c>
      <c r="E9" t="s">
        <v>179</v>
      </c>
      <c r="F9" s="8" t="s">
        <v>177</v>
      </c>
      <c r="G9" s="86"/>
    </row>
    <row r="10" spans="2:7" x14ac:dyDescent="0.25">
      <c r="B10" s="81"/>
      <c r="C10" s="93" t="s">
        <v>9</v>
      </c>
      <c r="D10" t="s">
        <v>10</v>
      </c>
      <c r="E10" t="s">
        <v>180</v>
      </c>
      <c r="F10" s="8" t="s">
        <v>177</v>
      </c>
      <c r="G10" s="86"/>
    </row>
    <row r="11" spans="2:7" x14ac:dyDescent="0.25">
      <c r="B11" s="81"/>
      <c r="C11" s="93" t="s">
        <v>19</v>
      </c>
      <c r="D11" t="s">
        <v>21</v>
      </c>
      <c r="E11" t="s">
        <v>181</v>
      </c>
      <c r="F11" s="8" t="s">
        <v>177</v>
      </c>
      <c r="G11" s="86"/>
    </row>
    <row r="12" spans="2:7" x14ac:dyDescent="0.25">
      <c r="B12" s="81"/>
      <c r="C12" s="93" t="s">
        <v>20</v>
      </c>
      <c r="D12" t="s">
        <v>22</v>
      </c>
      <c r="E12" t="s">
        <v>182</v>
      </c>
      <c r="F12" s="8" t="s">
        <v>177</v>
      </c>
      <c r="G12" s="86"/>
    </row>
    <row r="13" spans="2:7" x14ac:dyDescent="0.25">
      <c r="B13" s="81"/>
      <c r="C13" s="93" t="s">
        <v>150</v>
      </c>
      <c r="D13" t="s">
        <v>151</v>
      </c>
      <c r="E13" t="s">
        <v>183</v>
      </c>
      <c r="F13" s="8" t="s">
        <v>177</v>
      </c>
      <c r="G13" s="86"/>
    </row>
    <row r="14" spans="2:7" ht="11.25" customHeight="1" thickBot="1" x14ac:dyDescent="0.3">
      <c r="B14" s="81"/>
      <c r="C14" s="87"/>
      <c r="D14" s="87"/>
      <c r="E14" s="87"/>
      <c r="F14" s="87"/>
      <c r="G14" s="86"/>
    </row>
    <row r="15" spans="2:7" ht="65.25" customHeight="1" thickBot="1" x14ac:dyDescent="0.3">
      <c r="B15" s="81"/>
      <c r="C15" s="90" t="s">
        <v>188</v>
      </c>
      <c r="D15" s="135" t="s">
        <v>189</v>
      </c>
      <c r="E15" s="136"/>
      <c r="F15" s="137"/>
      <c r="G15" s="86"/>
    </row>
    <row r="16" spans="2:7" ht="11.25" customHeight="1" thickBot="1" x14ac:dyDescent="0.3">
      <c r="B16" s="82"/>
      <c r="C16" s="83"/>
      <c r="D16" s="83"/>
      <c r="E16" s="83"/>
      <c r="F16" s="83"/>
      <c r="G16" s="84"/>
    </row>
  </sheetData>
  <sheetProtection selectLockedCells="1"/>
  <mergeCells count="2">
    <mergeCell ref="C2:F2"/>
    <mergeCell ref="D15:F15"/>
  </mergeCells>
  <conditionalFormatting sqref="F7:F13">
    <cfRule type="cellIs" dxfId="0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96"/>
  <sheetViews>
    <sheetView zoomScaleNormal="100" workbookViewId="0">
      <pane ySplit="2" topLeftCell="A3" activePane="bottomLeft" state="frozen"/>
      <selection pane="bottomLeft" activeCell="U10" sqref="U10:W17"/>
    </sheetView>
  </sheetViews>
  <sheetFormatPr defaultRowHeight="15" x14ac:dyDescent="0.25"/>
  <cols>
    <col min="1" max="1" width="2.140625" style="4" customWidth="1"/>
    <col min="2" max="2" width="21.5703125" style="4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6.7109375" style="4" bestFit="1" customWidth="1"/>
    <col min="11" max="11" width="12.140625" style="4" bestFit="1" customWidth="1"/>
    <col min="12" max="12" width="2.85546875" style="4" customWidth="1"/>
    <col min="13" max="13" width="22" style="4" bestFit="1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6" t="s">
        <v>168</v>
      </c>
      <c r="C2" s="75" t="s">
        <v>93</v>
      </c>
      <c r="D2" s="114"/>
      <c r="E2" s="72" t="s">
        <v>17</v>
      </c>
      <c r="F2" s="76" t="s">
        <v>72</v>
      </c>
      <c r="G2" s="70" t="s">
        <v>73</v>
      </c>
      <c r="H2" s="71" t="s">
        <v>53</v>
      </c>
      <c r="J2" s="72" t="s">
        <v>18</v>
      </c>
      <c r="K2" s="72" t="s">
        <v>16</v>
      </c>
      <c r="M2" s="69" t="s">
        <v>40</v>
      </c>
      <c r="N2" s="70" t="s">
        <v>41</v>
      </c>
      <c r="O2" s="71" t="s">
        <v>42</v>
      </c>
      <c r="Q2" s="68" t="s">
        <v>71</v>
      </c>
      <c r="R2" s="70" t="s">
        <v>42</v>
      </c>
      <c r="S2" s="71" t="s">
        <v>57</v>
      </c>
      <c r="U2" s="74" t="s">
        <v>92</v>
      </c>
      <c r="V2" s="73" t="s">
        <v>93</v>
      </c>
    </row>
    <row r="3" spans="2:23" ht="15.75" thickBot="1" x14ac:dyDescent="0.3">
      <c r="B3" s="35" t="s">
        <v>74</v>
      </c>
      <c r="C3" s="95" t="s">
        <v>205</v>
      </c>
      <c r="D3" s="115"/>
      <c r="E3" s="116" t="s">
        <v>201</v>
      </c>
      <c r="F3" s="121">
        <v>0</v>
      </c>
      <c r="G3" s="122">
        <v>103</v>
      </c>
      <c r="H3" s="123">
        <v>0</v>
      </c>
      <c r="J3" s="120" t="s">
        <v>201</v>
      </c>
      <c r="K3" s="119">
        <v>103</v>
      </c>
      <c r="M3" s="21" t="s">
        <v>76</v>
      </c>
      <c r="N3" s="22" t="e">
        <f>_xlfn.DAYS(C4,C3)</f>
        <v>#VALUE!</v>
      </c>
      <c r="O3" s="131" t="s">
        <v>169</v>
      </c>
      <c r="Q3" s="23">
        <v>0</v>
      </c>
      <c r="R3" s="98">
        <f>IFERROR(S3/$N$5,0)</f>
        <v>0</v>
      </c>
      <c r="S3" s="24">
        <f>COUNTIF(ScansTable[HourRequested],Q3)</f>
        <v>0</v>
      </c>
      <c r="U3" s="21" t="s">
        <v>78</v>
      </c>
      <c r="V3" s="25" t="e">
        <f>N5/N4</f>
        <v>#VALUE!</v>
      </c>
    </row>
    <row r="4" spans="2:23" x14ac:dyDescent="0.25">
      <c r="B4" s="27" t="s">
        <v>75</v>
      </c>
      <c r="C4" s="94" t="s">
        <v>205</v>
      </c>
      <c r="M4" s="21" t="s">
        <v>77</v>
      </c>
      <c r="N4" s="22" t="e">
        <f>ROUNDUP(N3/7,0)</f>
        <v>#VALUE!</v>
      </c>
      <c r="O4" s="132"/>
      <c r="Q4" s="26">
        <v>1</v>
      </c>
      <c r="R4" s="99">
        <f t="shared" ref="R4:R26" si="0">IFERROR(S4/$N$5,0)</f>
        <v>0</v>
      </c>
      <c r="S4" s="12">
        <f>COUNTIF(ScansTable[HourRequested],Q4)</f>
        <v>0</v>
      </c>
      <c r="U4" s="27" t="s">
        <v>79</v>
      </c>
      <c r="V4" s="28" t="e">
        <f>N5/N3</f>
        <v>#VALUE!</v>
      </c>
    </row>
    <row r="5" spans="2:23" x14ac:dyDescent="0.25">
      <c r="B5" s="27" t="s">
        <v>170</v>
      </c>
      <c r="C5" s="15" t="s">
        <v>205</v>
      </c>
      <c r="M5" s="21" t="s">
        <v>35</v>
      </c>
      <c r="N5" s="22">
        <f>COUNTA(ScansTable[ScanID])</f>
        <v>0</v>
      </c>
      <c r="O5" s="132"/>
      <c r="Q5" s="26">
        <v>2</v>
      </c>
      <c r="R5" s="99">
        <f t="shared" si="0"/>
        <v>0</v>
      </c>
      <c r="S5" s="12">
        <f>COUNTIF(ScansTable[HourRequested],Q5)</f>
        <v>0</v>
      </c>
      <c r="U5" s="27" t="s">
        <v>80</v>
      </c>
      <c r="V5" s="28">
        <f>AVERAGE(V11:V15)</f>
        <v>0</v>
      </c>
    </row>
    <row r="6" spans="2:23" x14ac:dyDescent="0.25">
      <c r="B6" s="27" t="s">
        <v>167</v>
      </c>
      <c r="C6" s="15" t="s">
        <v>205</v>
      </c>
      <c r="M6" s="27" t="s">
        <v>36</v>
      </c>
      <c r="N6" s="29">
        <f>COUNTA(_xlfn.UNIQUE(ScansTable[ProjectName]))</f>
        <v>1</v>
      </c>
      <c r="O6" s="133"/>
      <c r="Q6" s="26">
        <v>3</v>
      </c>
      <c r="R6" s="99">
        <f t="shared" si="0"/>
        <v>0</v>
      </c>
      <c r="S6" s="12">
        <f>COUNTIF(ScansTable[HourRequested],Q6)</f>
        <v>0</v>
      </c>
      <c r="U6" s="27" t="s">
        <v>88</v>
      </c>
      <c r="V6" s="28">
        <f>AVERAGE(V16:V17)</f>
        <v>0</v>
      </c>
    </row>
    <row r="7" spans="2:23" x14ac:dyDescent="0.25">
      <c r="B7" s="27" t="s">
        <v>163</v>
      </c>
      <c r="C7" s="15" t="s">
        <v>205</v>
      </c>
      <c r="M7" s="27" t="s">
        <v>38</v>
      </c>
      <c r="N7" s="29">
        <f>COUNTIF(ScansTable[Status], "Completed")</f>
        <v>0</v>
      </c>
      <c r="O7" s="30">
        <f>IFERROR(N7/N5,0)</f>
        <v>0</v>
      </c>
      <c r="Q7" s="26">
        <v>4</v>
      </c>
      <c r="R7" s="99">
        <f t="shared" si="0"/>
        <v>0</v>
      </c>
      <c r="S7" s="12">
        <f>COUNTIF(ScansTable[HourRequested],Q7)</f>
        <v>0</v>
      </c>
      <c r="U7" s="27" t="s">
        <v>89</v>
      </c>
      <c r="V7" s="28" t="e">
        <f>INDEX(Lookups!B:B, MATCH(LARGE(Lookups!B:B, 1), Lookups!B:B,0))</f>
        <v>#NUM!</v>
      </c>
    </row>
    <row r="8" spans="2:23" ht="15.75" thickBot="1" x14ac:dyDescent="0.3">
      <c r="B8" s="27" t="s">
        <v>161</v>
      </c>
      <c r="C8" s="15" t="s">
        <v>205</v>
      </c>
      <c r="M8" s="27" t="s">
        <v>37</v>
      </c>
      <c r="N8" s="29">
        <f>COUNTIF(ScansTable[Status], "Failed")</f>
        <v>0</v>
      </c>
      <c r="O8" s="30">
        <f>IFERROR(N8/N5,0)</f>
        <v>0</v>
      </c>
      <c r="Q8" s="26">
        <v>5</v>
      </c>
      <c r="R8" s="99">
        <f t="shared" si="0"/>
        <v>0</v>
      </c>
      <c r="S8" s="12">
        <f>COUNTIF(ScansTable[HourRequested],Q8)</f>
        <v>0</v>
      </c>
      <c r="U8" s="31" t="s">
        <v>90</v>
      </c>
      <c r="V8" s="32" t="e">
        <f>INDEX(Lookups!A:A, MATCH(LARGE(Lookups!B:B, 1), Lookups!B:B,0))</f>
        <v>#NUM!</v>
      </c>
    </row>
    <row r="9" spans="2:23" ht="15.75" thickBot="1" x14ac:dyDescent="0.3">
      <c r="B9" s="27" t="s">
        <v>164</v>
      </c>
      <c r="C9" s="15" t="s">
        <v>205</v>
      </c>
      <c r="M9" s="31" t="s">
        <v>39</v>
      </c>
      <c r="N9" s="33">
        <f>COUNTIF(ScansTable[Status], "Partial")</f>
        <v>0</v>
      </c>
      <c r="O9" s="34">
        <f>IFERROR(N9/N5,0)</f>
        <v>0</v>
      </c>
      <c r="Q9" s="26">
        <v>6</v>
      </c>
      <c r="R9" s="99">
        <f t="shared" si="0"/>
        <v>0</v>
      </c>
      <c r="S9" s="12">
        <f>COUNTIF(ScansTable[HourRequested],Q9)</f>
        <v>0</v>
      </c>
    </row>
    <row r="10" spans="2:23" ht="15.75" thickBot="1" x14ac:dyDescent="0.3">
      <c r="B10" s="31" t="s">
        <v>162</v>
      </c>
      <c r="C10" s="16" t="s">
        <v>205</v>
      </c>
      <c r="Q10" s="26">
        <v>7</v>
      </c>
      <c r="R10" s="99">
        <f t="shared" si="0"/>
        <v>0</v>
      </c>
      <c r="S10" s="12">
        <f>COUNTIF(ScansTable[HourRequested],Q10)</f>
        <v>0</v>
      </c>
      <c r="U10" s="105" t="s">
        <v>190</v>
      </c>
      <c r="V10" s="104" t="s">
        <v>95</v>
      </c>
      <c r="W10" s="96" t="s">
        <v>99</v>
      </c>
    </row>
    <row r="11" spans="2:23" ht="15.75" thickBot="1" x14ac:dyDescent="0.3">
      <c r="M11" s="69" t="s">
        <v>54</v>
      </c>
      <c r="N11" s="70" t="s">
        <v>55</v>
      </c>
      <c r="O11" s="71" t="s">
        <v>56</v>
      </c>
      <c r="Q11" s="26">
        <v>8</v>
      </c>
      <c r="R11" s="99">
        <f t="shared" si="0"/>
        <v>0</v>
      </c>
      <c r="S11" s="12">
        <f>COUNTIF(ScansTable[HourRequested],Q11)</f>
        <v>0</v>
      </c>
      <c r="U11" s="102" t="s">
        <v>84</v>
      </c>
      <c r="V11" s="129">
        <v>0</v>
      </c>
      <c r="W11" s="106" t="e">
        <v>#DIV/0!</v>
      </c>
    </row>
    <row r="12" spans="2:23" x14ac:dyDescent="0.25">
      <c r="M12" s="35" t="s">
        <v>57</v>
      </c>
      <c r="N12" s="36">
        <f>IFERROR(AVERAGE(ScansTable[Total_Vulnerabilties]),0)</f>
        <v>0</v>
      </c>
      <c r="O12" s="24">
        <f>MAX(ScansTable[Total_Critical])</f>
        <v>0</v>
      </c>
      <c r="Q12" s="26">
        <v>9</v>
      </c>
      <c r="R12" s="99">
        <f t="shared" si="0"/>
        <v>0</v>
      </c>
      <c r="S12" s="12">
        <f>COUNTIF(ScansTable[HourRequested],Q12)</f>
        <v>0</v>
      </c>
      <c r="U12" s="102" t="s">
        <v>85</v>
      </c>
      <c r="V12" s="129">
        <v>0</v>
      </c>
      <c r="W12" s="106" t="e">
        <v>#DIV/0!</v>
      </c>
    </row>
    <row r="13" spans="2:23" x14ac:dyDescent="0.25">
      <c r="M13" s="27" t="s">
        <v>58</v>
      </c>
      <c r="N13" s="37">
        <f>IFERROR(AVERAGE(ScansTable[Total_Critical]),0)</f>
        <v>0</v>
      </c>
      <c r="O13" s="12">
        <f>MAX(ScansTable[Total_High])</f>
        <v>0</v>
      </c>
      <c r="Q13" s="26">
        <v>10</v>
      </c>
      <c r="R13" s="99">
        <f t="shared" si="0"/>
        <v>0</v>
      </c>
      <c r="S13" s="12">
        <f>COUNTIF(ScansTable[HourRequested],Q13)</f>
        <v>0</v>
      </c>
      <c r="U13" s="102" t="s">
        <v>82</v>
      </c>
      <c r="V13" s="129">
        <v>0</v>
      </c>
      <c r="W13" s="106" t="e">
        <v>#DIV/0!</v>
      </c>
    </row>
    <row r="14" spans="2:23" x14ac:dyDescent="0.25">
      <c r="M14" s="27" t="s">
        <v>59</v>
      </c>
      <c r="N14" s="37">
        <f>IFERROR(AVERAGE(ScansTable[Total_High]),0)</f>
        <v>0</v>
      </c>
      <c r="O14" s="12">
        <f>MAX(ScansTable[Total_Medium])</f>
        <v>0</v>
      </c>
      <c r="Q14" s="26">
        <v>11</v>
      </c>
      <c r="R14" s="99">
        <f t="shared" si="0"/>
        <v>0</v>
      </c>
      <c r="S14" s="12">
        <f>COUNTIF(ScansTable[HourRequested],Q14)</f>
        <v>0</v>
      </c>
      <c r="U14" s="102" t="s">
        <v>83</v>
      </c>
      <c r="V14" s="129">
        <v>0</v>
      </c>
      <c r="W14" s="106" t="e">
        <v>#DIV/0!</v>
      </c>
    </row>
    <row r="15" spans="2:23" x14ac:dyDescent="0.25">
      <c r="M15" s="27" t="s">
        <v>60</v>
      </c>
      <c r="N15" s="37">
        <f>IFERROR(AVERAGE(ScansTable[Total_Medium]),0)</f>
        <v>0</v>
      </c>
      <c r="O15" s="12">
        <f>MAX(ScansTable[Total_Low])</f>
        <v>0</v>
      </c>
      <c r="Q15" s="26">
        <v>12</v>
      </c>
      <c r="R15" s="99">
        <f t="shared" si="0"/>
        <v>0</v>
      </c>
      <c r="S15" s="12">
        <f>COUNTIF(ScansTable[HourRequested],Q15)</f>
        <v>0</v>
      </c>
      <c r="U15" s="102" t="s">
        <v>81</v>
      </c>
      <c r="V15" s="129">
        <v>0</v>
      </c>
      <c r="W15" s="106" t="e">
        <v>#DIV/0!</v>
      </c>
    </row>
    <row r="16" spans="2:23" x14ac:dyDescent="0.25">
      <c r="M16" s="27" t="s">
        <v>61</v>
      </c>
      <c r="N16" s="37">
        <f>IFERROR(AVERAGE(ScansTable[Total_Low]),0)</f>
        <v>0</v>
      </c>
      <c r="O16" s="12">
        <f>MAX(ScansTable[Total_Info])</f>
        <v>0</v>
      </c>
      <c r="Q16" s="26">
        <v>13</v>
      </c>
      <c r="R16" s="99">
        <f t="shared" si="0"/>
        <v>0</v>
      </c>
      <c r="S16" s="12">
        <f>COUNTIF(ScansTable[HourRequested],Q16)</f>
        <v>0</v>
      </c>
      <c r="U16" s="102" t="s">
        <v>86</v>
      </c>
      <c r="V16" s="129">
        <v>0</v>
      </c>
      <c r="W16" s="106" t="e">
        <v>#DIV/0!</v>
      </c>
    </row>
    <row r="17" spans="13:23" ht="15.75" thickBot="1" x14ac:dyDescent="0.3">
      <c r="M17" s="31" t="s">
        <v>62</v>
      </c>
      <c r="N17" s="38">
        <f>IFERROR(AVERAGE(ScansTable[Total_Info]),0)</f>
        <v>0</v>
      </c>
      <c r="O17" s="14">
        <f>MAX(ScansTable[Total_Info])</f>
        <v>0</v>
      </c>
      <c r="Q17" s="26">
        <v>14</v>
      </c>
      <c r="R17" s="99">
        <f t="shared" si="0"/>
        <v>0</v>
      </c>
      <c r="S17" s="12">
        <f>COUNTIF(ScansTable[HourRequested],Q17)</f>
        <v>0</v>
      </c>
      <c r="U17" s="103" t="s">
        <v>87</v>
      </c>
      <c r="V17" s="130">
        <v>0</v>
      </c>
      <c r="W17" s="107" t="e">
        <v>#DIV/0!</v>
      </c>
    </row>
    <row r="18" spans="13:23" ht="15.75" thickBot="1" x14ac:dyDescent="0.3">
      <c r="Q18" s="26">
        <v>15</v>
      </c>
      <c r="R18" s="99">
        <f t="shared" si="0"/>
        <v>0</v>
      </c>
      <c r="S18" s="12">
        <f>COUNTIF(ScansTable[HourRequested],Q18)</f>
        <v>0</v>
      </c>
      <c r="U18"/>
      <c r="V18"/>
      <c r="W18"/>
    </row>
    <row r="19" spans="13:23" ht="15.75" thickBot="1" x14ac:dyDescent="0.3">
      <c r="M19" s="69" t="s">
        <v>65</v>
      </c>
      <c r="N19" s="70" t="s">
        <v>55</v>
      </c>
      <c r="O19" s="71" t="s">
        <v>56</v>
      </c>
      <c r="Q19" s="26">
        <v>16</v>
      </c>
      <c r="R19" s="99">
        <f t="shared" si="0"/>
        <v>0</v>
      </c>
      <c r="S19" s="12">
        <f>COUNTIF(ScansTable[HourRequested],Q19)</f>
        <v>0</v>
      </c>
      <c r="U19" s="74" t="s">
        <v>14</v>
      </c>
      <c r="V19" s="126" t="s">
        <v>53</v>
      </c>
      <c r="W19" s="127" t="s">
        <v>96</v>
      </c>
    </row>
    <row r="20" spans="13:23" ht="15.75" thickBot="1" x14ac:dyDescent="0.3">
      <c r="M20" s="21" t="s">
        <v>63</v>
      </c>
      <c r="N20" s="39">
        <f>IFERROR(AVERAGEIF(ScansTable[Loc], "&lt;&gt;0"),0)</f>
        <v>0</v>
      </c>
      <c r="O20" s="10">
        <f>MAX(ScansTable[Loc])</f>
        <v>0</v>
      </c>
      <c r="Q20" s="26">
        <v>17</v>
      </c>
      <c r="R20" s="99">
        <f t="shared" si="0"/>
        <v>0</v>
      </c>
      <c r="S20" s="12">
        <f>COUNTIF(ScansTable[HourRequested],Q20)</f>
        <v>0</v>
      </c>
      <c r="U20" s="128" t="s">
        <v>201</v>
      </c>
      <c r="V20" s="124"/>
      <c r="W20" s="125" t="e">
        <v>#DIV/0!</v>
      </c>
    </row>
    <row r="21" spans="13:23" ht="15.75" thickBot="1" x14ac:dyDescent="0.3">
      <c r="M21" s="31" t="s">
        <v>64</v>
      </c>
      <c r="N21" s="40">
        <f>IFERROR(AVERAGE(ScansTable[Runtime]),0)</f>
        <v>0</v>
      </c>
      <c r="O21" s="41">
        <f>MAX(ScansTable[Runtime])</f>
        <v>0</v>
      </c>
      <c r="Q21" s="26">
        <v>18</v>
      </c>
      <c r="R21" s="99">
        <f t="shared" si="0"/>
        <v>0</v>
      </c>
      <c r="S21" s="12">
        <f>COUNTIF(ScansTable[HourRequested],Q21)</f>
        <v>0</v>
      </c>
      <c r="U21"/>
      <c r="V21"/>
      <c r="W21"/>
    </row>
    <row r="22" spans="13:23" ht="15.75" thickBot="1" x14ac:dyDescent="0.3">
      <c r="Q22" s="26">
        <v>19</v>
      </c>
      <c r="R22" s="99">
        <f t="shared" si="0"/>
        <v>0</v>
      </c>
      <c r="S22" s="12">
        <f>COUNTIF(ScansTable[HourRequested],Q22)</f>
        <v>0</v>
      </c>
    </row>
    <row r="23" spans="13:23" ht="15.75" thickBot="1" x14ac:dyDescent="0.3">
      <c r="M23" s="69" t="s">
        <v>28</v>
      </c>
      <c r="N23" s="70" t="s">
        <v>53</v>
      </c>
      <c r="O23" s="71" t="s">
        <v>42</v>
      </c>
      <c r="Q23" s="26">
        <v>20</v>
      </c>
      <c r="R23" s="99">
        <f t="shared" si="0"/>
        <v>0</v>
      </c>
      <c r="S23" s="12">
        <f>COUNTIF(ScansTable[HourRequested],Q23)</f>
        <v>0</v>
      </c>
    </row>
    <row r="24" spans="13:23" x14ac:dyDescent="0.25">
      <c r="M24" s="21" t="s">
        <v>66</v>
      </c>
      <c r="N24" s="22">
        <f>COUNTIF(ScansTable[Sast], TRUE)</f>
        <v>0</v>
      </c>
      <c r="O24" s="42">
        <f>IFERROR(N24/COUNTA(ScansTable[ScanID]),0)</f>
        <v>0</v>
      </c>
      <c r="Q24" s="26">
        <v>21</v>
      </c>
      <c r="R24" s="99">
        <f t="shared" si="0"/>
        <v>0</v>
      </c>
      <c r="S24" s="12">
        <f>COUNTIF(ScansTable[HourRequested],Q24)</f>
        <v>0</v>
      </c>
    </row>
    <row r="25" spans="13:23" ht="15.75" thickBot="1" x14ac:dyDescent="0.3">
      <c r="M25" s="27" t="s">
        <v>67</v>
      </c>
      <c r="N25" s="29">
        <f>COUNTIF(ScansTable[Sca], TRUE)</f>
        <v>0</v>
      </c>
      <c r="O25" s="30">
        <f>IFERROR(N25/COUNTA(ScansTable[ScanID]),0)</f>
        <v>0</v>
      </c>
      <c r="Q25" s="26">
        <v>22</v>
      </c>
      <c r="R25" s="99">
        <f t="shared" si="0"/>
        <v>0</v>
      </c>
      <c r="S25" s="12">
        <f>COUNTIF(ScansTable[HourRequested],Q25)</f>
        <v>0</v>
      </c>
    </row>
    <row r="26" spans="13:23" ht="15.75" thickBot="1" x14ac:dyDescent="0.3">
      <c r="M26" s="27" t="s">
        <v>68</v>
      </c>
      <c r="N26" s="29">
        <f>COUNTIF(ScansTable[Kics], TRUE)</f>
        <v>0</v>
      </c>
      <c r="O26" s="30">
        <f>IFERROR(N26/COUNTA(ScansTable[ScanID]),0)</f>
        <v>0</v>
      </c>
      <c r="Q26" s="43">
        <v>23</v>
      </c>
      <c r="R26" s="100">
        <f t="shared" si="0"/>
        <v>0</v>
      </c>
      <c r="S26" s="14">
        <f>COUNTIF(ScansTable[HourRequested],Q26)</f>
        <v>0</v>
      </c>
    </row>
    <row r="27" spans="13:23" x14ac:dyDescent="0.25">
      <c r="M27" s="27" t="s">
        <v>33</v>
      </c>
      <c r="N27" s="29">
        <f>COUNTIF(ScansTable[Containers], TRUE)</f>
        <v>0</v>
      </c>
      <c r="O27" s="30">
        <f>IFERROR(N27/COUNTA(ScansTable[ScanID]),0)</f>
        <v>0</v>
      </c>
    </row>
    <row r="28" spans="13:23" x14ac:dyDescent="0.25">
      <c r="M28" s="27" t="s">
        <v>69</v>
      </c>
      <c r="N28" s="29">
        <f>COUNTIF(ScansTable[Api], TRUE)</f>
        <v>0</v>
      </c>
      <c r="O28" s="30">
        <f>IFERROR(N28/COUNTA(ScansTable[ScanID]),0)</f>
        <v>0</v>
      </c>
    </row>
    <row r="29" spans="13:23" ht="15.75" thickBot="1" x14ac:dyDescent="0.3">
      <c r="M29" s="31" t="s">
        <v>191</v>
      </c>
      <c r="N29" s="33">
        <f>COUNTIF(ScansTable[SSCS], TRUE)</f>
        <v>0</v>
      </c>
      <c r="O29" s="34">
        <f>IFERROR(N29/COUNTA(ScansTable[ScanID]),0)</f>
        <v>0</v>
      </c>
    </row>
    <row r="30" spans="13:23" ht="15.75" thickBot="1" x14ac:dyDescent="0.3"/>
    <row r="596" ht="15.75" thickBot="1" x14ac:dyDescent="0.3"/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38" t="s">
        <v>97</v>
      </c>
      <c r="C2" s="139"/>
      <c r="D2" s="140"/>
      <c r="E2" s="59" t="s">
        <v>40</v>
      </c>
      <c r="F2" s="60" t="s">
        <v>99</v>
      </c>
      <c r="G2" s="61" t="s">
        <v>100</v>
      </c>
      <c r="I2" s="5" t="s">
        <v>97</v>
      </c>
      <c r="J2" s="5" t="s">
        <v>95</v>
      </c>
      <c r="K2" s="5" t="s">
        <v>100</v>
      </c>
    </row>
    <row r="3" spans="2:11" ht="18.75" x14ac:dyDescent="0.3">
      <c r="B3" s="48">
        <v>0</v>
      </c>
      <c r="C3" s="17" t="s">
        <v>98</v>
      </c>
      <c r="D3" s="56">
        <v>20000</v>
      </c>
      <c r="E3" s="54">
        <f>COUNTIFS(ScansTable[Loc],"&gt;="&amp;B3, ScansTable[Loc], "&lt;="&amp;D3, ScansTable[Loc], "&lt;&gt;0", ScansTable[Status], "Completed")</f>
        <v>0</v>
      </c>
      <c r="F3" s="18">
        <f>IFERROR(E3/$E$15,0)</f>
        <v>0</v>
      </c>
      <c r="G3" s="49">
        <f>IFERROR(AVERAGEIFS(ScansTable[Runtime],ScansTable[Loc],"&gt;="&amp;B3,ScansTable[Loc],"&lt;="&amp;D3,ScansTable[Runtime],"&gt;0"),0)</f>
        <v>0</v>
      </c>
      <c r="I3" s="5" t="s">
        <v>101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8">
        <v>20001</v>
      </c>
      <c r="C4" s="17" t="s">
        <v>98</v>
      </c>
      <c r="D4" s="56">
        <v>50000</v>
      </c>
      <c r="E4" s="54">
        <f>COUNTIFS(ScansTable[Loc],"&gt;="&amp;B4, ScansTable[Loc], "&lt;="&amp;D4, ScansTable[Loc], "&lt;&gt;0", ScansTable[Status], "Completed")</f>
        <v>0</v>
      </c>
      <c r="F4" s="18">
        <f>IFERROR(E4/$E$15,0)</f>
        <v>0</v>
      </c>
      <c r="G4" s="49">
        <f>IFERROR(AVERAGEIFS(ScansTable[Runtime],ScansTable[Loc],"&gt;="&amp;B4,ScansTable[Loc],"&lt;="&amp;D4,ScansTable[Runtime],"&gt;0"),0)</f>
        <v>0</v>
      </c>
      <c r="I4" s="5" t="s">
        <v>102</v>
      </c>
      <c r="J4" s="6">
        <f t="shared" si="0"/>
        <v>0</v>
      </c>
      <c r="K4" s="7">
        <f t="shared" si="1"/>
        <v>0</v>
      </c>
    </row>
    <row r="5" spans="2:11" ht="18.75" x14ac:dyDescent="0.3">
      <c r="B5" s="48">
        <v>50001</v>
      </c>
      <c r="C5" s="17" t="s">
        <v>98</v>
      </c>
      <c r="D5" s="56">
        <v>100000</v>
      </c>
      <c r="E5" s="54">
        <f>COUNTIFS(ScansTable[Loc],"&gt;="&amp;B5, ScansTable[Loc], "&lt;="&amp;D5, ScansTable[Loc], "&lt;&gt;0", ScansTable[Status], "Completed")</f>
        <v>0</v>
      </c>
      <c r="F5" s="18">
        <f t="shared" ref="F5:F13" si="2">IFERROR(E5/$E$15,0)</f>
        <v>0</v>
      </c>
      <c r="G5" s="49">
        <f>IFERROR(AVERAGEIFS(ScansTable[Runtime],ScansTable[Loc],"&gt;="&amp;B5,ScansTable[Loc],"&lt;="&amp;D5,ScansTable[Runtime],"&gt;0"),0)</f>
        <v>0</v>
      </c>
      <c r="I5" s="5" t="s">
        <v>103</v>
      </c>
      <c r="J5" s="6">
        <f t="shared" si="0"/>
        <v>0</v>
      </c>
      <c r="K5" s="7">
        <f t="shared" si="1"/>
        <v>0</v>
      </c>
    </row>
    <row r="6" spans="2:11" ht="18.75" x14ac:dyDescent="0.3">
      <c r="B6" s="48">
        <v>100001</v>
      </c>
      <c r="C6" s="17" t="s">
        <v>98</v>
      </c>
      <c r="D6" s="56">
        <v>250000</v>
      </c>
      <c r="E6" s="54">
        <f>COUNTIFS(ScansTable[Loc],"&gt;="&amp;B6, ScansTable[Loc], "&lt;="&amp;D6, ScansTable[Loc], "&lt;&gt;0", ScansTable[Status], "Completed")</f>
        <v>0</v>
      </c>
      <c r="F6" s="18">
        <f t="shared" si="2"/>
        <v>0</v>
      </c>
      <c r="G6" s="49">
        <f>IFERROR(AVERAGEIFS(ScansTable[Runtime],ScansTable[Loc],"&gt;="&amp;B6,ScansTable[Loc],"&lt;="&amp;D6,ScansTable[Runtime],"&gt;0"),0)</f>
        <v>0</v>
      </c>
      <c r="I6" s="5" t="s">
        <v>104</v>
      </c>
      <c r="J6" s="6">
        <f t="shared" si="0"/>
        <v>0</v>
      </c>
      <c r="K6" s="7">
        <f t="shared" si="1"/>
        <v>0</v>
      </c>
    </row>
    <row r="7" spans="2:11" ht="18.75" x14ac:dyDescent="0.3">
      <c r="B7" s="48">
        <v>250001</v>
      </c>
      <c r="C7" s="17" t="s">
        <v>98</v>
      </c>
      <c r="D7" s="56">
        <v>500000</v>
      </c>
      <c r="E7" s="54">
        <f>COUNTIFS(ScansTable[Loc],"&gt;="&amp;B7, ScansTable[Loc], "&lt;="&amp;D7, ScansTable[Loc], "&lt;&gt;0", ScansTable[Status], "Completed")</f>
        <v>0</v>
      </c>
      <c r="F7" s="18">
        <f t="shared" si="2"/>
        <v>0</v>
      </c>
      <c r="G7" s="49">
        <f>IFERROR(AVERAGEIFS(ScansTable[Runtime],ScansTable[Loc],"&gt;="&amp;B7,ScansTable[Loc],"&lt;="&amp;D7,ScansTable[Runtime],"&gt;0"),0)</f>
        <v>0</v>
      </c>
      <c r="I7" s="5" t="s">
        <v>105</v>
      </c>
      <c r="J7" s="6">
        <f t="shared" si="0"/>
        <v>0</v>
      </c>
      <c r="K7" s="7">
        <f t="shared" si="1"/>
        <v>0</v>
      </c>
    </row>
    <row r="8" spans="2:11" ht="18.75" x14ac:dyDescent="0.3">
      <c r="B8" s="48">
        <v>500001</v>
      </c>
      <c r="C8" s="17" t="s">
        <v>98</v>
      </c>
      <c r="D8" s="56">
        <v>1000000</v>
      </c>
      <c r="E8" s="54">
        <f>COUNTIFS(ScansTable[Loc],"&gt;="&amp;B8, ScansTable[Loc], "&lt;="&amp;D8, ScansTable[Loc], "&lt;&gt;0", ScansTable[Status], "Completed")</f>
        <v>0</v>
      </c>
      <c r="F8" s="18">
        <f t="shared" si="2"/>
        <v>0</v>
      </c>
      <c r="G8" s="49">
        <f>IFERROR(AVERAGEIFS(ScansTable[Runtime],ScansTable[Loc],"&gt;="&amp;B8,ScansTable[Loc],"&lt;="&amp;D8,ScansTable[Runtime],"&gt;0"),0)</f>
        <v>0</v>
      </c>
      <c r="I8" s="5" t="s">
        <v>106</v>
      </c>
      <c r="J8" s="6">
        <f t="shared" si="0"/>
        <v>0</v>
      </c>
      <c r="K8" s="7">
        <f t="shared" si="1"/>
        <v>0</v>
      </c>
    </row>
    <row r="9" spans="2:11" ht="18.75" x14ac:dyDescent="0.3">
      <c r="B9" s="48">
        <v>1000001</v>
      </c>
      <c r="C9" s="17" t="s">
        <v>98</v>
      </c>
      <c r="D9" s="56">
        <v>2000000</v>
      </c>
      <c r="E9" s="54">
        <f>COUNTIFS(ScansTable[Loc],"&gt;="&amp;B9, ScansTable[Loc], "&lt;="&amp;D9, ScansTable[Loc], "&lt;&gt;0", ScansTable[Status], "Completed")</f>
        <v>0</v>
      </c>
      <c r="F9" s="18">
        <f t="shared" si="2"/>
        <v>0</v>
      </c>
      <c r="G9" s="49">
        <f>IFERROR(AVERAGEIFS(ScansTable[Runtime],ScansTable[Loc],"&gt;="&amp;B9,ScansTable[Loc],"&lt;="&amp;D9,ScansTable[Runtime],"&gt;0"),0)</f>
        <v>0</v>
      </c>
      <c r="I9" s="5" t="s">
        <v>107</v>
      </c>
      <c r="J9" s="6">
        <f t="shared" si="0"/>
        <v>0</v>
      </c>
      <c r="K9" s="7">
        <f t="shared" si="1"/>
        <v>0</v>
      </c>
    </row>
    <row r="10" spans="2:11" ht="18.75" x14ac:dyDescent="0.3">
      <c r="B10" s="48">
        <v>2000001</v>
      </c>
      <c r="C10" s="17" t="s">
        <v>98</v>
      </c>
      <c r="D10" s="56">
        <v>3000000</v>
      </c>
      <c r="E10" s="54">
        <f>COUNTIFS(ScansTable[Loc],"&gt;="&amp;B10, ScansTable[Loc], "&lt;="&amp;D10, ScansTable[Loc], "&lt;&gt;0", ScansTable[Status], "Completed")</f>
        <v>0</v>
      </c>
      <c r="F10" s="18">
        <f t="shared" si="2"/>
        <v>0</v>
      </c>
      <c r="G10" s="49">
        <f>IFERROR(AVERAGEIFS(ScansTable[Runtime],ScansTable[Loc],"&gt;="&amp;B10,ScansTable[Loc],"&lt;="&amp;D10,ScansTable[Runtime],"&gt;0"),0)</f>
        <v>0</v>
      </c>
      <c r="I10" s="5" t="s">
        <v>108</v>
      </c>
      <c r="J10" s="6">
        <f t="shared" si="0"/>
        <v>0</v>
      </c>
      <c r="K10" s="7">
        <f t="shared" si="1"/>
        <v>0</v>
      </c>
    </row>
    <row r="11" spans="2:11" ht="18.75" x14ac:dyDescent="0.3">
      <c r="B11" s="48">
        <v>3000001</v>
      </c>
      <c r="C11" s="17" t="s">
        <v>98</v>
      </c>
      <c r="D11" s="56">
        <v>5000000</v>
      </c>
      <c r="E11" s="54">
        <f>COUNTIFS(ScansTable[Loc],"&gt;="&amp;B11, ScansTable[Loc], "&lt;="&amp;D11, ScansTable[Loc], "&lt;&gt;0", ScansTable[Status], "Completed")</f>
        <v>0</v>
      </c>
      <c r="F11" s="18">
        <f t="shared" si="2"/>
        <v>0</v>
      </c>
      <c r="G11" s="49">
        <f>IFERROR(AVERAGEIFS(ScansTable[Runtime],ScansTable[Loc],"&gt;="&amp;B11,ScansTable[Loc],"&lt;="&amp;D11,ScansTable[Runtime],"&gt;0"),0)</f>
        <v>0</v>
      </c>
      <c r="I11" s="5" t="s">
        <v>109</v>
      </c>
      <c r="J11" s="6">
        <f t="shared" si="0"/>
        <v>0</v>
      </c>
      <c r="K11" s="7">
        <f t="shared" si="1"/>
        <v>0</v>
      </c>
    </row>
    <row r="12" spans="2:11" ht="18.75" x14ac:dyDescent="0.3">
      <c r="B12" s="48">
        <v>5000001</v>
      </c>
      <c r="C12" s="17" t="s">
        <v>98</v>
      </c>
      <c r="D12" s="56">
        <v>7000000</v>
      </c>
      <c r="E12" s="54">
        <f>COUNTIFS(ScansTable[Loc],"&gt;="&amp;B12, ScansTable[Loc], "&lt;="&amp;D12, ScansTable[Loc], "&lt;&gt;0", ScansTable[Status], "Completed")</f>
        <v>0</v>
      </c>
      <c r="F12" s="18">
        <f t="shared" si="2"/>
        <v>0</v>
      </c>
      <c r="G12" s="49">
        <f>IFERROR(AVERAGEIFS(ScansTable[Runtime],ScansTable[Loc],"&gt;="&amp;B12,ScansTable[Loc],"&lt;="&amp;D12,ScansTable[Runtime],"&gt;0"),0)</f>
        <v>0</v>
      </c>
      <c r="I12" s="5" t="s">
        <v>110</v>
      </c>
      <c r="J12" s="6">
        <f t="shared" si="0"/>
        <v>0</v>
      </c>
      <c r="K12" s="7">
        <f t="shared" si="1"/>
        <v>0</v>
      </c>
    </row>
    <row r="13" spans="2:11" ht="18.75" x14ac:dyDescent="0.3">
      <c r="B13" s="48">
        <v>7000001</v>
      </c>
      <c r="C13" s="17" t="s">
        <v>98</v>
      </c>
      <c r="D13" s="56">
        <v>10000000</v>
      </c>
      <c r="E13" s="54">
        <f>COUNTIFS(ScansTable[Loc],"&gt;="&amp;B13, ScansTable[Loc], "&lt;="&amp;D13, ScansTable[Loc], "&lt;&gt;0", ScansTable[Status], "Completed")</f>
        <v>0</v>
      </c>
      <c r="F13" s="18">
        <f t="shared" si="2"/>
        <v>0</v>
      </c>
      <c r="G13" s="49">
        <f>IFERROR(AVERAGEIFS(ScansTable[Runtime],ScansTable[Loc],"&gt;="&amp;B13,ScansTable[Loc],"&lt;="&amp;D13,ScansTable[Runtime],"&gt;0"),0)</f>
        <v>0</v>
      </c>
      <c r="I13" s="5" t="s">
        <v>111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50">
        <v>10000001</v>
      </c>
      <c r="C14" s="51" t="s">
        <v>98</v>
      </c>
      <c r="D14" s="57">
        <v>100000000</v>
      </c>
      <c r="E14" s="55">
        <f>COUNTIFS(ScansTable[Loc],"&gt;="&amp;B14, ScansTable[Loc], "&lt;="&amp;D14, ScansTable[Loc], "&lt;&gt;0", ScansTable[Status], "Completed")</f>
        <v>0</v>
      </c>
      <c r="F14" s="52">
        <f>IFERROR(E14/$E$15,0)</f>
        <v>0</v>
      </c>
      <c r="G14" s="53">
        <f>IFERROR(AVERAGEIFS(ScansTable[Runtime],ScansTable[Loc],"&gt;="&amp;B14,ScansTable[Loc],"&lt;="&amp;D14,ScansTable[Runtime],"&gt;0"),0)</f>
        <v>0</v>
      </c>
      <c r="I14" s="5" t="s">
        <v>112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9"/>
      <c r="C15" s="19"/>
      <c r="D15" s="19"/>
      <c r="E15" s="58">
        <f>SUM(E3:E14)</f>
        <v>0</v>
      </c>
      <c r="F15" s="20"/>
      <c r="G15" s="19"/>
    </row>
    <row r="37" spans="2:7" ht="15.75" x14ac:dyDescent="0.25">
      <c r="B37" s="141" t="s">
        <v>171</v>
      </c>
      <c r="C37" s="141"/>
      <c r="D37" s="141"/>
      <c r="E37" s="141"/>
      <c r="F37" s="141"/>
      <c r="G37" s="141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B2" sqref="B2:C3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8" t="s">
        <v>174</v>
      </c>
      <c r="C2" s="109" t="s">
        <v>25</v>
      </c>
      <c r="F2" s="44"/>
      <c r="G2" s="113" t="s">
        <v>152</v>
      </c>
      <c r="H2" s="110" t="s">
        <v>153</v>
      </c>
      <c r="I2" s="111" t="s">
        <v>154</v>
      </c>
      <c r="J2" s="109" t="s">
        <v>155</v>
      </c>
      <c r="L2" s="142" t="s">
        <v>173</v>
      </c>
      <c r="M2" s="143"/>
      <c r="N2" s="44"/>
      <c r="O2" s="44"/>
    </row>
    <row r="3" spans="2:15" ht="19.5" thickBot="1" x14ac:dyDescent="0.35">
      <c r="B3" s="19" t="s">
        <v>152</v>
      </c>
      <c r="C3" s="19"/>
      <c r="F3" s="44"/>
      <c r="L3" s="108" t="s">
        <v>25</v>
      </c>
      <c r="M3" s="108" t="s">
        <v>172</v>
      </c>
    </row>
    <row r="4" spans="2:15" ht="16.5" thickBot="1" x14ac:dyDescent="0.3">
      <c r="F4" s="45"/>
      <c r="L4" s="117" t="s">
        <v>201</v>
      </c>
      <c r="M4" s="119"/>
    </row>
    <row r="5" spans="2:15" ht="15.75" x14ac:dyDescent="0.25">
      <c r="F5" s="45"/>
      <c r="L5"/>
      <c r="M5"/>
    </row>
    <row r="6" spans="2:15" ht="16.5" thickBot="1" x14ac:dyDescent="0.3">
      <c r="F6" s="45"/>
      <c r="L6"/>
      <c r="M6"/>
    </row>
    <row r="7" spans="2:15" ht="15.75" x14ac:dyDescent="0.25">
      <c r="F7" s="45"/>
    </row>
    <row r="8" spans="2:15" ht="15.75" x14ac:dyDescent="0.25">
      <c r="F8" s="45"/>
    </row>
    <row r="9" spans="2:15" ht="16.5" thickBot="1" x14ac:dyDescent="0.3">
      <c r="F9" s="45"/>
      <c r="G9" s="19"/>
      <c r="H9" s="19"/>
      <c r="I9" s="19"/>
      <c r="J9" s="19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44" t="s">
        <v>57</v>
      </c>
      <c r="D2" s="145"/>
      <c r="E2" s="144" t="s">
        <v>66</v>
      </c>
      <c r="F2" s="145"/>
      <c r="G2" s="144" t="s">
        <v>67</v>
      </c>
      <c r="H2" s="145"/>
      <c r="I2" s="144" t="s">
        <v>157</v>
      </c>
      <c r="J2" s="145"/>
      <c r="K2" s="144" t="s">
        <v>68</v>
      </c>
      <c r="L2" s="145"/>
      <c r="M2" s="144" t="s">
        <v>69</v>
      </c>
      <c r="N2" s="145"/>
      <c r="O2" s="144" t="s">
        <v>191</v>
      </c>
      <c r="P2" s="145"/>
      <c r="Q2" s="144" t="s">
        <v>33</v>
      </c>
      <c r="R2" s="145"/>
    </row>
    <row r="3" spans="2:18" ht="16.5" customHeight="1" thickBot="1" x14ac:dyDescent="0.3">
      <c r="B3" s="67" t="s">
        <v>156</v>
      </c>
      <c r="C3" s="66" t="s">
        <v>55</v>
      </c>
      <c r="D3" s="64" t="s">
        <v>56</v>
      </c>
      <c r="E3" s="65" t="s">
        <v>55</v>
      </c>
      <c r="F3" s="63" t="s">
        <v>56</v>
      </c>
      <c r="G3" s="62" t="s">
        <v>55</v>
      </c>
      <c r="H3" s="64" t="s">
        <v>56</v>
      </c>
      <c r="I3" s="62" t="s">
        <v>55</v>
      </c>
      <c r="J3" s="64" t="s">
        <v>56</v>
      </c>
      <c r="K3" s="65" t="s">
        <v>55</v>
      </c>
      <c r="L3" s="63" t="s">
        <v>56</v>
      </c>
      <c r="M3" s="65" t="s">
        <v>55</v>
      </c>
      <c r="N3" s="63" t="s">
        <v>56</v>
      </c>
      <c r="O3" s="62" t="s">
        <v>55</v>
      </c>
      <c r="P3" s="64" t="s">
        <v>56</v>
      </c>
      <c r="Q3" s="62" t="s">
        <v>55</v>
      </c>
      <c r="R3" s="64" t="s">
        <v>56</v>
      </c>
    </row>
    <row r="4" spans="2:18" ht="15.75" x14ac:dyDescent="0.25">
      <c r="B4" s="46" t="s">
        <v>57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6" t="s">
        <v>58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6" t="s">
        <v>59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6" t="s">
        <v>60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6" t="s">
        <v>61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7" t="s">
        <v>158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159</v>
      </c>
      <c r="H1" t="s">
        <v>160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BS9"/>
  <sheetViews>
    <sheetView zoomScaleNormal="100" workbookViewId="0">
      <pane ySplit="1" topLeftCell="A2" activePane="bottomLeft" state="frozen"/>
      <selection activeCell="AZ1" sqref="AZ1"/>
      <selection pane="bottomLeft" sqref="A1:BS2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3.85546875" bestFit="1" customWidth="1"/>
    <col min="16" max="16" width="15" bestFit="1" customWidth="1"/>
    <col min="17" max="17" width="7.140625" bestFit="1" customWidth="1"/>
    <col min="18" max="18" width="6.42578125" bestFit="1" customWidth="1"/>
    <col min="19" max="19" width="7" bestFit="1" customWidth="1"/>
    <col min="20" max="20" width="13.28515625" bestFit="1" customWidth="1"/>
    <col min="21" max="21" width="6.140625" bestFit="1" customWidth="1"/>
    <col min="22" max="22" width="8.140625" bestFit="1" customWidth="1"/>
    <col min="23" max="23" width="21.42578125" bestFit="1" customWidth="1"/>
    <col min="24" max="24" width="15.140625" bestFit="1" customWidth="1"/>
    <col min="25" max="25" width="12.7109375" bestFit="1" customWidth="1"/>
    <col min="26" max="26" width="16" bestFit="1" customWidth="1"/>
    <col min="27" max="27" width="12.140625" bestFit="1" customWidth="1"/>
    <col min="28" max="28" width="12.140625" customWidth="1"/>
    <col min="29" max="29" width="26.28515625" bestFit="1" customWidth="1"/>
    <col min="30" max="30" width="14.5703125" bestFit="1" customWidth="1"/>
    <col min="31" max="31" width="12.140625" bestFit="1" customWidth="1"/>
    <col min="32" max="32" width="15.42578125" bestFit="1" customWidth="1"/>
    <col min="33" max="34" width="11.5703125" bestFit="1" customWidth="1"/>
    <col min="35" max="35" width="26.140625" bestFit="1" customWidth="1"/>
    <col min="36" max="36" width="14.42578125" bestFit="1" customWidth="1"/>
    <col min="37" max="37" width="12" bestFit="1" customWidth="1"/>
    <col min="38" max="38" width="15.140625" bestFit="1" customWidth="1"/>
    <col min="39" max="40" width="11.42578125" bestFit="1" customWidth="1"/>
    <col min="41" max="41" width="25.5703125" bestFit="1" customWidth="1"/>
    <col min="42" max="42" width="13.85546875" bestFit="1" customWidth="1"/>
    <col min="43" max="43" width="11.42578125" bestFit="1" customWidth="1"/>
    <col min="44" max="44" width="14.5703125" bestFit="1" customWidth="1"/>
    <col min="45" max="46" width="10.85546875" bestFit="1" customWidth="1"/>
    <col min="47" max="47" width="30.85546875" bestFit="1" customWidth="1"/>
    <col min="48" max="48" width="19.140625" bestFit="1" customWidth="1"/>
    <col min="49" max="49" width="16.7109375" bestFit="1" customWidth="1"/>
    <col min="50" max="50" width="20" bestFit="1" customWidth="1"/>
    <col min="51" max="52" width="16.140625" bestFit="1" customWidth="1"/>
    <col min="53" max="53" width="25.28515625" bestFit="1" customWidth="1"/>
    <col min="54" max="54" width="13.5703125" bestFit="1" customWidth="1"/>
    <col min="55" max="55" width="11.140625" bestFit="1" customWidth="1"/>
    <col min="56" max="56" width="14.28515625" bestFit="1" customWidth="1"/>
    <col min="57" max="58" width="10.5703125" bestFit="1" customWidth="1"/>
    <col min="59" max="59" width="27.28515625" bestFit="1" customWidth="1"/>
    <col min="60" max="60" width="15.7109375" bestFit="1" customWidth="1"/>
    <col min="61" max="61" width="13.140625" bestFit="1" customWidth="1"/>
    <col min="62" max="62" width="16.42578125" bestFit="1" customWidth="1"/>
    <col min="63" max="64" width="12.5703125" bestFit="1" customWidth="1"/>
    <col min="65" max="65" width="32.7109375" bestFit="1" customWidth="1"/>
    <col min="66" max="66" width="21" bestFit="1" customWidth="1"/>
    <col min="67" max="67" width="18.42578125" bestFit="1" customWidth="1"/>
    <col min="68" max="68" width="21.7109375" bestFit="1" customWidth="1"/>
    <col min="69" max="70" width="17.85546875" bestFit="1" customWidth="1"/>
    <col min="71" max="71" width="20.42578125" bestFit="1" customWidth="1"/>
    <col min="72" max="72" width="32.7109375" bestFit="1" customWidth="1"/>
    <col min="73" max="73" width="21" bestFit="1" customWidth="1"/>
    <col min="74" max="74" width="18.42578125" bestFit="1" customWidth="1"/>
    <col min="75" max="75" width="21.7109375" bestFit="1" customWidth="1"/>
    <col min="76" max="78" width="17.85546875" bestFit="1" customWidth="1"/>
    <col min="79" max="80" width="18.42578125" bestFit="1" customWidth="1"/>
    <col min="81" max="82" width="12.140625" bestFit="1" customWidth="1"/>
  </cols>
  <sheetData>
    <row r="1" spans="1:71" x14ac:dyDescent="0.25">
      <c r="A1" t="s">
        <v>23</v>
      </c>
      <c r="B1" t="s">
        <v>24</v>
      </c>
      <c r="C1" t="s">
        <v>12</v>
      </c>
      <c r="D1" t="s">
        <v>25</v>
      </c>
      <c r="E1" t="s">
        <v>26</v>
      </c>
      <c r="F1" t="s">
        <v>27</v>
      </c>
      <c r="G1" t="s">
        <v>6</v>
      </c>
      <c r="H1" t="s">
        <v>49</v>
      </c>
      <c r="I1" t="s">
        <v>50</v>
      </c>
      <c r="J1" t="s">
        <v>70</v>
      </c>
      <c r="K1" t="s">
        <v>91</v>
      </c>
      <c r="L1" t="s">
        <v>51</v>
      </c>
      <c r="M1" t="s">
        <v>28</v>
      </c>
      <c r="N1" t="s">
        <v>113</v>
      </c>
      <c r="O1" t="s">
        <v>52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191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  <c r="AB1" t="s">
        <v>48</v>
      </c>
      <c r="AC1" t="s">
        <v>114</v>
      </c>
      <c r="AD1" t="s">
        <v>115</v>
      </c>
      <c r="AE1" t="s">
        <v>116</v>
      </c>
      <c r="AF1" t="s">
        <v>117</v>
      </c>
      <c r="AG1" t="s">
        <v>118</v>
      </c>
      <c r="AH1" t="s">
        <v>119</v>
      </c>
      <c r="AI1" t="s">
        <v>120</v>
      </c>
      <c r="AJ1" t="s">
        <v>121</v>
      </c>
      <c r="AK1" t="s">
        <v>122</v>
      </c>
      <c r="AL1" t="s">
        <v>123</v>
      </c>
      <c r="AM1" t="s">
        <v>124</v>
      </c>
      <c r="AN1" t="s">
        <v>125</v>
      </c>
      <c r="AO1" t="s">
        <v>126</v>
      </c>
      <c r="AP1" t="s">
        <v>127</v>
      </c>
      <c r="AQ1" t="s">
        <v>128</v>
      </c>
      <c r="AR1" t="s">
        <v>129</v>
      </c>
      <c r="AS1" t="s">
        <v>130</v>
      </c>
      <c r="AT1" t="s">
        <v>131</v>
      </c>
      <c r="AU1" t="s">
        <v>132</v>
      </c>
      <c r="AV1" t="s">
        <v>133</v>
      </c>
      <c r="AW1" t="s">
        <v>134</v>
      </c>
      <c r="AX1" t="s">
        <v>135</v>
      </c>
      <c r="AY1" t="s">
        <v>136</v>
      </c>
      <c r="AZ1" t="s">
        <v>137</v>
      </c>
      <c r="BA1" t="s">
        <v>138</v>
      </c>
      <c r="BB1" t="s">
        <v>139</v>
      </c>
      <c r="BC1" t="s">
        <v>140</v>
      </c>
      <c r="BD1" t="s">
        <v>141</v>
      </c>
      <c r="BE1" t="s">
        <v>142</v>
      </c>
      <c r="BF1" t="s">
        <v>143</v>
      </c>
      <c r="BG1" t="s">
        <v>192</v>
      </c>
      <c r="BH1" t="s">
        <v>193</v>
      </c>
      <c r="BI1" t="s">
        <v>194</v>
      </c>
      <c r="BJ1" t="s">
        <v>195</v>
      </c>
      <c r="BK1" t="s">
        <v>196</v>
      </c>
      <c r="BL1" t="s">
        <v>197</v>
      </c>
      <c r="BM1" t="s">
        <v>144</v>
      </c>
      <c r="BN1" t="s">
        <v>145</v>
      </c>
      <c r="BO1" t="s">
        <v>146</v>
      </c>
      <c r="BP1" t="s">
        <v>147</v>
      </c>
      <c r="BQ1" t="s">
        <v>148</v>
      </c>
      <c r="BR1" t="s">
        <v>149</v>
      </c>
      <c r="BS1" t="s">
        <v>203</v>
      </c>
    </row>
    <row r="2" spans="1:71" x14ac:dyDescent="0.25">
      <c r="G2" s="1"/>
      <c r="H2" s="1"/>
      <c r="I2" s="1"/>
      <c r="L2" s="2"/>
    </row>
    <row r="8" spans="1:71" x14ac:dyDescent="0.25">
      <c r="B8" s="3"/>
    </row>
    <row r="9" spans="1:71" x14ac:dyDescent="0.25">
      <c r="B9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5"/>
  <sheetViews>
    <sheetView workbookViewId="0">
      <selection activeCell="B8" sqref="B8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185</v>
      </c>
      <c r="B1" t="s">
        <v>198</v>
      </c>
    </row>
    <row r="2" spans="1:2" x14ac:dyDescent="0.25">
      <c r="A2" s="112">
        <v>1</v>
      </c>
      <c r="B2" t="s">
        <v>199</v>
      </c>
    </row>
    <row r="3" spans="1:2" x14ac:dyDescent="0.25">
      <c r="A3">
        <v>1.01</v>
      </c>
      <c r="B3" t="s">
        <v>200</v>
      </c>
    </row>
    <row r="4" spans="1:2" x14ac:dyDescent="0.25">
      <c r="A4">
        <v>1.02</v>
      </c>
      <c r="B4" t="s">
        <v>202</v>
      </c>
    </row>
    <row r="5" spans="1:2" x14ac:dyDescent="0.25">
      <c r="A5">
        <v>1.03</v>
      </c>
      <c r="B5" t="s">
        <v>204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7" bestFit="1" customWidth="1"/>
    <col min="2" max="2" width="6.5703125" bestFit="1" customWidth="1"/>
    <col min="3" max="3" width="4.85546875" bestFit="1" customWidth="1"/>
  </cols>
  <sheetData>
    <row r="1" spans="1:3" x14ac:dyDescent="0.25">
      <c r="A1" s="118" t="s">
        <v>91</v>
      </c>
      <c r="B1" s="101" t="s">
        <v>41</v>
      </c>
      <c r="C1" s="101" t="s">
        <v>94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ABEA9613-9FC4-48ED-95A7-CC1FEA414A55}">
  <ds:schemaRefs/>
</ds:datastoreItem>
</file>

<file path=customXml/itemProps2.xml><?xml version="1.0" encoding="utf-8"?>
<ds:datastoreItem xmlns:ds="http://schemas.openxmlformats.org/officeDocument/2006/customXml" ds:itemID="{A73F133E-C9AE-4294-84EC-FD6059AD4622}">
  <ds:schemaRefs/>
</ds:datastoreItem>
</file>

<file path=customXml/itemProps3.xml><?xml version="1.0" encoding="utf-8"?>
<ds:datastoreItem xmlns:ds="http://schemas.openxmlformats.org/officeDocument/2006/customXml" ds:itemID="{C29F687A-D469-43E4-AB7B-AACE11D88096}">
  <ds:schemaRefs/>
</ds:datastoreItem>
</file>

<file path=customXml/itemProps4.xml><?xml version="1.0" encoding="utf-8"?>
<ds:datastoreItem xmlns:ds="http://schemas.openxmlformats.org/officeDocument/2006/customXml" ds:itemID="{31571B3B-350A-41CF-9A2F-B93F7490092D}">
  <ds:schemaRefs/>
</ds:datastoreItem>
</file>

<file path=customXml/itemProps5.xml><?xml version="1.0" encoding="utf-8"?>
<ds:datastoreItem xmlns:ds="http://schemas.openxmlformats.org/officeDocument/2006/customXml" ds:itemID="{DEAC6858-95FB-46F8-BEEF-68E51FCE160D}">
  <ds:schemaRefs/>
</ds:datastoreItem>
</file>

<file path=customXml/itemProps6.xml><?xml version="1.0" encoding="utf-8"?>
<ds:datastoreItem xmlns:ds="http://schemas.openxmlformats.org/officeDocument/2006/customXml" ds:itemID="{49927123-2E37-45E8-B79F-364C654172CF}">
  <ds:schemaRefs/>
</ds:datastoreItem>
</file>

<file path=customXml/itemProps7.xml><?xml version="1.0" encoding="utf-8"?>
<ds:datastoreItem xmlns:ds="http://schemas.openxmlformats.org/officeDocument/2006/customXml" ds:itemID="{A795A5DA-DB3D-4805-B4A8-681C245DFF3C}">
  <ds:schemaRefs/>
</ds:datastoreItem>
</file>

<file path=customXml/itemProps8.xml><?xml version="1.0" encoding="utf-8"?>
<ds:datastoreItem xmlns:ds="http://schemas.openxmlformats.org/officeDocument/2006/customXml" ds:itemID="{35D20315-4040-47F3-8787-34EBBE57EA23}">
  <ds:schemaRefs/>
</ds:datastoreItem>
</file>

<file path=customXml/itemProps9.xml><?xml version="1.0" encoding="utf-8"?>
<ds:datastoreItem xmlns:ds="http://schemas.openxmlformats.org/officeDocument/2006/customXml" ds:itemID="{A7CA9EEC-2D12-4191-9EA6-96E1B6256725}">
  <ds:schemaRefs/>
</ds:datastoreItem>
</file>

<file path=customXml/itemProps10.xml><?xml version="1.0" encoding="utf-8"?>
<ds:datastoreItem xmlns:ds="http://schemas.openxmlformats.org/officeDocument/2006/customXml" ds:itemID="{A3AB9660-4CE3-445C-90B9-3E7AE836A8BA}">
  <ds:schemaRefs/>
</ds:datastoreItem>
</file>

<file path=customXml/itemProps11.xml><?xml version="1.0" encoding="utf-8"?>
<ds:datastoreItem xmlns:ds="http://schemas.openxmlformats.org/officeDocument/2006/customXml" ds:itemID="{D397FF88-5F5E-4078-9013-97817D6A9AAF}">
  <ds:schemaRefs/>
</ds:datastoreItem>
</file>

<file path=customXml/itemProps12.xml><?xml version="1.0" encoding="utf-8"?>
<ds:datastoreItem xmlns:ds="http://schemas.openxmlformats.org/officeDocument/2006/customXml" ds:itemID="{0A1C4646-4B60-45E3-86AA-C23E6388B9D5}">
  <ds:schemaRefs/>
</ds:datastoreItem>
</file>

<file path=customXml/itemProps13.xml><?xml version="1.0" encoding="utf-8"?>
<ds:datastoreItem xmlns:ds="http://schemas.openxmlformats.org/officeDocument/2006/customXml" ds:itemID="{C62F7074-6450-4E9A-BC4A-62EBBD15C289}">
  <ds:schemaRefs/>
</ds:datastoreItem>
</file>

<file path=customXml/itemProps14.xml><?xml version="1.0" encoding="utf-8"?>
<ds:datastoreItem xmlns:ds="http://schemas.openxmlformats.org/officeDocument/2006/customXml" ds:itemID="{7D9F4C69-410A-4146-8E25-69FBC5407FE8}">
  <ds:schemaRefs/>
</ds:datastoreItem>
</file>

<file path=customXml/itemProps15.xml><?xml version="1.0" encoding="utf-8"?>
<ds:datastoreItem xmlns:ds="http://schemas.openxmlformats.org/officeDocument/2006/customXml" ds:itemID="{E7E5C7C8-1F32-4CC4-A24A-B5C1F13608F3}">
  <ds:schemaRefs/>
</ds:datastoreItem>
</file>

<file path=customXml/itemProps16.xml><?xml version="1.0" encoding="utf-8"?>
<ds:datastoreItem xmlns:ds="http://schemas.openxmlformats.org/officeDocument/2006/customXml" ds:itemID="{89BA68C2-7938-4F51-A437-35A58E932900}">
  <ds:schemaRefs/>
</ds:datastoreItem>
</file>

<file path=customXml/itemProps17.xml><?xml version="1.0" encoding="utf-8"?>
<ds:datastoreItem xmlns:ds="http://schemas.openxmlformats.org/officeDocument/2006/customXml" ds:itemID="{486A53C1-426C-4802-98F1-2120BCEE9F00}">
  <ds:schemaRefs/>
</ds:datastoreItem>
</file>

<file path=customXml/itemProps18.xml><?xml version="1.0" encoding="utf-8"?>
<ds:datastoreItem xmlns:ds="http://schemas.openxmlformats.org/officeDocument/2006/customXml" ds:itemID="{CBCDC119-DB1A-49BB-BDCE-77DCF8AF489C}">
  <ds:schemaRefs/>
</ds:datastoreItem>
</file>

<file path=customXml/itemProps19.xml><?xml version="1.0" encoding="utf-8"?>
<ds:datastoreItem xmlns:ds="http://schemas.openxmlformats.org/officeDocument/2006/customXml" ds:itemID="{BBBB60D9-D722-4C4F-8EFC-8C4063B5F380}">
  <ds:schemaRefs/>
</ds:datastoreItem>
</file>

<file path=customXml/itemProps20.xml><?xml version="1.0" encoding="utf-8"?>
<ds:datastoreItem xmlns:ds="http://schemas.openxmlformats.org/officeDocument/2006/customXml" ds:itemID="{5E736E07-E640-4DB5-A51E-64C228BA5852}">
  <ds:schemaRefs/>
</ds:datastoreItem>
</file>

<file path=customXml/itemProps21.xml><?xml version="1.0" encoding="utf-8"?>
<ds:datastoreItem xmlns:ds="http://schemas.openxmlformats.org/officeDocument/2006/customXml" ds:itemID="{B4290653-4A60-4DCC-84D6-DAEDE8606EC0}">
  <ds:schemaRefs/>
</ds:datastoreItem>
</file>

<file path=customXml/itemProps22.xml><?xml version="1.0" encoding="utf-8"?>
<ds:datastoreItem xmlns:ds="http://schemas.openxmlformats.org/officeDocument/2006/customXml" ds:itemID="{739A007D-EE8B-4B76-BA40-564B132044D7}">
  <ds:schemaRefs/>
</ds:datastoreItem>
</file>

<file path=customXml/itemProps23.xml><?xml version="1.0" encoding="utf-8"?>
<ds:datastoreItem xmlns:ds="http://schemas.openxmlformats.org/officeDocument/2006/customXml" ds:itemID="{18AB8D23-66A8-4143-9881-F52A65BBE38D}">
  <ds:schemaRefs/>
</ds:datastoreItem>
</file>

<file path=customXml/itemProps24.xml><?xml version="1.0" encoding="utf-8"?>
<ds:datastoreItem xmlns:ds="http://schemas.openxmlformats.org/officeDocument/2006/customXml" ds:itemID="{9177584A-2A43-4460-9D04-369E22B5404E}">
  <ds:schemaRefs/>
</ds:datastoreItem>
</file>

<file path=customXml/itemProps25.xml><?xml version="1.0" encoding="utf-8"?>
<ds:datastoreItem xmlns:ds="http://schemas.openxmlformats.org/officeDocument/2006/customXml" ds:itemID="{1B34C23C-1EF9-4251-A5D2-C60EFE6D9AE6}">
  <ds:schemaRefs/>
</ds:datastoreItem>
</file>

<file path=customXml/itemProps26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Change Management</vt:lpstr>
      <vt:lpstr>Lookups</vt:lpstr>
      <vt:lpstr>APPLICATIONS</vt:lpstr>
      <vt:lpstr>COUNTS</vt:lpstr>
      <vt:lpstr>DATA_PATH</vt:lpstr>
      <vt:lpstr>EndDate</vt:lpstr>
      <vt:lpstr>GENERAL</vt:lpstr>
      <vt:lpstr>PROJECTS</vt:lpstr>
      <vt:lpstr>SCANS</vt:lpstr>
      <vt:lpstr>StartDate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2026-06-25T03:51:48Z</dcterms:modified>
</cp:coreProperties>
</file>