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/>
  <mc:AlternateContent xmlns:mc="http://schemas.openxmlformats.org/markup-compatibility/2006">
    <mc:Choice Requires="x15">
      <x15ac:absPath xmlns:x15ac="http://schemas.microsoft.com/office/spreadsheetml/2010/11/ac" url="https://bham-my.sharepoint.com/personal/cxd309_student_bham_ac_uk/Documents/"/>
    </mc:Choice>
  </mc:AlternateContent>
  <xr:revisionPtr revIDLastSave="0" documentId="8_{75821FD3-427D-40AC-87D0-76EF4B0A2C8F}" xr6:coauthVersionLast="47" xr6:coauthVersionMax="47" xr10:uidLastSave="{00000000-0000-0000-0000-000000000000}"/>
  <bookViews>
    <workbookView xWindow="14970" yWindow="0" windowWidth="13830" windowHeight="16200" firstSheet="4" activeTab="4" xr2:uid="{00000000-000D-0000-FFFF-FFFF00000000}"/>
  </bookViews>
  <sheets>
    <sheet name="1. Calculating Cant" sheetId="1" r:id="rId1"/>
    <sheet name="2. Designing and Alignment" sheetId="2" r:id="rId2"/>
    <sheet name="3. Jerk" sheetId="3" r:id="rId3"/>
    <sheet name="4. Determining Transition Lengt" sheetId="4" r:id="rId4"/>
    <sheet name="5. Designing Horizontal Curves" sheetId="5" r:id="rId5"/>
    <sheet name="6. Designing Vertical Curve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6" l="1"/>
  <c r="B30" i="6"/>
  <c r="B31" i="6" s="1"/>
  <c r="B32" i="6" s="1"/>
  <c r="B33" i="6" s="1"/>
  <c r="B38" i="6" s="1"/>
  <c r="C15" i="6"/>
  <c r="B9" i="6"/>
  <c r="B10" i="6" s="1"/>
  <c r="B11" i="6" s="1"/>
  <c r="B12" i="6" s="1"/>
  <c r="B54" i="5"/>
  <c r="B53" i="5"/>
  <c r="B33" i="5"/>
  <c r="B32" i="5"/>
  <c r="F22" i="5"/>
  <c r="E22" i="5"/>
  <c r="D22" i="5"/>
  <c r="C22" i="5"/>
  <c r="B22" i="5"/>
  <c r="B19" i="5"/>
  <c r="B18" i="5"/>
  <c r="B17" i="5"/>
  <c r="B16" i="5"/>
  <c r="B15" i="5"/>
  <c r="B14" i="5"/>
  <c r="B13" i="5"/>
  <c r="B12" i="5"/>
  <c r="B11" i="5"/>
  <c r="B23" i="4"/>
  <c r="B17" i="4"/>
  <c r="B16" i="4"/>
  <c r="B15" i="4"/>
  <c r="B9" i="4"/>
  <c r="B8" i="4"/>
  <c r="B7" i="4"/>
  <c r="B29" i="3"/>
  <c r="B31" i="3" s="1"/>
  <c r="B32" i="3" s="1"/>
  <c r="B21" i="3"/>
  <c r="B23" i="3"/>
  <c r="B24" i="3"/>
  <c r="B15" i="3"/>
  <c r="B16" i="3"/>
  <c r="B5" i="3"/>
  <c r="B7" i="3" s="1"/>
  <c r="B8" i="3" s="1"/>
  <c r="B9" i="3" s="1"/>
  <c r="B22" i="2"/>
  <c r="B21" i="2"/>
  <c r="B17" i="2"/>
  <c r="B13" i="2"/>
  <c r="B9" i="2"/>
  <c r="B5" i="2"/>
  <c r="B25" i="1"/>
  <c r="B22" i="1"/>
  <c r="B19" i="1"/>
  <c r="B16" i="1"/>
  <c r="B11" i="1"/>
  <c r="B6" i="1"/>
  <c r="D38" i="6" l="1"/>
  <c r="C38" i="6"/>
  <c r="E38" i="6" s="1"/>
  <c r="B36" i="6"/>
  <c r="D36" i="6" s="1"/>
  <c r="E36" i="6" s="1"/>
  <c r="B41" i="6"/>
  <c r="B39" i="6"/>
  <c r="B37" i="6"/>
  <c r="B40" i="6"/>
  <c r="B20" i="6"/>
  <c r="C20" i="6" s="1"/>
  <c r="B19" i="6"/>
  <c r="C19" i="6" s="1"/>
  <c r="B18" i="6"/>
  <c r="C18" i="6" s="1"/>
  <c r="B17" i="6"/>
  <c r="C17" i="6" s="1"/>
  <c r="B16" i="6"/>
  <c r="C16" i="6" s="1"/>
  <c r="B15" i="6"/>
  <c r="D15" i="6" s="1"/>
  <c r="E15" i="6" s="1"/>
  <c r="B55" i="5"/>
  <c r="B56" i="5" s="1"/>
  <c r="B34" i="5"/>
  <c r="B35" i="5" s="1"/>
  <c r="D40" i="6" l="1"/>
  <c r="C40" i="6"/>
  <c r="E40" i="6" s="1"/>
  <c r="D37" i="6"/>
  <c r="C37" i="6"/>
  <c r="C39" i="6"/>
  <c r="D39" i="6"/>
  <c r="D41" i="6"/>
  <c r="C41" i="6"/>
  <c r="E41" i="6" s="1"/>
  <c r="D16" i="6"/>
  <c r="E16" i="6"/>
  <c r="D17" i="6"/>
  <c r="E17" i="6"/>
  <c r="D18" i="6"/>
  <c r="E18" i="6"/>
  <c r="D19" i="6"/>
  <c r="E19" i="6"/>
  <c r="D20" i="6"/>
  <c r="E20" i="6"/>
  <c r="B59" i="5"/>
  <c r="B58" i="5"/>
  <c r="B60" i="5" s="1"/>
  <c r="B57" i="5"/>
  <c r="B38" i="5"/>
  <c r="B37" i="5"/>
  <c r="B39" i="5" s="1"/>
  <c r="B36" i="5"/>
  <c r="E39" i="6" l="1"/>
  <c r="E37" i="6"/>
  <c r="F64" i="5"/>
  <c r="E64" i="5"/>
  <c r="D64" i="5"/>
  <c r="C64" i="5"/>
  <c r="B64" i="5"/>
  <c r="B61" i="5"/>
  <c r="F43" i="5"/>
  <c r="E43" i="5"/>
  <c r="D43" i="5"/>
  <c r="C43" i="5"/>
  <c r="B43" i="5"/>
  <c r="B40" i="5"/>
</calcChain>
</file>

<file path=xl/sharedStrings.xml><?xml version="1.0" encoding="utf-8"?>
<sst xmlns="http://schemas.openxmlformats.org/spreadsheetml/2006/main" count="291" uniqueCount="64">
  <si>
    <t>Calculating Cant</t>
  </si>
  <si>
    <t>Question 1</t>
  </si>
  <si>
    <t>V</t>
  </si>
  <si>
    <t>km/h</t>
  </si>
  <si>
    <t>R</t>
  </si>
  <si>
    <t>m</t>
  </si>
  <si>
    <t>E_q</t>
  </si>
  <si>
    <t>mm</t>
  </si>
  <si>
    <t>Question 2</t>
  </si>
  <si>
    <t>Question 3</t>
  </si>
  <si>
    <t>Question 4) a)</t>
  </si>
  <si>
    <t>E_a</t>
  </si>
  <si>
    <t>Question 4) b)</t>
  </si>
  <si>
    <t>Question 4) c)</t>
  </si>
  <si>
    <t>Designing an Alignment</t>
  </si>
  <si>
    <t>Question 4</t>
  </si>
  <si>
    <t>Question 5</t>
  </si>
  <si>
    <t>Jerk</t>
  </si>
  <si>
    <t>s</t>
  </si>
  <si>
    <t>t</t>
  </si>
  <si>
    <t>v</t>
  </si>
  <si>
    <t>m s^-1</t>
  </si>
  <si>
    <t>a</t>
  </si>
  <si>
    <t>m s^-2</t>
  </si>
  <si>
    <t>j</t>
  </si>
  <si>
    <t>m s^-3</t>
  </si>
  <si>
    <t>s_initial</t>
  </si>
  <si>
    <t>s_end</t>
  </si>
  <si>
    <t>Determining Transition Length</t>
  </si>
  <si>
    <t>Delta E_q</t>
  </si>
  <si>
    <t>mm/s</t>
  </si>
  <si>
    <t>D</t>
  </si>
  <si>
    <t>L_tr (E_a)</t>
  </si>
  <si>
    <t>L_tr (D)</t>
  </si>
  <si>
    <t>L_tr</t>
  </si>
  <si>
    <t>Designing Horizontal Curves</t>
  </si>
  <si>
    <t>Worked Example</t>
  </si>
  <si>
    <t>E_amax</t>
  </si>
  <si>
    <t>D_max</t>
  </si>
  <si>
    <t>g_hmax</t>
  </si>
  <si>
    <t>delta_Eq</t>
  </si>
  <si>
    <t>ratio_aq</t>
  </si>
  <si>
    <t>E_a rounded</t>
  </si>
  <si>
    <t>L_tr (g_hmax)</t>
  </si>
  <si>
    <t>L_tr (delta_E)</t>
  </si>
  <si>
    <t>S_c</t>
  </si>
  <si>
    <t>x</t>
  </si>
  <si>
    <t>y</t>
  </si>
  <si>
    <t>G_1</t>
  </si>
  <si>
    <t>%</t>
  </si>
  <si>
    <t>G_2</t>
  </si>
  <si>
    <t>h_0</t>
  </si>
  <si>
    <t>a_v</t>
  </si>
  <si>
    <t>R_min</t>
  </si>
  <si>
    <t>N</t>
  </si>
  <si>
    <t>R_vc calc</t>
  </si>
  <si>
    <t>R_vc</t>
  </si>
  <si>
    <t>L_vc</t>
  </si>
  <si>
    <t>I</t>
  </si>
  <si>
    <t>interval</t>
  </si>
  <si>
    <t>I (m)</t>
  </si>
  <si>
    <t>h (m)</t>
  </si>
  <si>
    <t>O (m)</t>
  </si>
  <si>
    <t>FH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</si>
</sst>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J14" sqref="J14"/>
    </sheetView>
  </sheetViews>
  <sheetFormatPr defaultRowHeight="15"/>
  <sheetData>
    <row r="1" spans="1:3">
      <c r="A1" t="s">
        <v>0</v>
      </c>
    </row>
    <row r="3" spans="1:3">
      <c r="A3" t="s">
        <v>1</v>
      </c>
    </row>
    <row r="4" spans="1:3">
      <c r="A4" t="s">
        <v>2</v>
      </c>
      <c r="B4">
        <v>85</v>
      </c>
      <c r="C4" t="s">
        <v>3</v>
      </c>
    </row>
    <row r="5" spans="1:3">
      <c r="A5" t="s">
        <v>4</v>
      </c>
      <c r="B5">
        <v>500</v>
      </c>
      <c r="C5" t="s">
        <v>5</v>
      </c>
    </row>
    <row r="6" spans="1:3">
      <c r="A6" t="s">
        <v>6</v>
      </c>
      <c r="B6" s="2">
        <f>11.82*B4*B4/B5</f>
        <v>170.79900000000001</v>
      </c>
      <c r="C6" t="s">
        <v>7</v>
      </c>
    </row>
    <row r="8" spans="1:3">
      <c r="A8" t="s">
        <v>8</v>
      </c>
    </row>
    <row r="9" spans="1:3">
      <c r="A9" t="s">
        <v>2</v>
      </c>
      <c r="B9">
        <v>56</v>
      </c>
      <c r="C9" t="s">
        <v>3</v>
      </c>
    </row>
    <row r="10" spans="1:3">
      <c r="A10" t="s">
        <v>4</v>
      </c>
      <c r="B10">
        <v>300</v>
      </c>
      <c r="C10" t="s">
        <v>5</v>
      </c>
    </row>
    <row r="11" spans="1:3">
      <c r="A11" t="s">
        <v>6</v>
      </c>
      <c r="B11" s="2">
        <f>11.82*B9*B9/B10</f>
        <v>123.55840000000002</v>
      </c>
      <c r="C11" t="s">
        <v>7</v>
      </c>
    </row>
    <row r="13" spans="1:3">
      <c r="A13" t="s">
        <v>9</v>
      </c>
    </row>
    <row r="14" spans="1:3">
      <c r="A14" t="s">
        <v>2</v>
      </c>
      <c r="B14">
        <v>120</v>
      </c>
      <c r="C14" t="s">
        <v>3</v>
      </c>
    </row>
    <row r="15" spans="1:3">
      <c r="A15" t="s">
        <v>4</v>
      </c>
      <c r="B15">
        <v>800</v>
      </c>
      <c r="C15" t="s">
        <v>5</v>
      </c>
    </row>
    <row r="16" spans="1:3">
      <c r="A16" t="s">
        <v>6</v>
      </c>
      <c r="B16" s="2">
        <f>11.82*B14*B14/B15</f>
        <v>212.76</v>
      </c>
      <c r="C16" t="s">
        <v>7</v>
      </c>
    </row>
    <row r="18" spans="1:3">
      <c r="A18" t="s">
        <v>10</v>
      </c>
    </row>
    <row r="19" spans="1:3">
      <c r="A19" t="s">
        <v>11</v>
      </c>
      <c r="B19">
        <f>B6*2/3</f>
        <v>113.866</v>
      </c>
      <c r="C19" t="s">
        <v>7</v>
      </c>
    </row>
    <row r="21" spans="1:3">
      <c r="A21" t="s">
        <v>12</v>
      </c>
    </row>
    <row r="22" spans="1:3">
      <c r="A22" t="s">
        <v>11</v>
      </c>
      <c r="B22">
        <f>B11*2/3</f>
        <v>82.372266666666675</v>
      </c>
      <c r="C22" t="s">
        <v>7</v>
      </c>
    </row>
    <row r="24" spans="1:3">
      <c r="A24" t="s">
        <v>13</v>
      </c>
    </row>
    <row r="25" spans="1:3">
      <c r="A25" t="s">
        <v>11</v>
      </c>
      <c r="B25">
        <f>B16*2/3</f>
        <v>141.84</v>
      </c>
      <c r="C2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D6F1E-BAC0-4661-8509-B25CD8539F9D}">
  <dimension ref="A1:C22"/>
  <sheetViews>
    <sheetView workbookViewId="0">
      <selection activeCell="B23" sqref="B23"/>
    </sheetView>
  </sheetViews>
  <sheetFormatPr defaultRowHeight="15"/>
  <sheetData>
    <row r="1" spans="1:3">
      <c r="A1" t="s">
        <v>14</v>
      </c>
    </row>
    <row r="3" spans="1:3">
      <c r="A3" t="s">
        <v>1</v>
      </c>
    </row>
    <row r="4" spans="1:3">
      <c r="A4" t="s">
        <v>11</v>
      </c>
      <c r="B4">
        <v>150</v>
      </c>
      <c r="C4" t="s">
        <v>7</v>
      </c>
    </row>
    <row r="5" spans="1:3">
      <c r="A5" t="s">
        <v>6</v>
      </c>
      <c r="B5">
        <f>B4*3/2</f>
        <v>225</v>
      </c>
      <c r="C5" t="s">
        <v>7</v>
      </c>
    </row>
    <row r="7" spans="1:3">
      <c r="A7" t="s">
        <v>8</v>
      </c>
    </row>
    <row r="8" spans="1:3">
      <c r="A8" t="s">
        <v>2</v>
      </c>
      <c r="B8">
        <v>180</v>
      </c>
      <c r="C8" t="s">
        <v>3</v>
      </c>
    </row>
    <row r="9" spans="1:3">
      <c r="A9" t="s">
        <v>4</v>
      </c>
      <c r="B9" s="3">
        <f>11.82*B8*B8/B5</f>
        <v>1702.08</v>
      </c>
      <c r="C9" t="s">
        <v>5</v>
      </c>
    </row>
    <row r="11" spans="1:3">
      <c r="A11" t="s">
        <v>9</v>
      </c>
    </row>
    <row r="12" spans="1:3">
      <c r="A12" t="s">
        <v>2</v>
      </c>
      <c r="B12">
        <v>270</v>
      </c>
      <c r="C12" t="s">
        <v>3</v>
      </c>
    </row>
    <row r="13" spans="1:3">
      <c r="A13" t="s">
        <v>4</v>
      </c>
      <c r="B13" s="3">
        <f>11.82*B12*B12/B5</f>
        <v>3829.68</v>
      </c>
      <c r="C13" t="s">
        <v>5</v>
      </c>
    </row>
    <row r="15" spans="1:3">
      <c r="A15" t="s">
        <v>15</v>
      </c>
    </row>
    <row r="16" spans="1:3">
      <c r="A16" t="s">
        <v>4</v>
      </c>
      <c r="B16">
        <v>750</v>
      </c>
      <c r="C16" t="s">
        <v>5</v>
      </c>
    </row>
    <row r="17" spans="1:3">
      <c r="A17" t="s">
        <v>2</v>
      </c>
      <c r="B17" s="3">
        <f>SQRT(B5*B16/11.82)</f>
        <v>119.48493522696864</v>
      </c>
      <c r="C17" t="s">
        <v>3</v>
      </c>
    </row>
    <row r="19" spans="1:3">
      <c r="A19" t="s">
        <v>16</v>
      </c>
    </row>
    <row r="20" spans="1:3">
      <c r="A20" t="s">
        <v>11</v>
      </c>
      <c r="B20">
        <v>110</v>
      </c>
      <c r="C20" t="s">
        <v>7</v>
      </c>
    </row>
    <row r="21" spans="1:3">
      <c r="A21" t="s">
        <v>6</v>
      </c>
      <c r="B21">
        <f>B20*3/2</f>
        <v>165</v>
      </c>
      <c r="C21" t="s">
        <v>7</v>
      </c>
    </row>
    <row r="22" spans="1:3">
      <c r="A22" t="s">
        <v>2</v>
      </c>
      <c r="B22" s="3">
        <f>SQRT(B16*B21/11.82)</f>
        <v>102.32078550914336</v>
      </c>
      <c r="C2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4A6C-3169-459E-A0A8-84397C6A4B9E}">
  <dimension ref="A1:C32"/>
  <sheetViews>
    <sheetView workbookViewId="0">
      <selection activeCell="I16" sqref="I16"/>
    </sheetView>
  </sheetViews>
  <sheetFormatPr defaultRowHeight="15"/>
  <sheetData>
    <row r="1" spans="1:3">
      <c r="A1" t="s">
        <v>17</v>
      </c>
    </row>
    <row r="3" spans="1:3">
      <c r="A3" t="s">
        <v>1</v>
      </c>
    </row>
    <row r="4" spans="1:3">
      <c r="A4" t="s">
        <v>18</v>
      </c>
      <c r="B4">
        <v>2</v>
      </c>
      <c r="C4" t="s">
        <v>7</v>
      </c>
    </row>
    <row r="5" spans="1:3">
      <c r="A5" t="s">
        <v>18</v>
      </c>
      <c r="B5">
        <f>B4/1000</f>
        <v>2E-3</v>
      </c>
      <c r="C5" t="s">
        <v>5</v>
      </c>
    </row>
    <row r="6" spans="1:3">
      <c r="A6" t="s">
        <v>19</v>
      </c>
      <c r="B6">
        <v>0.5</v>
      </c>
      <c r="C6" t="s">
        <v>18</v>
      </c>
    </row>
    <row r="7" spans="1:3">
      <c r="A7" t="s">
        <v>20</v>
      </c>
      <c r="B7">
        <f>B5/B6</f>
        <v>4.0000000000000001E-3</v>
      </c>
      <c r="C7" t="s">
        <v>21</v>
      </c>
    </row>
    <row r="8" spans="1:3">
      <c r="A8" t="s">
        <v>22</v>
      </c>
      <c r="B8">
        <f>B7/B6</f>
        <v>8.0000000000000002E-3</v>
      </c>
      <c r="C8" t="s">
        <v>23</v>
      </c>
    </row>
    <row r="9" spans="1:3">
      <c r="A9" t="s">
        <v>24</v>
      </c>
      <c r="B9">
        <f>B8/B6</f>
        <v>1.6E-2</v>
      </c>
      <c r="C9" t="s">
        <v>25</v>
      </c>
    </row>
    <row r="11" spans="1:3">
      <c r="A11" t="s">
        <v>8</v>
      </c>
    </row>
    <row r="12" spans="1:3">
      <c r="A12" t="s">
        <v>26</v>
      </c>
      <c r="B12">
        <v>30</v>
      </c>
      <c r="C12" t="s">
        <v>21</v>
      </c>
    </row>
    <row r="13" spans="1:3">
      <c r="A13" t="s">
        <v>27</v>
      </c>
      <c r="B13">
        <v>0</v>
      </c>
      <c r="C13" t="s">
        <v>21</v>
      </c>
    </row>
    <row r="14" spans="1:3">
      <c r="A14" t="s">
        <v>19</v>
      </c>
      <c r="B14">
        <v>10</v>
      </c>
      <c r="C14" t="s">
        <v>18</v>
      </c>
    </row>
    <row r="15" spans="1:3">
      <c r="A15" t="s">
        <v>22</v>
      </c>
      <c r="B15">
        <f>(B13-B12)/B14</f>
        <v>-3</v>
      </c>
      <c r="C15" t="s">
        <v>23</v>
      </c>
    </row>
    <row r="16" spans="1:3">
      <c r="A16" t="s">
        <v>24</v>
      </c>
      <c r="B16">
        <f>B15/B14</f>
        <v>-0.3</v>
      </c>
      <c r="C16" t="s">
        <v>25</v>
      </c>
    </row>
    <row r="18" spans="1:3">
      <c r="A18" t="s">
        <v>9</v>
      </c>
    </row>
    <row r="19" spans="1:3">
      <c r="A19" t="s">
        <v>26</v>
      </c>
      <c r="B19">
        <v>0</v>
      </c>
      <c r="C19" t="s">
        <v>3</v>
      </c>
    </row>
    <row r="20" spans="1:3">
      <c r="A20" t="s">
        <v>27</v>
      </c>
      <c r="B20">
        <v>60</v>
      </c>
      <c r="C20" t="s">
        <v>3</v>
      </c>
    </row>
    <row r="21" spans="1:3">
      <c r="A21" t="s">
        <v>18</v>
      </c>
      <c r="B21" s="1">
        <f>(B20-B19)/3.6</f>
        <v>16.666666666666668</v>
      </c>
      <c r="C21" t="s">
        <v>21</v>
      </c>
    </row>
    <row r="22" spans="1:3">
      <c r="A22" t="s">
        <v>19</v>
      </c>
      <c r="B22">
        <v>10</v>
      </c>
      <c r="C22" t="s">
        <v>18</v>
      </c>
    </row>
    <row r="23" spans="1:3">
      <c r="A23" t="s">
        <v>22</v>
      </c>
      <c r="B23" s="1">
        <f>B21/B22</f>
        <v>1.6666666666666667</v>
      </c>
      <c r="C23" t="s">
        <v>23</v>
      </c>
    </row>
    <row r="24" spans="1:3">
      <c r="A24" t="s">
        <v>24</v>
      </c>
      <c r="B24" s="1">
        <f>B23/B22</f>
        <v>0.16666666666666669</v>
      </c>
      <c r="C24" t="s">
        <v>25</v>
      </c>
    </row>
    <row r="26" spans="1:3">
      <c r="A26" t="s">
        <v>15</v>
      </c>
    </row>
    <row r="27" spans="1:3">
      <c r="A27" t="s">
        <v>26</v>
      </c>
      <c r="B27">
        <v>0</v>
      </c>
      <c r="C27" t="s">
        <v>3</v>
      </c>
    </row>
    <row r="28" spans="1:3">
      <c r="A28" t="s">
        <v>27</v>
      </c>
      <c r="B28">
        <v>60</v>
      </c>
      <c r="C28" t="s">
        <v>3</v>
      </c>
    </row>
    <row r="29" spans="1:3">
      <c r="A29" t="s">
        <v>18</v>
      </c>
      <c r="B29" s="1">
        <f>(B28-B27)/3.6</f>
        <v>16.666666666666668</v>
      </c>
      <c r="C29" t="s">
        <v>21</v>
      </c>
    </row>
    <row r="30" spans="1:3">
      <c r="A30" t="s">
        <v>19</v>
      </c>
      <c r="B30">
        <v>5.8</v>
      </c>
      <c r="C30" t="s">
        <v>18</v>
      </c>
    </row>
    <row r="31" spans="1:3">
      <c r="A31" t="s">
        <v>22</v>
      </c>
      <c r="B31" s="1">
        <f>B29/B30</f>
        <v>2.8735632183908049</v>
      </c>
      <c r="C31" t="s">
        <v>23</v>
      </c>
    </row>
    <row r="32" spans="1:3">
      <c r="A32" t="s">
        <v>24</v>
      </c>
      <c r="B32" s="1">
        <f>B31/B30</f>
        <v>0.49544193420531119</v>
      </c>
      <c r="C3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3EC5-CD09-4D6F-A879-1D31FA771932}">
  <dimension ref="A1:C23"/>
  <sheetViews>
    <sheetView workbookViewId="0">
      <selection activeCell="A13" sqref="A13"/>
    </sheetView>
  </sheetViews>
  <sheetFormatPr defaultRowHeight="15"/>
  <sheetData>
    <row r="1" spans="1:3">
      <c r="A1" t="s">
        <v>28</v>
      </c>
    </row>
    <row r="3" spans="1:3">
      <c r="A3" t="s">
        <v>1</v>
      </c>
    </row>
    <row r="4" spans="1:3">
      <c r="A4" t="s">
        <v>2</v>
      </c>
      <c r="B4">
        <v>80</v>
      </c>
      <c r="C4" t="s">
        <v>3</v>
      </c>
    </row>
    <row r="5" spans="1:3">
      <c r="A5" t="s">
        <v>29</v>
      </c>
      <c r="B5">
        <v>35</v>
      </c>
      <c r="C5" t="s">
        <v>30</v>
      </c>
    </row>
    <row r="6" spans="1:3">
      <c r="A6" t="s">
        <v>31</v>
      </c>
      <c r="B6">
        <v>45</v>
      </c>
      <c r="C6" t="s">
        <v>7</v>
      </c>
    </row>
    <row r="7" spans="1:3">
      <c r="A7" t="s">
        <v>11</v>
      </c>
      <c r="B7">
        <f>2*B6</f>
        <v>90</v>
      </c>
      <c r="C7" t="s">
        <v>7</v>
      </c>
    </row>
    <row r="8" spans="1:3">
      <c r="A8" t="s">
        <v>32</v>
      </c>
      <c r="B8" s="2">
        <f>B7*B4/(B5*3.6)</f>
        <v>57.142857142857146</v>
      </c>
      <c r="C8" t="s">
        <v>5</v>
      </c>
    </row>
    <row r="9" spans="1:3">
      <c r="A9" t="s">
        <v>33</v>
      </c>
      <c r="B9" s="2">
        <f>B6*B4/(B5*3.6)</f>
        <v>28.571428571428573</v>
      </c>
      <c r="C9" t="s">
        <v>5</v>
      </c>
    </row>
    <row r="11" spans="1:3">
      <c r="A11" t="s">
        <v>8</v>
      </c>
    </row>
    <row r="12" spans="1:3">
      <c r="A12" t="s">
        <v>2</v>
      </c>
      <c r="B12">
        <v>120</v>
      </c>
      <c r="C12" t="s">
        <v>3</v>
      </c>
    </row>
    <row r="13" spans="1:3">
      <c r="A13" t="s">
        <v>29</v>
      </c>
      <c r="B13">
        <v>22.6</v>
      </c>
      <c r="C13" t="s">
        <v>30</v>
      </c>
    </row>
    <row r="14" spans="1:3">
      <c r="A14" t="s">
        <v>31</v>
      </c>
      <c r="B14">
        <v>38.9</v>
      </c>
      <c r="C14" t="s">
        <v>7</v>
      </c>
    </row>
    <row r="15" spans="1:3">
      <c r="A15" t="s">
        <v>11</v>
      </c>
      <c r="B15">
        <f>2*B14</f>
        <v>77.8</v>
      </c>
      <c r="C15" t="s">
        <v>7</v>
      </c>
    </row>
    <row r="16" spans="1:3">
      <c r="A16" t="s">
        <v>32</v>
      </c>
      <c r="B16" s="2">
        <f>B15*B12/(B13*3.6)</f>
        <v>114.74926253687313</v>
      </c>
      <c r="C16" t="s">
        <v>5</v>
      </c>
    </row>
    <row r="17" spans="1:3">
      <c r="A17" t="s">
        <v>33</v>
      </c>
      <c r="B17" s="2">
        <f>B14*B12/(B13*3.6)</f>
        <v>57.374631268436566</v>
      </c>
      <c r="C17" t="s">
        <v>5</v>
      </c>
    </row>
    <row r="19" spans="1:3">
      <c r="A19" t="s">
        <v>9</v>
      </c>
    </row>
    <row r="20" spans="1:3">
      <c r="A20" t="s">
        <v>34</v>
      </c>
      <c r="B20">
        <v>80</v>
      </c>
      <c r="C20" t="s">
        <v>7</v>
      </c>
    </row>
    <row r="21" spans="1:3">
      <c r="A21" t="s">
        <v>2</v>
      </c>
      <c r="B21">
        <v>130</v>
      </c>
      <c r="C21" t="s">
        <v>3</v>
      </c>
    </row>
    <row r="22" spans="1:3">
      <c r="A22" t="s">
        <v>11</v>
      </c>
      <c r="B22">
        <v>150</v>
      </c>
      <c r="C22" t="s">
        <v>7</v>
      </c>
    </row>
    <row r="23" spans="1:3">
      <c r="A23" t="s">
        <v>29</v>
      </c>
      <c r="B23" s="3">
        <f>B22*B21/(B20*3.6)</f>
        <v>67.708333333333329</v>
      </c>
      <c r="C23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25F9-51A2-4A79-99E1-8FED9A177789}">
  <dimension ref="A1:F64"/>
  <sheetViews>
    <sheetView tabSelected="1" topLeftCell="A37" workbookViewId="0">
      <selection activeCell="E53" sqref="E53"/>
    </sheetView>
  </sheetViews>
  <sheetFormatPr defaultRowHeight="15"/>
  <cols>
    <col min="2" max="2" width="10.140625" bestFit="1" customWidth="1"/>
  </cols>
  <sheetData>
    <row r="1" spans="1:3">
      <c r="A1" t="s">
        <v>35</v>
      </c>
    </row>
    <row r="3" spans="1:3">
      <c r="A3" t="s">
        <v>36</v>
      </c>
    </row>
    <row r="4" spans="1:3">
      <c r="A4" t="s">
        <v>2</v>
      </c>
      <c r="B4">
        <v>80</v>
      </c>
      <c r="C4" t="s">
        <v>3</v>
      </c>
    </row>
    <row r="5" spans="1:3">
      <c r="A5" t="s">
        <v>4</v>
      </c>
      <c r="B5">
        <v>400</v>
      </c>
      <c r="C5" t="s">
        <v>5</v>
      </c>
    </row>
    <row r="6" spans="1:3">
      <c r="A6" t="s">
        <v>37</v>
      </c>
      <c r="B6">
        <v>150</v>
      </c>
      <c r="C6" t="s">
        <v>7</v>
      </c>
    </row>
    <row r="7" spans="1:3">
      <c r="A7" t="s">
        <v>38</v>
      </c>
      <c r="B7">
        <v>90</v>
      </c>
      <c r="C7" t="s">
        <v>7</v>
      </c>
    </row>
    <row r="8" spans="1:3">
      <c r="A8" t="s">
        <v>39</v>
      </c>
      <c r="B8">
        <v>500</v>
      </c>
    </row>
    <row r="9" spans="1:3">
      <c r="A9" t="s">
        <v>40</v>
      </c>
      <c r="B9">
        <v>55</v>
      </c>
      <c r="C9" t="s">
        <v>30</v>
      </c>
    </row>
    <row r="11" spans="1:3">
      <c r="A11" t="s">
        <v>6</v>
      </c>
      <c r="B11" s="3">
        <f>11.82*B4*B4/B5</f>
        <v>189.12</v>
      </c>
      <c r="C11" t="s">
        <v>7</v>
      </c>
    </row>
    <row r="12" spans="1:3">
      <c r="A12" t="s">
        <v>41</v>
      </c>
      <c r="B12">
        <f>B6/(B6+B7)</f>
        <v>0.625</v>
      </c>
    </row>
    <row r="13" spans="1:3">
      <c r="A13" t="s">
        <v>11</v>
      </c>
      <c r="B13" s="3">
        <f>B12*B11</f>
        <v>118.2</v>
      </c>
      <c r="C13" t="s">
        <v>7</v>
      </c>
    </row>
    <row r="14" spans="1:3">
      <c r="A14" t="s">
        <v>42</v>
      </c>
      <c r="B14">
        <f>MROUND(B13, 5)</f>
        <v>120</v>
      </c>
      <c r="C14" t="s">
        <v>7</v>
      </c>
    </row>
    <row r="15" spans="1:3">
      <c r="A15" t="s">
        <v>31</v>
      </c>
      <c r="B15" s="3">
        <f>B11-B14</f>
        <v>69.12</v>
      </c>
      <c r="C15" t="s">
        <v>7</v>
      </c>
    </row>
    <row r="16" spans="1:3">
      <c r="A16" t="s">
        <v>43</v>
      </c>
      <c r="B16">
        <f>(B14/1000)*B8</f>
        <v>60</v>
      </c>
      <c r="C16" t="s">
        <v>5</v>
      </c>
    </row>
    <row r="17" spans="1:6">
      <c r="A17" t="s">
        <v>44</v>
      </c>
      <c r="B17" s="2">
        <f>B14*B4/(B9*3.6)</f>
        <v>48.484848484848484</v>
      </c>
      <c r="C17" t="s">
        <v>5</v>
      </c>
    </row>
    <row r="18" spans="1:6">
      <c r="A18" t="s">
        <v>34</v>
      </c>
      <c r="B18">
        <f>IF(B16&gt;B17,B16,B17)</f>
        <v>60</v>
      </c>
      <c r="C18" t="s">
        <v>5</v>
      </c>
    </row>
    <row r="19" spans="1:6">
      <c r="A19" t="s">
        <v>45</v>
      </c>
      <c r="B19">
        <f>B18*B18/(24*B5)</f>
        <v>0.375</v>
      </c>
    </row>
    <row r="21" spans="1:6">
      <c r="A21" t="s">
        <v>46</v>
      </c>
      <c r="B21">
        <v>0</v>
      </c>
      <c r="C21">
        <v>15</v>
      </c>
      <c r="D21">
        <v>30</v>
      </c>
      <c r="E21">
        <v>45</v>
      </c>
      <c r="F21">
        <v>60</v>
      </c>
    </row>
    <row r="22" spans="1:6">
      <c r="A22" t="s">
        <v>47</v>
      </c>
      <c r="B22" s="1">
        <f>B21*B21*B21/(6*B5*B18)</f>
        <v>0</v>
      </c>
      <c r="C22" s="1">
        <f>C21*C21*C21/(6*B5*B18)</f>
        <v>2.34375E-2</v>
      </c>
      <c r="D22" s="1">
        <f>D21*D21*D21/(6*B5*B18)</f>
        <v>0.1875</v>
      </c>
      <c r="E22" s="1">
        <f>E21*E21*E21/(6*B5*B18)</f>
        <v>0.6328125</v>
      </c>
      <c r="F22" s="1">
        <f>F21*F21*F21/(6*B5*B18)</f>
        <v>1.5</v>
      </c>
    </row>
    <row r="24" spans="1:6">
      <c r="A24" t="s">
        <v>1</v>
      </c>
    </row>
    <row r="25" spans="1:6">
      <c r="A25" t="s">
        <v>2</v>
      </c>
      <c r="B25">
        <v>160</v>
      </c>
      <c r="C25" t="s">
        <v>3</v>
      </c>
    </row>
    <row r="26" spans="1:6">
      <c r="A26" t="s">
        <v>4</v>
      </c>
      <c r="B26">
        <v>1250</v>
      </c>
      <c r="C26" t="s">
        <v>5</v>
      </c>
    </row>
    <row r="27" spans="1:6">
      <c r="A27" t="s">
        <v>37</v>
      </c>
      <c r="B27">
        <v>150</v>
      </c>
      <c r="C27" t="s">
        <v>7</v>
      </c>
    </row>
    <row r="28" spans="1:6">
      <c r="A28" t="s">
        <v>38</v>
      </c>
      <c r="B28">
        <v>110</v>
      </c>
      <c r="C28" t="s">
        <v>7</v>
      </c>
    </row>
    <row r="29" spans="1:6">
      <c r="A29" t="s">
        <v>39</v>
      </c>
      <c r="B29">
        <v>400</v>
      </c>
    </row>
    <row r="30" spans="1:6">
      <c r="A30" t="s">
        <v>40</v>
      </c>
      <c r="B30">
        <v>55</v>
      </c>
      <c r="C30" t="s">
        <v>30</v>
      </c>
    </row>
    <row r="32" spans="1:6">
      <c r="A32" t="s">
        <v>6</v>
      </c>
      <c r="B32" s="3">
        <f>11.82*B25*B25/B26</f>
        <v>242.0736</v>
      </c>
      <c r="C32" t="s">
        <v>7</v>
      </c>
    </row>
    <row r="33" spans="1:6">
      <c r="A33" t="s">
        <v>41</v>
      </c>
      <c r="B33" s="1">
        <f>B27/(B27+B28)</f>
        <v>0.57692307692307687</v>
      </c>
    </row>
    <row r="34" spans="1:6">
      <c r="A34" t="s">
        <v>11</v>
      </c>
      <c r="B34" s="3">
        <f>B33*B32</f>
        <v>139.65784615384615</v>
      </c>
      <c r="C34" t="s">
        <v>7</v>
      </c>
    </row>
    <row r="35" spans="1:6">
      <c r="A35" t="s">
        <v>42</v>
      </c>
      <c r="B35">
        <f>MROUND(B34, 5)</f>
        <v>140</v>
      </c>
      <c r="C35" t="s">
        <v>7</v>
      </c>
    </row>
    <row r="36" spans="1:6">
      <c r="A36" t="s">
        <v>31</v>
      </c>
      <c r="B36" s="3">
        <f>B32-B35</f>
        <v>102.0736</v>
      </c>
      <c r="C36" t="s">
        <v>7</v>
      </c>
    </row>
    <row r="37" spans="1:6">
      <c r="A37" t="s">
        <v>43</v>
      </c>
      <c r="B37">
        <f>(B35/1000)*B29</f>
        <v>56.000000000000007</v>
      </c>
      <c r="C37" t="s">
        <v>5</v>
      </c>
    </row>
    <row r="38" spans="1:6">
      <c r="A38" t="s">
        <v>44</v>
      </c>
      <c r="B38" s="1">
        <f>B35*B25/(B30*3.6)</f>
        <v>113.13131313131314</v>
      </c>
      <c r="C38" t="s">
        <v>5</v>
      </c>
    </row>
    <row r="39" spans="1:6">
      <c r="A39" t="s">
        <v>34</v>
      </c>
      <c r="B39" s="1">
        <f>IF(B37&gt;B38,B37,B38)</f>
        <v>113.13131313131314</v>
      </c>
      <c r="C39" t="s">
        <v>5</v>
      </c>
    </row>
    <row r="40" spans="1:6">
      <c r="A40" t="s">
        <v>45</v>
      </c>
      <c r="B40" s="1">
        <f>B39*B39/(24*B26)</f>
        <v>0.42662313369384075</v>
      </c>
    </row>
    <row r="42" spans="1:6">
      <c r="A42" t="s">
        <v>46</v>
      </c>
      <c r="B42">
        <v>0</v>
      </c>
      <c r="C42">
        <v>15</v>
      </c>
      <c r="D42">
        <v>30</v>
      </c>
      <c r="E42">
        <v>45</v>
      </c>
      <c r="F42">
        <v>60</v>
      </c>
    </row>
    <row r="43" spans="1:6">
      <c r="A43" t="s">
        <v>47</v>
      </c>
      <c r="B43" s="1">
        <f>B42*B42*B42/(6*B26*B39)</f>
        <v>0</v>
      </c>
      <c r="C43" s="1">
        <f>C42*C42*C42/(6*B26*B39)</f>
        <v>3.9776785714285712E-3</v>
      </c>
      <c r="D43" s="1">
        <f>D42*D42*D42/(6*B26*B39)</f>
        <v>3.182142857142857E-2</v>
      </c>
      <c r="E43" s="1">
        <f>E42*E42*E42/(6*B26*B39)</f>
        <v>0.10739732142857143</v>
      </c>
      <c r="F43" s="1">
        <f>F42*F42*F42/(6*B26*B39)</f>
        <v>0.25457142857142856</v>
      </c>
    </row>
    <row r="45" spans="1:6">
      <c r="A45" t="s">
        <v>8</v>
      </c>
    </row>
    <row r="46" spans="1:6">
      <c r="A46" t="s">
        <v>2</v>
      </c>
      <c r="B46">
        <v>120</v>
      </c>
      <c r="C46" t="s">
        <v>3</v>
      </c>
    </row>
    <row r="47" spans="1:6">
      <c r="A47" t="s">
        <v>4</v>
      </c>
      <c r="B47">
        <v>1050</v>
      </c>
      <c r="C47" t="s">
        <v>5</v>
      </c>
    </row>
    <row r="48" spans="1:6">
      <c r="A48" t="s">
        <v>37</v>
      </c>
      <c r="B48">
        <v>110</v>
      </c>
      <c r="C48" t="s">
        <v>7</v>
      </c>
    </row>
    <row r="49" spans="1:6">
      <c r="A49" t="s">
        <v>38</v>
      </c>
      <c r="B49">
        <v>90</v>
      </c>
      <c r="C49" t="s">
        <v>7</v>
      </c>
    </row>
    <row r="50" spans="1:6">
      <c r="A50" t="s">
        <v>39</v>
      </c>
      <c r="B50">
        <v>450</v>
      </c>
    </row>
    <row r="51" spans="1:6">
      <c r="A51" t="s">
        <v>40</v>
      </c>
      <c r="B51">
        <v>55</v>
      </c>
      <c r="C51" t="s">
        <v>30</v>
      </c>
    </row>
    <row r="53" spans="1:6">
      <c r="A53" t="s">
        <v>6</v>
      </c>
      <c r="B53" s="3">
        <f>11.82*B46*B46/B47</f>
        <v>162.10285714285715</v>
      </c>
      <c r="C53" t="s">
        <v>7</v>
      </c>
    </row>
    <row r="54" spans="1:6">
      <c r="A54" t="s">
        <v>41</v>
      </c>
      <c r="B54">
        <f>B48/(B48+B49)</f>
        <v>0.55000000000000004</v>
      </c>
    </row>
    <row r="55" spans="1:6">
      <c r="A55" t="s">
        <v>11</v>
      </c>
      <c r="B55" s="3">
        <f>B54*B53</f>
        <v>89.156571428571439</v>
      </c>
      <c r="C55" t="s">
        <v>7</v>
      </c>
    </row>
    <row r="56" spans="1:6">
      <c r="A56" t="s">
        <v>42</v>
      </c>
      <c r="B56">
        <f>MROUND(B55, 5)</f>
        <v>90</v>
      </c>
      <c r="C56" t="s">
        <v>7</v>
      </c>
    </row>
    <row r="57" spans="1:6">
      <c r="A57" t="s">
        <v>31</v>
      </c>
      <c r="B57" s="3">
        <f>B53-B56</f>
        <v>72.102857142857147</v>
      </c>
      <c r="C57" t="s">
        <v>7</v>
      </c>
    </row>
    <row r="58" spans="1:6">
      <c r="A58" t="s">
        <v>43</v>
      </c>
      <c r="B58">
        <f>(B56/1000)*B50</f>
        <v>40.5</v>
      </c>
      <c r="C58" t="s">
        <v>5</v>
      </c>
    </row>
    <row r="59" spans="1:6">
      <c r="A59" t="s">
        <v>44</v>
      </c>
      <c r="B59" s="2">
        <f>B56*B46/(B51*3.6)</f>
        <v>54.545454545454547</v>
      </c>
      <c r="C59" t="s">
        <v>5</v>
      </c>
    </row>
    <row r="60" spans="1:6">
      <c r="A60" t="s">
        <v>34</v>
      </c>
      <c r="B60" s="1">
        <f>IF(B58&gt;B59,B58,B59)</f>
        <v>54.545454545454547</v>
      </c>
      <c r="C60" t="s">
        <v>5</v>
      </c>
    </row>
    <row r="61" spans="1:6">
      <c r="A61" t="s">
        <v>45</v>
      </c>
      <c r="B61" s="1">
        <f>B60*B60/(24*B47)</f>
        <v>0.11806375442739081</v>
      </c>
    </row>
    <row r="63" spans="1:6">
      <c r="A63" t="s">
        <v>46</v>
      </c>
      <c r="B63">
        <v>0</v>
      </c>
      <c r="C63">
        <v>15</v>
      </c>
      <c r="D63">
        <v>30</v>
      </c>
      <c r="E63">
        <v>45</v>
      </c>
      <c r="F63">
        <v>60</v>
      </c>
    </row>
    <row r="64" spans="1:6">
      <c r="A64" t="s">
        <v>47</v>
      </c>
      <c r="B64" s="1">
        <f>B63*B63*B63/(6*B47*B60)</f>
        <v>0</v>
      </c>
      <c r="C64" s="1">
        <f>C63*C63*C63/(6*B47*B60)</f>
        <v>9.8214285714285712E-3</v>
      </c>
      <c r="D64" s="1">
        <f>D63*D63*D63/(6*B47*B60)</f>
        <v>7.857142857142857E-2</v>
      </c>
      <c r="E64" s="1">
        <f>E63*E63*E63/(6*B47*B60)</f>
        <v>0.26517857142857143</v>
      </c>
      <c r="F64" s="1">
        <f>F63*F63*F63/(6*B47*B60)</f>
        <v>0.62857142857142856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A6CE-4A32-4557-9177-235CF1C565DF}">
  <dimension ref="A1:E41"/>
  <sheetViews>
    <sheetView workbookViewId="0">
      <selection activeCell="C7" sqref="C7"/>
    </sheetView>
  </sheetViews>
  <sheetFormatPr defaultRowHeight="15"/>
  <cols>
    <col min="2" max="2" width="11.5703125" bestFit="1" customWidth="1"/>
  </cols>
  <sheetData>
    <row r="1" spans="1:5">
      <c r="A1" t="s">
        <v>36</v>
      </c>
    </row>
    <row r="2" spans="1:5">
      <c r="A2" t="s">
        <v>48</v>
      </c>
      <c r="B2">
        <v>1</v>
      </c>
      <c r="C2" t="s">
        <v>49</v>
      </c>
    </row>
    <row r="3" spans="1:5">
      <c r="A3" t="s">
        <v>50</v>
      </c>
      <c r="B3">
        <v>-2.5</v>
      </c>
      <c r="C3" t="s">
        <v>49</v>
      </c>
    </row>
    <row r="4" spans="1:5">
      <c r="A4" t="s">
        <v>51</v>
      </c>
      <c r="B4">
        <v>-35</v>
      </c>
      <c r="C4" t="s">
        <v>5</v>
      </c>
    </row>
    <row r="5" spans="1:5">
      <c r="A5" t="s">
        <v>2</v>
      </c>
      <c r="B5">
        <v>80</v>
      </c>
      <c r="C5" t="s">
        <v>3</v>
      </c>
    </row>
    <row r="6" spans="1:5">
      <c r="A6" t="s">
        <v>52</v>
      </c>
      <c r="B6">
        <v>0.19</v>
      </c>
      <c r="C6" t="s">
        <v>23</v>
      </c>
    </row>
    <row r="7" spans="1:5">
      <c r="A7" t="s">
        <v>53</v>
      </c>
      <c r="B7">
        <v>2500</v>
      </c>
      <c r="C7" t="s">
        <v>5</v>
      </c>
    </row>
    <row r="8" spans="1:5">
      <c r="A8" t="s">
        <v>54</v>
      </c>
      <c r="B8">
        <v>5</v>
      </c>
    </row>
    <row r="9" spans="1:5">
      <c r="A9" t="s">
        <v>55</v>
      </c>
      <c r="B9">
        <f>B5*B5/(33.1776*B6)</f>
        <v>1015.2696556205328</v>
      </c>
      <c r="C9" t="s">
        <v>5</v>
      </c>
    </row>
    <row r="10" spans="1:5">
      <c r="A10" t="s">
        <v>56</v>
      </c>
      <c r="B10">
        <f>IF(B9&lt;B7,B7,B9)</f>
        <v>2500</v>
      </c>
      <c r="C10" t="s">
        <v>5</v>
      </c>
    </row>
    <row r="11" spans="1:5">
      <c r="A11" t="s">
        <v>57</v>
      </c>
      <c r="B11">
        <f>B10*(B2-B3)/100</f>
        <v>87.5</v>
      </c>
      <c r="C11" t="s">
        <v>5</v>
      </c>
    </row>
    <row r="12" spans="1:5">
      <c r="A12" t="s">
        <v>58</v>
      </c>
      <c r="B12">
        <f>B11/B8</f>
        <v>17.5</v>
      </c>
      <c r="C12" t="s">
        <v>5</v>
      </c>
    </row>
    <row r="14" spans="1:5">
      <c r="A14" t="s">
        <v>59</v>
      </c>
      <c r="B14" t="s">
        <v>60</v>
      </c>
      <c r="C14" t="s">
        <v>61</v>
      </c>
      <c r="D14" t="s">
        <v>62</v>
      </c>
      <c r="E14" t="s">
        <v>63</v>
      </c>
    </row>
    <row r="15" spans="1:5">
      <c r="A15">
        <v>0</v>
      </c>
      <c r="B15" s="1">
        <f t="shared" ref="B15:B20" si="0">A15*$B$12</f>
        <v>0</v>
      </c>
      <c r="C15" s="1">
        <f>B4</f>
        <v>-35</v>
      </c>
      <c r="D15" s="1">
        <f t="shared" ref="D15:D20" si="1">(($B$2-$B$3)*B15*B15)/(200*$B$11)</f>
        <v>0</v>
      </c>
      <c r="E15" s="1">
        <f>C15-D15</f>
        <v>-35</v>
      </c>
    </row>
    <row r="16" spans="1:5">
      <c r="A16">
        <v>1</v>
      </c>
      <c r="B16" s="1">
        <f t="shared" si="0"/>
        <v>17.5</v>
      </c>
      <c r="C16" s="1">
        <f>$C$15+(($B$2*B16)/100)</f>
        <v>-34.825000000000003</v>
      </c>
      <c r="D16" s="1">
        <f t="shared" si="1"/>
        <v>6.1249999999999999E-2</v>
      </c>
      <c r="E16" s="1">
        <f t="shared" ref="E16:E20" si="2">C16-D16</f>
        <v>-34.886250000000004</v>
      </c>
    </row>
    <row r="17" spans="1:5">
      <c r="A17">
        <v>2</v>
      </c>
      <c r="B17" s="1">
        <f t="shared" si="0"/>
        <v>35</v>
      </c>
      <c r="C17" s="1">
        <f>$C$15+(($B$2*B17)/100)</f>
        <v>-34.65</v>
      </c>
      <c r="D17" s="1">
        <f t="shared" si="1"/>
        <v>0.245</v>
      </c>
      <c r="E17" s="1">
        <f t="shared" si="2"/>
        <v>-34.894999999999996</v>
      </c>
    </row>
    <row r="18" spans="1:5">
      <c r="A18">
        <v>3</v>
      </c>
      <c r="B18" s="1">
        <f t="shared" si="0"/>
        <v>52.5</v>
      </c>
      <c r="C18" s="1">
        <f>$C$15+(($B$2*B18)/100)</f>
        <v>-34.475000000000001</v>
      </c>
      <c r="D18" s="1">
        <f t="shared" si="1"/>
        <v>0.55125000000000002</v>
      </c>
      <c r="E18" s="1">
        <f t="shared" si="2"/>
        <v>-35.026250000000005</v>
      </c>
    </row>
    <row r="19" spans="1:5">
      <c r="A19">
        <v>4</v>
      </c>
      <c r="B19" s="1">
        <f t="shared" si="0"/>
        <v>70</v>
      </c>
      <c r="C19" s="1">
        <f>$C$15+(($B$2*B19)/100)</f>
        <v>-34.299999999999997</v>
      </c>
      <c r="D19" s="1">
        <f t="shared" si="1"/>
        <v>0.98</v>
      </c>
      <c r="E19" s="1">
        <f t="shared" si="2"/>
        <v>-35.279999999999994</v>
      </c>
    </row>
    <row r="20" spans="1:5">
      <c r="A20">
        <v>5</v>
      </c>
      <c r="B20" s="1">
        <f t="shared" si="0"/>
        <v>87.5</v>
      </c>
      <c r="C20" s="1">
        <f>$C$15+(($B$2*B20)/100)</f>
        <v>-34.125</v>
      </c>
      <c r="D20" s="1">
        <f t="shared" si="1"/>
        <v>1.53125</v>
      </c>
      <c r="E20" s="1">
        <f t="shared" si="2"/>
        <v>-35.65625</v>
      </c>
    </row>
    <row r="22" spans="1:5">
      <c r="A22" t="s">
        <v>1</v>
      </c>
    </row>
    <row r="23" spans="1:5">
      <c r="A23" t="s">
        <v>48</v>
      </c>
      <c r="B23">
        <v>2.5</v>
      </c>
      <c r="C23" t="s">
        <v>49</v>
      </c>
    </row>
    <row r="24" spans="1:5">
      <c r="A24" t="s">
        <v>50</v>
      </c>
      <c r="B24">
        <v>0</v>
      </c>
      <c r="C24" t="s">
        <v>49</v>
      </c>
    </row>
    <row r="25" spans="1:5">
      <c r="A25" t="s">
        <v>51</v>
      </c>
      <c r="B25">
        <v>-35</v>
      </c>
      <c r="C25" t="s">
        <v>5</v>
      </c>
    </row>
    <row r="26" spans="1:5">
      <c r="A26" t="s">
        <v>2</v>
      </c>
      <c r="B26">
        <v>80</v>
      </c>
      <c r="C26" t="s">
        <v>3</v>
      </c>
    </row>
    <row r="27" spans="1:5">
      <c r="A27" t="s">
        <v>52</v>
      </c>
      <c r="B27">
        <v>0.19</v>
      </c>
      <c r="C27" t="s">
        <v>23</v>
      </c>
    </row>
    <row r="28" spans="1:5">
      <c r="A28" t="s">
        <v>53</v>
      </c>
      <c r="B28">
        <v>1000</v>
      </c>
      <c r="C28" t="s">
        <v>5</v>
      </c>
    </row>
    <row r="29" spans="1:5">
      <c r="A29" t="s">
        <v>54</v>
      </c>
      <c r="B29">
        <v>5</v>
      </c>
    </row>
    <row r="30" spans="1:5">
      <c r="A30" t="s">
        <v>55</v>
      </c>
      <c r="B30" s="3">
        <f>B26*B26/(33.1776*B27)</f>
        <v>1015.2696556205328</v>
      </c>
      <c r="C30" t="s">
        <v>5</v>
      </c>
    </row>
    <row r="31" spans="1:5">
      <c r="A31" t="s">
        <v>56</v>
      </c>
      <c r="B31" s="3">
        <f>IF(B30&lt;B28,B28,B30)</f>
        <v>1015.2696556205328</v>
      </c>
      <c r="C31" t="s">
        <v>5</v>
      </c>
    </row>
    <row r="32" spans="1:5">
      <c r="A32" t="s">
        <v>57</v>
      </c>
      <c r="B32" s="3">
        <f>B31*(B23-B24)/100</f>
        <v>25.381741390513319</v>
      </c>
      <c r="C32" t="s">
        <v>5</v>
      </c>
    </row>
    <row r="33" spans="1:5">
      <c r="A33" t="s">
        <v>58</v>
      </c>
      <c r="B33" s="3">
        <f>B32/B29</f>
        <v>5.0763482781026639</v>
      </c>
      <c r="C33" t="s">
        <v>5</v>
      </c>
    </row>
    <row r="35" spans="1:5">
      <c r="A35" t="s">
        <v>59</v>
      </c>
      <c r="B35" t="s">
        <v>60</v>
      </c>
      <c r="C35" t="s">
        <v>61</v>
      </c>
      <c r="D35" t="s">
        <v>62</v>
      </c>
      <c r="E35" t="s">
        <v>63</v>
      </c>
    </row>
    <row r="36" spans="1:5">
      <c r="A36">
        <v>0</v>
      </c>
      <c r="B36" s="3">
        <f>A36*$B$33</f>
        <v>0</v>
      </c>
      <c r="C36" s="1">
        <f>B25</f>
        <v>-35</v>
      </c>
      <c r="D36" s="1">
        <f>(($B$23-$B$24)*B36*B36)/(200*$B$32)</f>
        <v>0</v>
      </c>
      <c r="E36" s="1">
        <f>C36-D36</f>
        <v>-35</v>
      </c>
    </row>
    <row r="37" spans="1:5">
      <c r="A37">
        <v>1</v>
      </c>
      <c r="B37" s="3">
        <f t="shared" ref="B37:B41" si="3">A37*$B$33</f>
        <v>5.0763482781026639</v>
      </c>
      <c r="C37" s="1">
        <f>$C$36+(($B$23*B37)/100)</f>
        <v>-34.87309129304743</v>
      </c>
      <c r="D37" s="1">
        <f t="shared" ref="D37:D41" si="4">(($B$23-$B$24)*B37*B37)/(200*$B$32)</f>
        <v>1.2690870695256658E-2</v>
      </c>
      <c r="E37" s="1">
        <f t="shared" ref="E37:E41" si="5">C37-D37</f>
        <v>-34.885782163742689</v>
      </c>
    </row>
    <row r="38" spans="1:5">
      <c r="A38">
        <v>2</v>
      </c>
      <c r="B38" s="3">
        <f t="shared" si="3"/>
        <v>10.152696556205328</v>
      </c>
      <c r="C38" s="1">
        <f>$C$36+(($B$23*B38)/100)</f>
        <v>-34.746182586094868</v>
      </c>
      <c r="D38" s="1">
        <f t="shared" si="4"/>
        <v>5.0763482781026631E-2</v>
      </c>
      <c r="E38" s="1">
        <f t="shared" si="5"/>
        <v>-34.796946068875897</v>
      </c>
    </row>
    <row r="39" spans="1:5">
      <c r="A39">
        <v>3</v>
      </c>
      <c r="B39" s="3">
        <f t="shared" si="3"/>
        <v>15.229044834307992</v>
      </c>
      <c r="C39" s="1">
        <f>$C$36+(($B$23*B39)/100)</f>
        <v>-34.619273879142298</v>
      </c>
      <c r="D39" s="1">
        <f t="shared" si="4"/>
        <v>0.11421783625730991</v>
      </c>
      <c r="E39" s="1">
        <f t="shared" si="5"/>
        <v>-34.733491715399609</v>
      </c>
    </row>
    <row r="40" spans="1:5">
      <c r="A40">
        <v>4</v>
      </c>
      <c r="B40" s="3">
        <f t="shared" si="3"/>
        <v>20.305393112410655</v>
      </c>
      <c r="C40" s="1">
        <f>$C$36+(($B$23*B40)/100)</f>
        <v>-34.492365172189736</v>
      </c>
      <c r="D40" s="1">
        <f t="shared" si="4"/>
        <v>0.20305393112410652</v>
      </c>
      <c r="E40" s="1">
        <f t="shared" si="5"/>
        <v>-34.695419103313846</v>
      </c>
    </row>
    <row r="41" spans="1:5">
      <c r="A41">
        <v>5</v>
      </c>
      <c r="B41" s="3">
        <f t="shared" si="3"/>
        <v>25.381741390513319</v>
      </c>
      <c r="C41" s="1">
        <f>$C$36+(($B$23*B41)/100)</f>
        <v>-34.365456465237166</v>
      </c>
      <c r="D41" s="1">
        <f t="shared" si="4"/>
        <v>0.31727176738141649</v>
      </c>
      <c r="E41" s="1">
        <f t="shared" si="5"/>
        <v>-34.68272823261858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2025-04-24T19:53:33Z</dcterms:created>
  <dcterms:modified xsi:type="dcterms:W3CDTF">2025-05-12T16:43:01Z</dcterms:modified>
  <cp:category/>
  <cp:contentStatus/>
</cp:coreProperties>
</file>