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github\rsii_track_alignment_worksheet\calculations\"/>
    </mc:Choice>
  </mc:AlternateContent>
  <xr:revisionPtr revIDLastSave="0" documentId="13_ncr:1_{40B8081D-C707-4855-9252-8B69A2506F0B}" xr6:coauthVersionLast="47" xr6:coauthVersionMax="47" xr10:uidLastSave="{00000000-0000-0000-0000-000000000000}"/>
  <bookViews>
    <workbookView xWindow="1140" yWindow="0" windowWidth="13830" windowHeight="16200" firstSheet="2" activeTab="5" xr2:uid="{00000000-000D-0000-FFFF-FFFF00000000}"/>
  </bookViews>
  <sheets>
    <sheet name="1. Calculating Cant" sheetId="1" r:id="rId1"/>
    <sheet name="2. Designing and Alignment" sheetId="2" r:id="rId2"/>
    <sheet name="3. Jerk" sheetId="3" r:id="rId3"/>
    <sheet name="4. Determining Transition Lengt" sheetId="4" r:id="rId4"/>
    <sheet name="5. Designing Horizontal Curves" sheetId="5" r:id="rId5"/>
    <sheet name="6. Designing Vertical Curv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6" l="1"/>
  <c r="C57" i="6" s="1"/>
  <c r="C58" i="6" s="1"/>
  <c r="C59" i="6" s="1"/>
  <c r="B62" i="6" s="1"/>
  <c r="C19" i="6"/>
  <c r="C20" i="6"/>
  <c r="C21" i="6"/>
  <c r="C22" i="6"/>
  <c r="C23" i="6"/>
  <c r="C18" i="6"/>
  <c r="C41" i="6"/>
  <c r="C42" i="6"/>
  <c r="C43" i="6"/>
  <c r="C44" i="6"/>
  <c r="C45" i="6"/>
  <c r="C40" i="6"/>
  <c r="D41" i="6"/>
  <c r="D42" i="6"/>
  <c r="D43" i="6"/>
  <c r="D44" i="6"/>
  <c r="D45" i="6"/>
  <c r="D40" i="6"/>
  <c r="B41" i="6"/>
  <c r="B42" i="6"/>
  <c r="B43" i="6"/>
  <c r="B44" i="6"/>
  <c r="B45" i="6"/>
  <c r="B40" i="6"/>
  <c r="C35" i="6"/>
  <c r="C36" i="6" s="1"/>
  <c r="C37" i="6" s="1"/>
  <c r="C34" i="6"/>
  <c r="C54" i="5"/>
  <c r="C53" i="5"/>
  <c r="C33" i="5"/>
  <c r="C32" i="5"/>
  <c r="C34" i="5" s="1"/>
  <c r="C35" i="5" s="1"/>
  <c r="C12" i="6"/>
  <c r="C13" i="6" s="1"/>
  <c r="C14" i="6" s="1"/>
  <c r="C15" i="6" s="1"/>
  <c r="C12" i="5"/>
  <c r="C13" i="5" s="1"/>
  <c r="C14" i="5" s="1"/>
  <c r="C11" i="5"/>
  <c r="C25" i="4"/>
  <c r="C18" i="4"/>
  <c r="C16" i="4"/>
  <c r="C17" i="4" s="1"/>
  <c r="C19" i="4" s="1"/>
  <c r="C9" i="4"/>
  <c r="C7" i="4"/>
  <c r="C8" i="4" s="1"/>
  <c r="C10" i="4" s="1"/>
  <c r="C29" i="3"/>
  <c r="C31" i="3" s="1"/>
  <c r="C32" i="3" s="1"/>
  <c r="C21" i="3"/>
  <c r="C23" i="3" s="1"/>
  <c r="C24" i="3" s="1"/>
  <c r="C15" i="3"/>
  <c r="C16" i="3"/>
  <c r="C5" i="3"/>
  <c r="C7" i="3" s="1"/>
  <c r="C8" i="3" s="1"/>
  <c r="C9" i="3" s="1"/>
  <c r="C21" i="2"/>
  <c r="C22" i="2" s="1"/>
  <c r="C5" i="2"/>
  <c r="C17" i="2" s="1"/>
  <c r="C25" i="1"/>
  <c r="C22" i="1"/>
  <c r="C16" i="1"/>
  <c r="C11" i="1"/>
  <c r="C6" i="1"/>
  <c r="C19" i="1" s="1"/>
  <c r="B63" i="6" l="1"/>
  <c r="D63" i="6" s="1"/>
  <c r="B67" i="6"/>
  <c r="C67" i="6" s="1"/>
  <c r="B66" i="6"/>
  <c r="C66" i="6" s="1"/>
  <c r="B65" i="6"/>
  <c r="C65" i="6" s="1"/>
  <c r="B64" i="6"/>
  <c r="C64" i="6" s="1"/>
  <c r="D62" i="6"/>
  <c r="C62" i="6"/>
  <c r="C55" i="5"/>
  <c r="C56" i="5" s="1"/>
  <c r="C58" i="5" s="1"/>
  <c r="C37" i="5"/>
  <c r="C36" i="5"/>
  <c r="C38" i="5"/>
  <c r="C15" i="5"/>
  <c r="C17" i="5"/>
  <c r="C16" i="5"/>
  <c r="C9" i="2"/>
  <c r="C13" i="2"/>
  <c r="B23" i="6"/>
  <c r="B22" i="6"/>
  <c r="B21" i="6"/>
  <c r="B20" i="6"/>
  <c r="B19" i="6"/>
  <c r="B18" i="6"/>
  <c r="D18" i="6" s="1"/>
  <c r="E18" i="6" s="1"/>
  <c r="C63" i="6" l="1"/>
  <c r="E63" i="6" s="1"/>
  <c r="D67" i="6"/>
  <c r="E67" i="6" s="1"/>
  <c r="D64" i="6"/>
  <c r="E64" i="6" s="1"/>
  <c r="E62" i="6"/>
  <c r="D66" i="6"/>
  <c r="E66" i="6" s="1"/>
  <c r="D65" i="6"/>
  <c r="E65" i="6" s="1"/>
  <c r="C18" i="5"/>
  <c r="C57" i="5"/>
  <c r="C59" i="5"/>
  <c r="C60" i="5" s="1"/>
  <c r="C39" i="5"/>
  <c r="C22" i="5"/>
  <c r="F22" i="5"/>
  <c r="E22" i="5"/>
  <c r="C19" i="5"/>
  <c r="G22" i="5"/>
  <c r="D22" i="5"/>
  <c r="D19" i="6"/>
  <c r="E19" i="6" s="1"/>
  <c r="D20" i="6"/>
  <c r="E20" i="6" s="1"/>
  <c r="D21" i="6"/>
  <c r="E21" i="6" s="1"/>
  <c r="D22" i="6"/>
  <c r="E22" i="6" s="1"/>
  <c r="D23" i="6"/>
  <c r="E23" i="6" s="1"/>
  <c r="F64" i="5" l="1"/>
  <c r="E64" i="5"/>
  <c r="C64" i="5"/>
  <c r="C61" i="5"/>
  <c r="G64" i="5"/>
  <c r="D64" i="5"/>
  <c r="G43" i="5"/>
  <c r="D43" i="5"/>
  <c r="C40" i="5"/>
  <c r="F43" i="5"/>
  <c r="E43" i="5"/>
  <c r="C43" i="5"/>
  <c r="E43" i="6"/>
  <c r="E42" i="6"/>
  <c r="E44" i="6"/>
  <c r="E45" i="6"/>
  <c r="E41" i="6"/>
  <c r="E40" i="6"/>
</calcChain>
</file>

<file path=xl/sharedStrings.xml><?xml version="1.0" encoding="utf-8"?>
<sst xmlns="http://schemas.openxmlformats.org/spreadsheetml/2006/main" count="471" uniqueCount="105">
  <si>
    <t>Calculating Cant</t>
  </si>
  <si>
    <t>Question 1</t>
  </si>
  <si>
    <t>V</t>
  </si>
  <si>
    <t>km/h</t>
  </si>
  <si>
    <t>R</t>
  </si>
  <si>
    <t>m</t>
  </si>
  <si>
    <t>E_q</t>
  </si>
  <si>
    <t>mm</t>
  </si>
  <si>
    <t>Question 2</t>
  </si>
  <si>
    <t>Question 3</t>
  </si>
  <si>
    <t>Question 4) a)</t>
  </si>
  <si>
    <t>E_a</t>
  </si>
  <si>
    <t>Question 4) b)</t>
  </si>
  <si>
    <t>Question 4) c)</t>
  </si>
  <si>
    <t>Designing an Alignment</t>
  </si>
  <si>
    <t>Question 4</t>
  </si>
  <si>
    <t>Question 5</t>
  </si>
  <si>
    <t>Jerk</t>
  </si>
  <si>
    <t>s</t>
  </si>
  <si>
    <t>t</t>
  </si>
  <si>
    <t>v</t>
  </si>
  <si>
    <t>m s^-1</t>
  </si>
  <si>
    <t>a</t>
  </si>
  <si>
    <t>m s^-2</t>
  </si>
  <si>
    <t>j</t>
  </si>
  <si>
    <t>m s^-3</t>
  </si>
  <si>
    <t>Determining Transition Length</t>
  </si>
  <si>
    <t>mm/s</t>
  </si>
  <si>
    <t>D</t>
  </si>
  <si>
    <t>L_tr (E_a)</t>
  </si>
  <si>
    <t>L_tr (D)</t>
  </si>
  <si>
    <t>L_tr</t>
  </si>
  <si>
    <t>Designing Horizontal Curves</t>
  </si>
  <si>
    <t>Worked Example</t>
  </si>
  <si>
    <t>ratio_aq</t>
  </si>
  <si>
    <t>E_a rounded</t>
  </si>
  <si>
    <t>L_tr (delta_E)</t>
  </si>
  <si>
    <t>S_c</t>
  </si>
  <si>
    <t>G_1</t>
  </si>
  <si>
    <t>%</t>
  </si>
  <si>
    <t>G_2</t>
  </si>
  <si>
    <t>h_0</t>
  </si>
  <si>
    <t>a_v</t>
  </si>
  <si>
    <t>R_min</t>
  </si>
  <si>
    <t>N</t>
  </si>
  <si>
    <t>R_vc calc</t>
  </si>
  <si>
    <t>R_vc</t>
  </si>
  <si>
    <t>L_vc</t>
  </si>
  <si>
    <t>I</t>
  </si>
  <si>
    <t>interval</t>
  </si>
  <si>
    <t>I (m)</t>
  </si>
  <si>
    <t>h (m)</t>
  </si>
  <si>
    <t>O (m)</t>
  </si>
  <si>
    <t>FH (m)</t>
  </si>
  <si>
    <t>v_1</t>
  </si>
  <si>
    <t>v_2</t>
  </si>
  <si>
    <t>delta_v</t>
  </si>
  <si>
    <t>V_1</t>
  </si>
  <si>
    <t>V_2</t>
  </si>
  <si>
    <t>Delta E</t>
  </si>
  <si>
    <t>E_a(max)</t>
  </si>
  <si>
    <t>D_(max)</t>
  </si>
  <si>
    <t>CG</t>
  </si>
  <si>
    <t>1 in x</t>
  </si>
  <si>
    <t>delta_E</t>
  </si>
  <si>
    <t>velocity</t>
  </si>
  <si>
    <t>curve radius</t>
  </si>
  <si>
    <t>equilibrium cant</t>
  </si>
  <si>
    <t>applied cant</t>
  </si>
  <si>
    <t>displacement</t>
  </si>
  <si>
    <t>time</t>
  </si>
  <si>
    <t>acceleration</t>
  </si>
  <si>
    <t>jerk</t>
  </si>
  <si>
    <t>initial velocity</t>
  </si>
  <si>
    <t>final velocity</t>
  </si>
  <si>
    <t>change in velocity</t>
  </si>
  <si>
    <t>rate of change in applied cant</t>
  </si>
  <si>
    <t>cant deficiency</t>
  </si>
  <si>
    <t>transition length</t>
  </si>
  <si>
    <t>transition length (applied cant)</t>
  </si>
  <si>
    <t>transition length (cant deficiency)</t>
  </si>
  <si>
    <t>x (m)</t>
  </si>
  <si>
    <t>y (m)</t>
  </si>
  <si>
    <t>max applied cant</t>
  </si>
  <si>
    <t>max cant deficiency</t>
  </si>
  <si>
    <t>max cant gradient</t>
  </si>
  <si>
    <t>max rate of change in cant</t>
  </si>
  <si>
    <t>equilibirium cant</t>
  </si>
  <si>
    <t>cant ratio</t>
  </si>
  <si>
    <t>applied cant (rounded)</t>
  </si>
  <si>
    <t>L_tr (CG)</t>
  </si>
  <si>
    <t>transition length (from cant gradient)</t>
  </si>
  <si>
    <t>transition length (from rate of change in cant)</t>
  </si>
  <si>
    <t>curve offset</t>
  </si>
  <si>
    <t>Designing Vertical Curves</t>
  </si>
  <si>
    <t>initial gradient</t>
  </si>
  <si>
    <t>final gradient</t>
  </si>
  <si>
    <t>initial height</t>
  </si>
  <si>
    <t>vertical acceleration</t>
  </si>
  <si>
    <t>minimum curve radius</t>
  </si>
  <si>
    <t>number of intervals</t>
  </si>
  <si>
    <t>vertical curve radius (calculated)</t>
  </si>
  <si>
    <t>vertical curve radius</t>
  </si>
  <si>
    <t>longitudinal vertical curve length</t>
  </si>
  <si>
    <t>longitudinal interval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</si>
</sst>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C30" sqref="C30"/>
    </sheetView>
  </sheetViews>
  <sheetFormatPr defaultRowHeight="15" x14ac:dyDescent="0.25"/>
  <cols>
    <col min="1" max="1" width="15.7109375" bestFit="1" customWidth="1"/>
  </cols>
  <sheetData>
    <row r="1" spans="1:4" x14ac:dyDescent="0.25">
      <c r="A1" s="4" t="s">
        <v>0</v>
      </c>
      <c r="B1" s="4"/>
      <c r="C1" s="4"/>
      <c r="D1" s="4"/>
    </row>
    <row r="3" spans="1:4" x14ac:dyDescent="0.25">
      <c r="A3" s="4" t="s">
        <v>1</v>
      </c>
      <c r="B3" s="4"/>
      <c r="C3" s="4"/>
      <c r="D3" s="4"/>
    </row>
    <row r="4" spans="1:4" x14ac:dyDescent="0.25">
      <c r="A4" t="s">
        <v>65</v>
      </c>
      <c r="B4" t="s">
        <v>2</v>
      </c>
      <c r="C4">
        <v>85</v>
      </c>
      <c r="D4" t="s">
        <v>3</v>
      </c>
    </row>
    <row r="5" spans="1:4" x14ac:dyDescent="0.25">
      <c r="A5" t="s">
        <v>66</v>
      </c>
      <c r="B5" t="s">
        <v>4</v>
      </c>
      <c r="C5">
        <v>500</v>
      </c>
      <c r="D5" t="s">
        <v>5</v>
      </c>
    </row>
    <row r="6" spans="1:4" x14ac:dyDescent="0.25">
      <c r="A6" t="s">
        <v>67</v>
      </c>
      <c r="B6" t="s">
        <v>6</v>
      </c>
      <c r="C6" s="2">
        <f>11.82*C4*C4/C5</f>
        <v>170.79900000000001</v>
      </c>
      <c r="D6" t="s">
        <v>7</v>
      </c>
    </row>
    <row r="8" spans="1:4" x14ac:dyDescent="0.25">
      <c r="A8" s="4" t="s">
        <v>8</v>
      </c>
      <c r="B8" s="4"/>
      <c r="C8" s="4"/>
      <c r="D8" s="4"/>
    </row>
    <row r="9" spans="1:4" x14ac:dyDescent="0.25">
      <c r="A9" t="s">
        <v>65</v>
      </c>
      <c r="B9" t="s">
        <v>2</v>
      </c>
      <c r="C9">
        <v>56</v>
      </c>
      <c r="D9" t="s">
        <v>3</v>
      </c>
    </row>
    <row r="10" spans="1:4" x14ac:dyDescent="0.25">
      <c r="A10" t="s">
        <v>66</v>
      </c>
      <c r="B10" t="s">
        <v>4</v>
      </c>
      <c r="C10">
        <v>300</v>
      </c>
      <c r="D10" t="s">
        <v>5</v>
      </c>
    </row>
    <row r="11" spans="1:4" x14ac:dyDescent="0.25">
      <c r="A11" t="s">
        <v>67</v>
      </c>
      <c r="B11" t="s">
        <v>6</v>
      </c>
      <c r="C11" s="2">
        <f>11.82*C9*C9/C10</f>
        <v>123.55840000000002</v>
      </c>
      <c r="D11" t="s">
        <v>7</v>
      </c>
    </row>
    <row r="13" spans="1:4" x14ac:dyDescent="0.25">
      <c r="A13" s="4" t="s">
        <v>9</v>
      </c>
      <c r="B13" s="4"/>
      <c r="C13" s="4"/>
      <c r="D13" s="4"/>
    </row>
    <row r="14" spans="1:4" x14ac:dyDescent="0.25">
      <c r="A14" t="s">
        <v>65</v>
      </c>
      <c r="B14" t="s">
        <v>2</v>
      </c>
      <c r="C14">
        <v>120</v>
      </c>
      <c r="D14" t="s">
        <v>3</v>
      </c>
    </row>
    <row r="15" spans="1:4" x14ac:dyDescent="0.25">
      <c r="A15" t="s">
        <v>66</v>
      </c>
      <c r="B15" t="s">
        <v>4</v>
      </c>
      <c r="C15">
        <v>800</v>
      </c>
      <c r="D15" t="s">
        <v>5</v>
      </c>
    </row>
    <row r="16" spans="1:4" x14ac:dyDescent="0.25">
      <c r="A16" t="s">
        <v>67</v>
      </c>
      <c r="B16" t="s">
        <v>6</v>
      </c>
      <c r="C16" s="2">
        <f>11.82*C14*C14/C15</f>
        <v>212.76</v>
      </c>
      <c r="D16" t="s">
        <v>7</v>
      </c>
    </row>
    <row r="18" spans="1:4" x14ac:dyDescent="0.25">
      <c r="A18" s="4" t="s">
        <v>10</v>
      </c>
      <c r="B18" s="4"/>
      <c r="C18" s="4"/>
      <c r="D18" s="4"/>
    </row>
    <row r="19" spans="1:4" x14ac:dyDescent="0.25">
      <c r="A19" t="s">
        <v>68</v>
      </c>
      <c r="B19" t="s">
        <v>11</v>
      </c>
      <c r="C19">
        <f>C6*2/3</f>
        <v>113.866</v>
      </c>
      <c r="D19" t="s">
        <v>7</v>
      </c>
    </row>
    <row r="21" spans="1:4" x14ac:dyDescent="0.25">
      <c r="A21" s="4" t="s">
        <v>12</v>
      </c>
      <c r="B21" s="4"/>
      <c r="C21" s="4"/>
      <c r="D21" s="4"/>
    </row>
    <row r="22" spans="1:4" x14ac:dyDescent="0.25">
      <c r="A22" t="s">
        <v>68</v>
      </c>
      <c r="B22" t="s">
        <v>11</v>
      </c>
      <c r="C22">
        <f>C11*2/3</f>
        <v>82.372266666666675</v>
      </c>
      <c r="D22" t="s">
        <v>7</v>
      </c>
    </row>
    <row r="24" spans="1:4" x14ac:dyDescent="0.25">
      <c r="A24" s="4" t="s">
        <v>13</v>
      </c>
      <c r="B24" s="4"/>
      <c r="C24" s="4"/>
      <c r="D24" s="4"/>
    </row>
    <row r="25" spans="1:4" x14ac:dyDescent="0.25">
      <c r="A25" t="s">
        <v>68</v>
      </c>
      <c r="B25" t="s">
        <v>11</v>
      </c>
      <c r="C25">
        <f>C16*2/3</f>
        <v>141.84</v>
      </c>
      <c r="D25" t="s">
        <v>7</v>
      </c>
    </row>
  </sheetData>
  <mergeCells count="7">
    <mergeCell ref="A24:D24"/>
    <mergeCell ref="A18:D18"/>
    <mergeCell ref="A1:D1"/>
    <mergeCell ref="A3:D3"/>
    <mergeCell ref="A8:D8"/>
    <mergeCell ref="A13:D13"/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6F1E-BAC0-4661-8509-B25CD8539F9D}">
  <dimension ref="A1:D22"/>
  <sheetViews>
    <sheetView workbookViewId="0">
      <selection activeCell="A23" sqref="A23"/>
    </sheetView>
  </sheetViews>
  <sheetFormatPr defaultRowHeight="15" x14ac:dyDescent="0.25"/>
  <cols>
    <col min="1" max="1" width="22.140625" bestFit="1" customWidth="1"/>
  </cols>
  <sheetData>
    <row r="1" spans="1:4" x14ac:dyDescent="0.25">
      <c r="A1" s="4" t="s">
        <v>14</v>
      </c>
      <c r="B1" s="4"/>
      <c r="C1" s="4"/>
      <c r="D1" s="4"/>
    </row>
    <row r="3" spans="1:4" x14ac:dyDescent="0.25">
      <c r="A3" s="4" t="s">
        <v>1</v>
      </c>
      <c r="B3" s="4"/>
      <c r="C3" s="4"/>
      <c r="D3" s="4"/>
    </row>
    <row r="4" spans="1:4" x14ac:dyDescent="0.25">
      <c r="A4" t="s">
        <v>68</v>
      </c>
      <c r="B4" t="s">
        <v>11</v>
      </c>
      <c r="C4">
        <v>150</v>
      </c>
      <c r="D4" t="s">
        <v>7</v>
      </c>
    </row>
    <row r="5" spans="1:4" x14ac:dyDescent="0.25">
      <c r="A5" t="s">
        <v>67</v>
      </c>
      <c r="B5" t="s">
        <v>6</v>
      </c>
      <c r="C5">
        <f>C4*3/2</f>
        <v>225</v>
      </c>
      <c r="D5" t="s">
        <v>7</v>
      </c>
    </row>
    <row r="7" spans="1:4" x14ac:dyDescent="0.25">
      <c r="A7" s="4" t="s">
        <v>8</v>
      </c>
      <c r="B7" s="4"/>
      <c r="C7" s="4"/>
      <c r="D7" s="4"/>
    </row>
    <row r="8" spans="1:4" x14ac:dyDescent="0.25">
      <c r="A8" t="s">
        <v>65</v>
      </c>
      <c r="B8" t="s">
        <v>2</v>
      </c>
      <c r="C8">
        <v>180</v>
      </c>
      <c r="D8" t="s">
        <v>3</v>
      </c>
    </row>
    <row r="9" spans="1:4" x14ac:dyDescent="0.25">
      <c r="A9" t="s">
        <v>66</v>
      </c>
      <c r="B9" t="s">
        <v>4</v>
      </c>
      <c r="C9" s="3">
        <f>11.82*C8*C8/C5</f>
        <v>1702.08</v>
      </c>
      <c r="D9" t="s">
        <v>5</v>
      </c>
    </row>
    <row r="11" spans="1:4" x14ac:dyDescent="0.25">
      <c r="A11" s="4" t="s">
        <v>9</v>
      </c>
      <c r="B11" s="4"/>
      <c r="C11" s="4"/>
      <c r="D11" s="4"/>
    </row>
    <row r="12" spans="1:4" x14ac:dyDescent="0.25">
      <c r="A12" t="s">
        <v>65</v>
      </c>
      <c r="B12" t="s">
        <v>2</v>
      </c>
      <c r="C12">
        <v>270</v>
      </c>
      <c r="D12" t="s">
        <v>3</v>
      </c>
    </row>
    <row r="13" spans="1:4" x14ac:dyDescent="0.25">
      <c r="A13" t="s">
        <v>66</v>
      </c>
      <c r="B13" t="s">
        <v>4</v>
      </c>
      <c r="C13" s="3">
        <f>11.82*C12*C12/C5</f>
        <v>3829.68</v>
      </c>
      <c r="D13" t="s">
        <v>5</v>
      </c>
    </row>
    <row r="15" spans="1:4" x14ac:dyDescent="0.25">
      <c r="A15" s="4" t="s">
        <v>15</v>
      </c>
      <c r="B15" s="4"/>
      <c r="C15" s="4"/>
      <c r="D15" s="4"/>
    </row>
    <row r="16" spans="1:4" x14ac:dyDescent="0.25">
      <c r="A16" t="s">
        <v>66</v>
      </c>
      <c r="B16" t="s">
        <v>4</v>
      </c>
      <c r="C16">
        <v>750</v>
      </c>
      <c r="D16" t="s">
        <v>5</v>
      </c>
    </row>
    <row r="17" spans="1:4" x14ac:dyDescent="0.25">
      <c r="A17" t="s">
        <v>65</v>
      </c>
      <c r="B17" t="s">
        <v>2</v>
      </c>
      <c r="C17" s="3">
        <f>SQRT(C5*C16/11.82)</f>
        <v>119.48493522696864</v>
      </c>
      <c r="D17" t="s">
        <v>3</v>
      </c>
    </row>
    <row r="19" spans="1:4" x14ac:dyDescent="0.25">
      <c r="A19" s="4" t="s">
        <v>16</v>
      </c>
      <c r="B19" s="4"/>
      <c r="C19" s="4"/>
      <c r="D19" s="4"/>
    </row>
    <row r="20" spans="1:4" x14ac:dyDescent="0.25">
      <c r="A20" t="s">
        <v>68</v>
      </c>
      <c r="B20" t="s">
        <v>11</v>
      </c>
      <c r="C20">
        <v>110</v>
      </c>
      <c r="D20" t="s">
        <v>7</v>
      </c>
    </row>
    <row r="21" spans="1:4" x14ac:dyDescent="0.25">
      <c r="A21" t="s">
        <v>67</v>
      </c>
      <c r="B21" t="s">
        <v>6</v>
      </c>
      <c r="C21">
        <f>C20*3/2</f>
        <v>165</v>
      </c>
      <c r="D21" t="s">
        <v>7</v>
      </c>
    </row>
    <row r="22" spans="1:4" x14ac:dyDescent="0.25">
      <c r="A22" t="s">
        <v>65</v>
      </c>
      <c r="B22" t="s">
        <v>2</v>
      </c>
      <c r="C22" s="3">
        <f>SQRT(C16*C21/11.82)</f>
        <v>102.32078550914336</v>
      </c>
      <c r="D22" t="s">
        <v>3</v>
      </c>
    </row>
  </sheetData>
  <mergeCells count="6">
    <mergeCell ref="A1:D1"/>
    <mergeCell ref="A3:D3"/>
    <mergeCell ref="A7:D7"/>
    <mergeCell ref="A11:D11"/>
    <mergeCell ref="A15:D15"/>
    <mergeCell ref="A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4A6C-3169-459E-A0A8-84397C6A4B9E}">
  <dimension ref="A1:D32"/>
  <sheetViews>
    <sheetView workbookViewId="0">
      <selection activeCell="A26" sqref="A26:D26"/>
    </sheetView>
  </sheetViews>
  <sheetFormatPr defaultRowHeight="15" x14ac:dyDescent="0.25"/>
  <cols>
    <col min="1" max="1" width="16.7109375" bestFit="1" customWidth="1"/>
  </cols>
  <sheetData>
    <row r="1" spans="1:4" x14ac:dyDescent="0.25">
      <c r="A1" s="4" t="s">
        <v>17</v>
      </c>
      <c r="B1" s="4"/>
      <c r="C1" s="4"/>
      <c r="D1" s="4"/>
    </row>
    <row r="3" spans="1:4" x14ac:dyDescent="0.25">
      <c r="A3" s="4" t="s">
        <v>1</v>
      </c>
      <c r="B3" s="4"/>
      <c r="C3" s="4"/>
      <c r="D3" s="4"/>
    </row>
    <row r="4" spans="1:4" x14ac:dyDescent="0.25">
      <c r="A4" t="s">
        <v>69</v>
      </c>
      <c r="B4" t="s">
        <v>18</v>
      </c>
      <c r="C4">
        <v>2</v>
      </c>
      <c r="D4" t="s">
        <v>7</v>
      </c>
    </row>
    <row r="5" spans="1:4" x14ac:dyDescent="0.25">
      <c r="A5" t="s">
        <v>69</v>
      </c>
      <c r="B5" t="s">
        <v>18</v>
      </c>
      <c r="C5">
        <f>C4/1000</f>
        <v>2E-3</v>
      </c>
      <c r="D5" t="s">
        <v>5</v>
      </c>
    </row>
    <row r="6" spans="1:4" x14ac:dyDescent="0.25">
      <c r="A6" t="s">
        <v>70</v>
      </c>
      <c r="B6" t="s">
        <v>19</v>
      </c>
      <c r="C6">
        <v>0.5</v>
      </c>
      <c r="D6" t="s">
        <v>18</v>
      </c>
    </row>
    <row r="7" spans="1:4" x14ac:dyDescent="0.25">
      <c r="A7" t="s">
        <v>65</v>
      </c>
      <c r="B7" t="s">
        <v>20</v>
      </c>
      <c r="C7">
        <f>C5/C6</f>
        <v>4.0000000000000001E-3</v>
      </c>
      <c r="D7" t="s">
        <v>21</v>
      </c>
    </row>
    <row r="8" spans="1:4" x14ac:dyDescent="0.25">
      <c r="A8" t="s">
        <v>71</v>
      </c>
      <c r="B8" t="s">
        <v>22</v>
      </c>
      <c r="C8">
        <f>C7/C6</f>
        <v>8.0000000000000002E-3</v>
      </c>
      <c r="D8" t="s">
        <v>23</v>
      </c>
    </row>
    <row r="9" spans="1:4" x14ac:dyDescent="0.25">
      <c r="A9" t="s">
        <v>72</v>
      </c>
      <c r="B9" t="s">
        <v>24</v>
      </c>
      <c r="C9">
        <f>C8/C6</f>
        <v>1.6E-2</v>
      </c>
      <c r="D9" t="s">
        <v>25</v>
      </c>
    </row>
    <row r="11" spans="1:4" x14ac:dyDescent="0.25">
      <c r="A11" s="4" t="s">
        <v>8</v>
      </c>
      <c r="B11" s="4"/>
      <c r="C11" s="4"/>
      <c r="D11" s="4"/>
    </row>
    <row r="12" spans="1:4" x14ac:dyDescent="0.25">
      <c r="A12" t="s">
        <v>73</v>
      </c>
      <c r="B12" t="s">
        <v>54</v>
      </c>
      <c r="C12">
        <v>30</v>
      </c>
      <c r="D12" t="s">
        <v>21</v>
      </c>
    </row>
    <row r="13" spans="1:4" x14ac:dyDescent="0.25">
      <c r="A13" t="s">
        <v>74</v>
      </c>
      <c r="B13" t="s">
        <v>55</v>
      </c>
      <c r="C13">
        <v>0</v>
      </c>
      <c r="D13" t="s">
        <v>21</v>
      </c>
    </row>
    <row r="14" spans="1:4" x14ac:dyDescent="0.25">
      <c r="A14" t="s">
        <v>70</v>
      </c>
      <c r="B14" t="s">
        <v>19</v>
      </c>
      <c r="C14">
        <v>10</v>
      </c>
      <c r="D14" t="s">
        <v>18</v>
      </c>
    </row>
    <row r="15" spans="1:4" x14ac:dyDescent="0.25">
      <c r="A15" t="s">
        <v>71</v>
      </c>
      <c r="B15" t="s">
        <v>22</v>
      </c>
      <c r="C15">
        <f>(C13-C12)/C14</f>
        <v>-3</v>
      </c>
      <c r="D15" t="s">
        <v>23</v>
      </c>
    </row>
    <row r="16" spans="1:4" x14ac:dyDescent="0.25">
      <c r="A16" t="s">
        <v>72</v>
      </c>
      <c r="B16" t="s">
        <v>24</v>
      </c>
      <c r="C16">
        <f>C15/C14</f>
        <v>-0.3</v>
      </c>
      <c r="D16" t="s">
        <v>25</v>
      </c>
    </row>
    <row r="18" spans="1:4" x14ac:dyDescent="0.25">
      <c r="A18" s="4" t="s">
        <v>9</v>
      </c>
      <c r="B18" s="4"/>
      <c r="C18" s="4"/>
      <c r="D18" s="4"/>
    </row>
    <row r="19" spans="1:4" x14ac:dyDescent="0.25">
      <c r="A19" t="s">
        <v>73</v>
      </c>
      <c r="B19" t="s">
        <v>57</v>
      </c>
      <c r="C19">
        <v>0</v>
      </c>
      <c r="D19" t="s">
        <v>3</v>
      </c>
    </row>
    <row r="20" spans="1:4" x14ac:dyDescent="0.25">
      <c r="A20" t="s">
        <v>74</v>
      </c>
      <c r="B20" t="s">
        <v>58</v>
      </c>
      <c r="C20">
        <v>60</v>
      </c>
      <c r="D20" t="s">
        <v>3</v>
      </c>
    </row>
    <row r="21" spans="1:4" x14ac:dyDescent="0.25">
      <c r="A21" t="s">
        <v>75</v>
      </c>
      <c r="B21" t="s">
        <v>56</v>
      </c>
      <c r="C21" s="1">
        <f>(C20-C19)/3.6</f>
        <v>16.666666666666668</v>
      </c>
      <c r="D21" t="s">
        <v>21</v>
      </c>
    </row>
    <row r="22" spans="1:4" x14ac:dyDescent="0.25">
      <c r="A22" t="s">
        <v>70</v>
      </c>
      <c r="B22" t="s">
        <v>19</v>
      </c>
      <c r="C22">
        <v>10</v>
      </c>
      <c r="D22" t="s">
        <v>18</v>
      </c>
    </row>
    <row r="23" spans="1:4" x14ac:dyDescent="0.25">
      <c r="A23" t="s">
        <v>71</v>
      </c>
      <c r="B23" t="s">
        <v>22</v>
      </c>
      <c r="C23" s="1">
        <f>C21/C22</f>
        <v>1.6666666666666667</v>
      </c>
      <c r="D23" t="s">
        <v>23</v>
      </c>
    </row>
    <row r="24" spans="1:4" x14ac:dyDescent="0.25">
      <c r="A24" t="s">
        <v>72</v>
      </c>
      <c r="B24" t="s">
        <v>24</v>
      </c>
      <c r="C24" s="1">
        <f>C23/C22</f>
        <v>0.16666666666666669</v>
      </c>
      <c r="D24" t="s">
        <v>25</v>
      </c>
    </row>
    <row r="26" spans="1:4" x14ac:dyDescent="0.25">
      <c r="A26" s="4" t="s">
        <v>15</v>
      </c>
      <c r="B26" s="4"/>
      <c r="C26" s="4"/>
      <c r="D26" s="4"/>
    </row>
    <row r="27" spans="1:4" x14ac:dyDescent="0.25">
      <c r="A27" t="s">
        <v>73</v>
      </c>
      <c r="B27" t="s">
        <v>57</v>
      </c>
      <c r="C27">
        <v>0</v>
      </c>
      <c r="D27" t="s">
        <v>3</v>
      </c>
    </row>
    <row r="28" spans="1:4" x14ac:dyDescent="0.25">
      <c r="A28" t="s">
        <v>74</v>
      </c>
      <c r="B28" t="s">
        <v>58</v>
      </c>
      <c r="C28">
        <v>60</v>
      </c>
      <c r="D28" t="s">
        <v>3</v>
      </c>
    </row>
    <row r="29" spans="1:4" x14ac:dyDescent="0.25">
      <c r="A29" t="s">
        <v>75</v>
      </c>
      <c r="B29" t="s">
        <v>56</v>
      </c>
      <c r="C29" s="1">
        <f>(C28-C27)/3.6</f>
        <v>16.666666666666668</v>
      </c>
      <c r="D29" t="s">
        <v>21</v>
      </c>
    </row>
    <row r="30" spans="1:4" x14ac:dyDescent="0.25">
      <c r="A30" t="s">
        <v>70</v>
      </c>
      <c r="B30" t="s">
        <v>19</v>
      </c>
      <c r="C30">
        <v>5.8</v>
      </c>
      <c r="D30" t="s">
        <v>18</v>
      </c>
    </row>
    <row r="31" spans="1:4" x14ac:dyDescent="0.25">
      <c r="A31" t="s">
        <v>71</v>
      </c>
      <c r="B31" t="s">
        <v>22</v>
      </c>
      <c r="C31" s="1">
        <f>C29/C30</f>
        <v>2.8735632183908049</v>
      </c>
      <c r="D31" t="s">
        <v>23</v>
      </c>
    </row>
    <row r="32" spans="1:4" x14ac:dyDescent="0.25">
      <c r="A32" t="s">
        <v>72</v>
      </c>
      <c r="B32" t="s">
        <v>24</v>
      </c>
      <c r="C32" s="1">
        <f>C31/C30</f>
        <v>0.49544193420531119</v>
      </c>
      <c r="D32" t="s">
        <v>25</v>
      </c>
    </row>
  </sheetData>
  <mergeCells count="5">
    <mergeCell ref="A1:D1"/>
    <mergeCell ref="A3:D3"/>
    <mergeCell ref="A11:D11"/>
    <mergeCell ref="A18:D18"/>
    <mergeCell ref="A26:D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3EC5-CD09-4D6F-A879-1D31FA771932}">
  <dimension ref="A1:D25"/>
  <sheetViews>
    <sheetView workbookViewId="0">
      <selection activeCell="F18" sqref="F18"/>
    </sheetView>
  </sheetViews>
  <sheetFormatPr defaultRowHeight="15" x14ac:dyDescent="0.25"/>
  <cols>
    <col min="1" max="1" width="31.140625" bestFit="1" customWidth="1"/>
  </cols>
  <sheetData>
    <row r="1" spans="1:4" x14ac:dyDescent="0.25">
      <c r="A1" s="4" t="s">
        <v>26</v>
      </c>
      <c r="B1" s="4"/>
      <c r="C1" s="4"/>
      <c r="D1" s="4"/>
    </row>
    <row r="3" spans="1:4" x14ac:dyDescent="0.25">
      <c r="A3" s="4" t="s">
        <v>1</v>
      </c>
      <c r="B3" s="4"/>
      <c r="C3" s="4"/>
      <c r="D3" s="4"/>
    </row>
    <row r="4" spans="1:4" x14ac:dyDescent="0.25">
      <c r="A4" t="s">
        <v>65</v>
      </c>
      <c r="B4" t="s">
        <v>2</v>
      </c>
      <c r="C4">
        <v>80</v>
      </c>
      <c r="D4" t="s">
        <v>3</v>
      </c>
    </row>
    <row r="5" spans="1:4" x14ac:dyDescent="0.25">
      <c r="A5" t="s">
        <v>76</v>
      </c>
      <c r="B5" t="s">
        <v>59</v>
      </c>
      <c r="C5">
        <v>35</v>
      </c>
      <c r="D5" t="s">
        <v>27</v>
      </c>
    </row>
    <row r="6" spans="1:4" x14ac:dyDescent="0.25">
      <c r="A6" t="s">
        <v>77</v>
      </c>
      <c r="B6" t="s">
        <v>28</v>
      </c>
      <c r="C6">
        <v>45</v>
      </c>
      <c r="D6" t="s">
        <v>7</v>
      </c>
    </row>
    <row r="7" spans="1:4" x14ac:dyDescent="0.25">
      <c r="A7" t="s">
        <v>68</v>
      </c>
      <c r="B7" t="s">
        <v>11</v>
      </c>
      <c r="C7">
        <f>2*C6</f>
        <v>90</v>
      </c>
      <c r="D7" t="s">
        <v>7</v>
      </c>
    </row>
    <row r="8" spans="1:4" x14ac:dyDescent="0.25">
      <c r="A8" t="s">
        <v>79</v>
      </c>
      <c r="B8" t="s">
        <v>29</v>
      </c>
      <c r="C8" s="2">
        <f>C7*C4/(C5*3.6)</f>
        <v>57.142857142857146</v>
      </c>
      <c r="D8" t="s">
        <v>5</v>
      </c>
    </row>
    <row r="9" spans="1:4" x14ac:dyDescent="0.25">
      <c r="A9" t="s">
        <v>80</v>
      </c>
      <c r="B9" t="s">
        <v>30</v>
      </c>
      <c r="C9" s="2">
        <f>C6*C4/(C5*3.6)</f>
        <v>28.571428571428573</v>
      </c>
      <c r="D9" t="s">
        <v>5</v>
      </c>
    </row>
    <row r="10" spans="1:4" x14ac:dyDescent="0.25">
      <c r="A10" t="s">
        <v>78</v>
      </c>
      <c r="B10" t="s">
        <v>31</v>
      </c>
      <c r="C10" s="2">
        <f>IF(C8&gt;C9,C8,C9)</f>
        <v>57.142857142857146</v>
      </c>
      <c r="D10" t="s">
        <v>5</v>
      </c>
    </row>
    <row r="12" spans="1:4" x14ac:dyDescent="0.25">
      <c r="A12" s="4" t="s">
        <v>8</v>
      </c>
      <c r="B12" s="4"/>
      <c r="C12" s="4"/>
      <c r="D12" s="4"/>
    </row>
    <row r="13" spans="1:4" x14ac:dyDescent="0.25">
      <c r="A13" t="s">
        <v>65</v>
      </c>
      <c r="B13" t="s">
        <v>2</v>
      </c>
      <c r="C13">
        <v>120</v>
      </c>
      <c r="D13" t="s">
        <v>3</v>
      </c>
    </row>
    <row r="14" spans="1:4" x14ac:dyDescent="0.25">
      <c r="A14" t="s">
        <v>76</v>
      </c>
      <c r="B14" t="s">
        <v>59</v>
      </c>
      <c r="C14">
        <v>22.6</v>
      </c>
      <c r="D14" t="s">
        <v>27</v>
      </c>
    </row>
    <row r="15" spans="1:4" x14ac:dyDescent="0.25">
      <c r="A15" t="s">
        <v>77</v>
      </c>
      <c r="B15" t="s">
        <v>28</v>
      </c>
      <c r="C15">
        <v>38.9</v>
      </c>
      <c r="D15" t="s">
        <v>7</v>
      </c>
    </row>
    <row r="16" spans="1:4" x14ac:dyDescent="0.25">
      <c r="A16" t="s">
        <v>68</v>
      </c>
      <c r="B16" t="s">
        <v>11</v>
      </c>
      <c r="C16">
        <f>2*C15</f>
        <v>77.8</v>
      </c>
      <c r="D16" t="s">
        <v>7</v>
      </c>
    </row>
    <row r="17" spans="1:4" x14ac:dyDescent="0.25">
      <c r="A17" t="s">
        <v>79</v>
      </c>
      <c r="B17" t="s">
        <v>29</v>
      </c>
      <c r="C17" s="2">
        <f>C16*C13/(C14*3.6)</f>
        <v>114.74926253687313</v>
      </c>
      <c r="D17" t="s">
        <v>5</v>
      </c>
    </row>
    <row r="18" spans="1:4" x14ac:dyDescent="0.25">
      <c r="A18" t="s">
        <v>80</v>
      </c>
      <c r="B18" t="s">
        <v>30</v>
      </c>
      <c r="C18" s="2">
        <f>C15*C13/(C14*3.6)</f>
        <v>57.374631268436566</v>
      </c>
      <c r="D18" t="s">
        <v>5</v>
      </c>
    </row>
    <row r="19" spans="1:4" x14ac:dyDescent="0.25">
      <c r="A19" t="s">
        <v>78</v>
      </c>
      <c r="B19" t="s">
        <v>31</v>
      </c>
      <c r="C19" s="2">
        <f>IF(C17&gt;C18,C17,C18)</f>
        <v>114.74926253687313</v>
      </c>
      <c r="D19" t="s">
        <v>5</v>
      </c>
    </row>
    <row r="21" spans="1:4" x14ac:dyDescent="0.25">
      <c r="A21" s="4" t="s">
        <v>9</v>
      </c>
      <c r="B21" s="4"/>
      <c r="C21" s="4"/>
      <c r="D21" s="4"/>
    </row>
    <row r="22" spans="1:4" x14ac:dyDescent="0.25">
      <c r="A22" t="s">
        <v>78</v>
      </c>
      <c r="B22" t="s">
        <v>31</v>
      </c>
      <c r="C22">
        <v>80</v>
      </c>
      <c r="D22" t="s">
        <v>7</v>
      </c>
    </row>
    <row r="23" spans="1:4" x14ac:dyDescent="0.25">
      <c r="A23" t="s">
        <v>65</v>
      </c>
      <c r="B23" t="s">
        <v>2</v>
      </c>
      <c r="C23">
        <v>130</v>
      </c>
      <c r="D23" t="s">
        <v>3</v>
      </c>
    </row>
    <row r="24" spans="1:4" x14ac:dyDescent="0.25">
      <c r="A24" t="s">
        <v>68</v>
      </c>
      <c r="B24" t="s">
        <v>11</v>
      </c>
      <c r="C24">
        <v>150</v>
      </c>
      <c r="D24" t="s">
        <v>7</v>
      </c>
    </row>
    <row r="25" spans="1:4" x14ac:dyDescent="0.25">
      <c r="A25" t="s">
        <v>76</v>
      </c>
      <c r="B25" t="s">
        <v>59</v>
      </c>
      <c r="C25" s="3">
        <f>C24*C23/(C22*3.6)</f>
        <v>67.708333333333329</v>
      </c>
      <c r="D25" t="s">
        <v>27</v>
      </c>
    </row>
  </sheetData>
  <mergeCells count="4">
    <mergeCell ref="A1:D1"/>
    <mergeCell ref="A3:D3"/>
    <mergeCell ref="A12:D12"/>
    <mergeCell ref="A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25F9-51A2-4A79-99E1-8FED9A177789}">
  <dimension ref="A1:G64"/>
  <sheetViews>
    <sheetView workbookViewId="0">
      <selection activeCell="E16" sqref="E16"/>
    </sheetView>
  </sheetViews>
  <sheetFormatPr defaultRowHeight="15" x14ac:dyDescent="0.25"/>
  <cols>
    <col min="1" max="1" width="41.7109375" bestFit="1" customWidth="1"/>
    <col min="2" max="2" width="10.140625" bestFit="1" customWidth="1"/>
    <col min="3" max="3" width="7.5703125" bestFit="1" customWidth="1"/>
  </cols>
  <sheetData>
    <row r="1" spans="1:4" x14ac:dyDescent="0.25">
      <c r="A1" s="4" t="s">
        <v>32</v>
      </c>
      <c r="B1" s="4"/>
      <c r="C1" s="4"/>
      <c r="D1" s="4"/>
    </row>
    <row r="3" spans="1:4" x14ac:dyDescent="0.25">
      <c r="A3" s="4" t="s">
        <v>33</v>
      </c>
      <c r="B3" s="4"/>
      <c r="C3" s="4"/>
      <c r="D3" s="4"/>
    </row>
    <row r="4" spans="1:4" x14ac:dyDescent="0.25">
      <c r="A4" t="s">
        <v>65</v>
      </c>
      <c r="B4" t="s">
        <v>2</v>
      </c>
      <c r="C4">
        <v>80</v>
      </c>
      <c r="D4" t="s">
        <v>3</v>
      </c>
    </row>
    <row r="5" spans="1:4" x14ac:dyDescent="0.25">
      <c r="A5" t="s">
        <v>66</v>
      </c>
      <c r="B5" t="s">
        <v>4</v>
      </c>
      <c r="C5">
        <v>400</v>
      </c>
      <c r="D5" t="s">
        <v>5</v>
      </c>
    </row>
    <row r="6" spans="1:4" x14ac:dyDescent="0.25">
      <c r="A6" t="s">
        <v>83</v>
      </c>
      <c r="B6" t="s">
        <v>60</v>
      </c>
      <c r="C6">
        <v>150</v>
      </c>
      <c r="D6" t="s">
        <v>7</v>
      </c>
    </row>
    <row r="7" spans="1:4" x14ac:dyDescent="0.25">
      <c r="A7" t="s">
        <v>84</v>
      </c>
      <c r="B7" t="s">
        <v>61</v>
      </c>
      <c r="C7">
        <v>90</v>
      </c>
      <c r="D7" t="s">
        <v>7</v>
      </c>
    </row>
    <row r="8" spans="1:4" x14ac:dyDescent="0.25">
      <c r="A8" t="s">
        <v>85</v>
      </c>
      <c r="B8" t="s">
        <v>62</v>
      </c>
      <c r="C8">
        <v>500</v>
      </c>
      <c r="D8" t="s">
        <v>63</v>
      </c>
    </row>
    <row r="9" spans="1:4" x14ac:dyDescent="0.25">
      <c r="A9" t="s">
        <v>86</v>
      </c>
      <c r="B9" t="s">
        <v>64</v>
      </c>
      <c r="C9">
        <v>55</v>
      </c>
      <c r="D9" t="s">
        <v>27</v>
      </c>
    </row>
    <row r="11" spans="1:4" x14ac:dyDescent="0.25">
      <c r="A11" t="s">
        <v>87</v>
      </c>
      <c r="B11" t="s">
        <v>6</v>
      </c>
      <c r="C11" s="3">
        <f>11.82*C4*C4/C5</f>
        <v>189.12</v>
      </c>
      <c r="D11" t="s">
        <v>7</v>
      </c>
    </row>
    <row r="12" spans="1:4" x14ac:dyDescent="0.25">
      <c r="A12" t="s">
        <v>88</v>
      </c>
      <c r="B12" t="s">
        <v>34</v>
      </c>
      <c r="C12">
        <f>C6/(C6+C7)</f>
        <v>0.625</v>
      </c>
    </row>
    <row r="13" spans="1:4" x14ac:dyDescent="0.25">
      <c r="A13" t="s">
        <v>68</v>
      </c>
      <c r="B13" t="s">
        <v>11</v>
      </c>
      <c r="C13" s="3">
        <f>C12*C11</f>
        <v>118.2</v>
      </c>
      <c r="D13" t="s">
        <v>7</v>
      </c>
    </row>
    <row r="14" spans="1:4" x14ac:dyDescent="0.25">
      <c r="A14" t="s">
        <v>89</v>
      </c>
      <c r="B14" t="s">
        <v>35</v>
      </c>
      <c r="C14">
        <f>MROUND(C13, 5)</f>
        <v>120</v>
      </c>
      <c r="D14" t="s">
        <v>7</v>
      </c>
    </row>
    <row r="15" spans="1:4" x14ac:dyDescent="0.25">
      <c r="A15" t="s">
        <v>77</v>
      </c>
      <c r="B15" t="s">
        <v>28</v>
      </c>
      <c r="C15" s="3">
        <f>C11-C14</f>
        <v>69.12</v>
      </c>
      <c r="D15" t="s">
        <v>7</v>
      </c>
    </row>
    <row r="16" spans="1:4" x14ac:dyDescent="0.25">
      <c r="A16" t="s">
        <v>91</v>
      </c>
      <c r="B16" t="s">
        <v>90</v>
      </c>
      <c r="C16">
        <f>(C14/1000)*C8</f>
        <v>60</v>
      </c>
      <c r="D16" t="s">
        <v>5</v>
      </c>
    </row>
    <row r="17" spans="1:7" x14ac:dyDescent="0.25">
      <c r="A17" t="s">
        <v>92</v>
      </c>
      <c r="B17" t="s">
        <v>36</v>
      </c>
      <c r="C17" s="1">
        <f>C14*C4/(C9*3.6)</f>
        <v>48.484848484848484</v>
      </c>
      <c r="D17" t="s">
        <v>5</v>
      </c>
    </row>
    <row r="18" spans="1:7" x14ac:dyDescent="0.25">
      <c r="A18" t="s">
        <v>78</v>
      </c>
      <c r="B18" t="s">
        <v>31</v>
      </c>
      <c r="C18" s="1">
        <f>IF(C16&gt;C17,C16,C17)</f>
        <v>60</v>
      </c>
      <c r="D18" t="s">
        <v>5</v>
      </c>
    </row>
    <row r="19" spans="1:7" x14ac:dyDescent="0.25">
      <c r="A19" t="s">
        <v>93</v>
      </c>
      <c r="B19" t="s">
        <v>37</v>
      </c>
      <c r="C19" s="1">
        <f>C18*C18/(24*C5)</f>
        <v>0.375</v>
      </c>
      <c r="D19" t="s">
        <v>5</v>
      </c>
    </row>
    <row r="21" spans="1:7" x14ac:dyDescent="0.25">
      <c r="B21" t="s">
        <v>81</v>
      </c>
      <c r="C21">
        <v>0</v>
      </c>
      <c r="D21">
        <v>15</v>
      </c>
      <c r="E21">
        <v>30</v>
      </c>
      <c r="F21">
        <v>45</v>
      </c>
      <c r="G21">
        <v>60</v>
      </c>
    </row>
    <row r="22" spans="1:7" x14ac:dyDescent="0.25">
      <c r="B22" t="s">
        <v>82</v>
      </c>
      <c r="C22" s="1">
        <f>C21*C21*C21/(6*C5*C18)</f>
        <v>0</v>
      </c>
      <c r="D22" s="1">
        <f>D21*D21*D21/(6*C5*C18)</f>
        <v>2.34375E-2</v>
      </c>
      <c r="E22" s="1">
        <f>E21*E21*E21/(6*C5*C18)</f>
        <v>0.1875</v>
      </c>
      <c r="F22" s="1">
        <f>F21*F21*F21/(6*C5*C18)</f>
        <v>0.6328125</v>
      </c>
      <c r="G22" s="1">
        <f>G21*G21*G21/(6*C5*C18)</f>
        <v>1.5</v>
      </c>
    </row>
    <row r="23" spans="1:7" x14ac:dyDescent="0.25">
      <c r="C23" s="1"/>
      <c r="D23" s="1"/>
      <c r="E23" s="1"/>
      <c r="F23" s="1"/>
      <c r="G23" s="1"/>
    </row>
    <row r="24" spans="1:7" x14ac:dyDescent="0.25">
      <c r="A24" s="4" t="s">
        <v>1</v>
      </c>
      <c r="B24" s="4"/>
      <c r="C24" s="4"/>
      <c r="D24" s="4"/>
    </row>
    <row r="25" spans="1:7" x14ac:dyDescent="0.25">
      <c r="A25" t="s">
        <v>65</v>
      </c>
      <c r="B25" t="s">
        <v>2</v>
      </c>
      <c r="C25">
        <v>160</v>
      </c>
      <c r="D25" t="s">
        <v>3</v>
      </c>
    </row>
    <row r="26" spans="1:7" x14ac:dyDescent="0.25">
      <c r="A26" t="s">
        <v>66</v>
      </c>
      <c r="B26" t="s">
        <v>4</v>
      </c>
      <c r="C26">
        <v>1250</v>
      </c>
      <c r="D26" t="s">
        <v>5</v>
      </c>
    </row>
    <row r="27" spans="1:7" x14ac:dyDescent="0.25">
      <c r="A27" t="s">
        <v>83</v>
      </c>
      <c r="B27" t="s">
        <v>60</v>
      </c>
      <c r="C27">
        <v>150</v>
      </c>
      <c r="D27" t="s">
        <v>7</v>
      </c>
    </row>
    <row r="28" spans="1:7" x14ac:dyDescent="0.25">
      <c r="A28" t="s">
        <v>84</v>
      </c>
      <c r="B28" t="s">
        <v>61</v>
      </c>
      <c r="C28">
        <v>110</v>
      </c>
      <c r="D28" t="s">
        <v>7</v>
      </c>
    </row>
    <row r="29" spans="1:7" x14ac:dyDescent="0.25">
      <c r="A29" t="s">
        <v>85</v>
      </c>
      <c r="B29" t="s">
        <v>62</v>
      </c>
      <c r="C29">
        <v>400</v>
      </c>
      <c r="D29" t="s">
        <v>63</v>
      </c>
    </row>
    <row r="30" spans="1:7" x14ac:dyDescent="0.25">
      <c r="A30" t="s">
        <v>86</v>
      </c>
      <c r="B30" t="s">
        <v>64</v>
      </c>
      <c r="C30">
        <v>55</v>
      </c>
      <c r="D30" t="s">
        <v>27</v>
      </c>
    </row>
    <row r="32" spans="1:7" x14ac:dyDescent="0.25">
      <c r="A32" t="s">
        <v>87</v>
      </c>
      <c r="B32" t="s">
        <v>6</v>
      </c>
      <c r="C32" s="3">
        <f>11.82*C25*C25/C26</f>
        <v>242.0736</v>
      </c>
      <c r="D32" t="s">
        <v>7</v>
      </c>
    </row>
    <row r="33" spans="1:7" x14ac:dyDescent="0.25">
      <c r="A33" t="s">
        <v>88</v>
      </c>
      <c r="B33" t="s">
        <v>34</v>
      </c>
      <c r="C33" s="1">
        <f>C27/(C27+C28)</f>
        <v>0.57692307692307687</v>
      </c>
    </row>
    <row r="34" spans="1:7" x14ac:dyDescent="0.25">
      <c r="A34" t="s">
        <v>68</v>
      </c>
      <c r="B34" t="s">
        <v>11</v>
      </c>
      <c r="C34" s="3">
        <f>C33*C32</f>
        <v>139.65784615384615</v>
      </c>
      <c r="D34" t="s">
        <v>7</v>
      </c>
    </row>
    <row r="35" spans="1:7" x14ac:dyDescent="0.25">
      <c r="A35" t="s">
        <v>89</v>
      </c>
      <c r="B35" t="s">
        <v>35</v>
      </c>
      <c r="C35">
        <f>MROUND(C34, 5)</f>
        <v>140</v>
      </c>
      <c r="D35" t="s">
        <v>7</v>
      </c>
    </row>
    <row r="36" spans="1:7" x14ac:dyDescent="0.25">
      <c r="A36" t="s">
        <v>77</v>
      </c>
      <c r="B36" t="s">
        <v>28</v>
      </c>
      <c r="C36" s="3">
        <f>C32-C35</f>
        <v>102.0736</v>
      </c>
      <c r="D36" t="s">
        <v>7</v>
      </c>
    </row>
    <row r="37" spans="1:7" x14ac:dyDescent="0.25">
      <c r="A37" t="s">
        <v>91</v>
      </c>
      <c r="B37" t="s">
        <v>90</v>
      </c>
      <c r="C37">
        <f>(C35/1000)*C29</f>
        <v>56.000000000000007</v>
      </c>
      <c r="D37" t="s">
        <v>5</v>
      </c>
    </row>
    <row r="38" spans="1:7" x14ac:dyDescent="0.25">
      <c r="A38" t="s">
        <v>92</v>
      </c>
      <c r="B38" t="s">
        <v>36</v>
      </c>
      <c r="C38" s="1">
        <f>C35*C25/(C30*3.6)</f>
        <v>113.13131313131314</v>
      </c>
      <c r="D38" t="s">
        <v>5</v>
      </c>
    </row>
    <row r="39" spans="1:7" x14ac:dyDescent="0.25">
      <c r="A39" t="s">
        <v>78</v>
      </c>
      <c r="B39" t="s">
        <v>31</v>
      </c>
      <c r="C39" s="1">
        <f>IF(C37&gt;C38,C37,C38)</f>
        <v>113.13131313131314</v>
      </c>
      <c r="D39" t="s">
        <v>5</v>
      </c>
    </row>
    <row r="40" spans="1:7" x14ac:dyDescent="0.25">
      <c r="A40" t="s">
        <v>93</v>
      </c>
      <c r="B40" t="s">
        <v>37</v>
      </c>
      <c r="C40" s="1">
        <f>C39*C39/(24*C26)</f>
        <v>0.42662313369384075</v>
      </c>
      <c r="D40" t="s">
        <v>5</v>
      </c>
    </row>
    <row r="42" spans="1:7" x14ac:dyDescent="0.25">
      <c r="B42" t="s">
        <v>81</v>
      </c>
      <c r="C42">
        <v>0</v>
      </c>
      <c r="D42">
        <v>15</v>
      </c>
      <c r="E42">
        <v>30</v>
      </c>
      <c r="F42">
        <v>45</v>
      </c>
      <c r="G42">
        <v>60</v>
      </c>
    </row>
    <row r="43" spans="1:7" x14ac:dyDescent="0.25">
      <c r="B43" t="s">
        <v>82</v>
      </c>
      <c r="C43" s="1">
        <f>C42*C42*C42/(6*C26*C39)</f>
        <v>0</v>
      </c>
      <c r="D43" s="1">
        <f>D42*D42*D42/(6*C26*C39)</f>
        <v>3.9776785714285712E-3</v>
      </c>
      <c r="E43" s="1">
        <f>E42*E42*E42/(6*C26*C39)</f>
        <v>3.182142857142857E-2</v>
      </c>
      <c r="F43" s="1">
        <f>F42*F42*F42/(6*C26*C39)</f>
        <v>0.10739732142857143</v>
      </c>
      <c r="G43" s="1">
        <f>G42*G42*G42/(6*C26*C39)</f>
        <v>0.25457142857142856</v>
      </c>
    </row>
    <row r="44" spans="1:7" x14ac:dyDescent="0.25">
      <c r="C44" s="1"/>
      <c r="D44" s="1"/>
      <c r="E44" s="1"/>
      <c r="F44" s="1"/>
      <c r="G44" s="1"/>
    </row>
    <row r="45" spans="1:7" x14ac:dyDescent="0.25">
      <c r="A45" s="4" t="s">
        <v>8</v>
      </c>
      <c r="B45" s="4"/>
      <c r="C45" s="4"/>
      <c r="D45" s="4"/>
    </row>
    <row r="46" spans="1:7" x14ac:dyDescent="0.25">
      <c r="A46" t="s">
        <v>65</v>
      </c>
      <c r="B46" t="s">
        <v>2</v>
      </c>
      <c r="C46">
        <v>120</v>
      </c>
      <c r="D46" t="s">
        <v>3</v>
      </c>
    </row>
    <row r="47" spans="1:7" x14ac:dyDescent="0.25">
      <c r="A47" t="s">
        <v>66</v>
      </c>
      <c r="B47" t="s">
        <v>4</v>
      </c>
      <c r="C47">
        <v>1050</v>
      </c>
      <c r="D47" t="s">
        <v>5</v>
      </c>
    </row>
    <row r="48" spans="1:7" x14ac:dyDescent="0.25">
      <c r="A48" t="s">
        <v>83</v>
      </c>
      <c r="B48" t="s">
        <v>60</v>
      </c>
      <c r="C48">
        <v>110</v>
      </c>
      <c r="D48" t="s">
        <v>7</v>
      </c>
    </row>
    <row r="49" spans="1:7" x14ac:dyDescent="0.25">
      <c r="A49" t="s">
        <v>84</v>
      </c>
      <c r="B49" t="s">
        <v>61</v>
      </c>
      <c r="C49">
        <v>90</v>
      </c>
      <c r="D49" t="s">
        <v>7</v>
      </c>
    </row>
    <row r="50" spans="1:7" x14ac:dyDescent="0.25">
      <c r="A50" t="s">
        <v>85</v>
      </c>
      <c r="B50" t="s">
        <v>62</v>
      </c>
      <c r="C50">
        <v>450</v>
      </c>
      <c r="D50" t="s">
        <v>63</v>
      </c>
    </row>
    <row r="51" spans="1:7" x14ac:dyDescent="0.25">
      <c r="A51" t="s">
        <v>86</v>
      </c>
      <c r="B51" t="s">
        <v>64</v>
      </c>
      <c r="C51">
        <v>55</v>
      </c>
      <c r="D51" t="s">
        <v>27</v>
      </c>
    </row>
    <row r="53" spans="1:7" x14ac:dyDescent="0.25">
      <c r="A53" t="s">
        <v>87</v>
      </c>
      <c r="B53" t="s">
        <v>6</v>
      </c>
      <c r="C53" s="3">
        <f>11.82*C46*C46/C47</f>
        <v>162.10285714285715</v>
      </c>
      <c r="D53" t="s">
        <v>7</v>
      </c>
    </row>
    <row r="54" spans="1:7" x14ac:dyDescent="0.25">
      <c r="A54" t="s">
        <v>88</v>
      </c>
      <c r="B54" t="s">
        <v>34</v>
      </c>
      <c r="C54" s="1">
        <f>C48/(C48+C49)</f>
        <v>0.55000000000000004</v>
      </c>
    </row>
    <row r="55" spans="1:7" x14ac:dyDescent="0.25">
      <c r="A55" t="s">
        <v>68</v>
      </c>
      <c r="B55" t="s">
        <v>11</v>
      </c>
      <c r="C55" s="3">
        <f>C54*C53</f>
        <v>89.156571428571439</v>
      </c>
      <c r="D55" t="s">
        <v>7</v>
      </c>
    </row>
    <row r="56" spans="1:7" x14ac:dyDescent="0.25">
      <c r="A56" t="s">
        <v>89</v>
      </c>
      <c r="B56" t="s">
        <v>35</v>
      </c>
      <c r="C56">
        <f>MROUND(C55, 5)</f>
        <v>90</v>
      </c>
      <c r="D56" t="s">
        <v>7</v>
      </c>
    </row>
    <row r="57" spans="1:7" x14ac:dyDescent="0.25">
      <c r="A57" t="s">
        <v>77</v>
      </c>
      <c r="B57" t="s">
        <v>28</v>
      </c>
      <c r="C57" s="3">
        <f>C53-C56</f>
        <v>72.102857142857147</v>
      </c>
      <c r="D57" t="s">
        <v>7</v>
      </c>
    </row>
    <row r="58" spans="1:7" x14ac:dyDescent="0.25">
      <c r="A58" t="s">
        <v>91</v>
      </c>
      <c r="B58" t="s">
        <v>90</v>
      </c>
      <c r="C58">
        <f>(C56/1000)*C50</f>
        <v>40.5</v>
      </c>
      <c r="D58" t="s">
        <v>5</v>
      </c>
    </row>
    <row r="59" spans="1:7" x14ac:dyDescent="0.25">
      <c r="A59" t="s">
        <v>92</v>
      </c>
      <c r="B59" t="s">
        <v>36</v>
      </c>
      <c r="C59" s="1">
        <f>C56*C46/(C51*3.6)</f>
        <v>54.545454545454547</v>
      </c>
      <c r="D59" t="s">
        <v>5</v>
      </c>
    </row>
    <row r="60" spans="1:7" x14ac:dyDescent="0.25">
      <c r="A60" t="s">
        <v>78</v>
      </c>
      <c r="B60" t="s">
        <v>31</v>
      </c>
      <c r="C60" s="1">
        <f>IF(C58&gt;C59,C58,C59)</f>
        <v>54.545454545454547</v>
      </c>
      <c r="D60" t="s">
        <v>5</v>
      </c>
    </row>
    <row r="61" spans="1:7" x14ac:dyDescent="0.25">
      <c r="A61" t="s">
        <v>93</v>
      </c>
      <c r="B61" t="s">
        <v>37</v>
      </c>
      <c r="C61" s="1">
        <f>C60*C60/(24*C47)</f>
        <v>0.11806375442739081</v>
      </c>
      <c r="D61" t="s">
        <v>5</v>
      </c>
    </row>
    <row r="63" spans="1:7" x14ac:dyDescent="0.25">
      <c r="B63" t="s">
        <v>81</v>
      </c>
      <c r="C63">
        <v>0</v>
      </c>
      <c r="D63">
        <v>15</v>
      </c>
      <c r="E63">
        <v>30</v>
      </c>
      <c r="F63">
        <v>45</v>
      </c>
      <c r="G63">
        <v>60</v>
      </c>
    </row>
    <row r="64" spans="1:7" x14ac:dyDescent="0.25">
      <c r="B64" t="s">
        <v>82</v>
      </c>
      <c r="C64" s="1">
        <f>C63*C63*C63/(6*C47*C60)</f>
        <v>0</v>
      </c>
      <c r="D64" s="1">
        <f>D63*D63*D63/(6*C47*C60)</f>
        <v>9.8214285714285712E-3</v>
      </c>
      <c r="E64" s="1">
        <f>E63*E63*E63/(6*C47*C60)</f>
        <v>7.857142857142857E-2</v>
      </c>
      <c r="F64" s="1">
        <f>F63*F63*F63/(6*C47*C60)</f>
        <v>0.26517857142857143</v>
      </c>
      <c r="G64" s="1">
        <f>G63*G63*G63/(6*C47*C60)</f>
        <v>0.62857142857142856</v>
      </c>
    </row>
  </sheetData>
  <mergeCells count="4">
    <mergeCell ref="A3:D3"/>
    <mergeCell ref="A24:D24"/>
    <mergeCell ref="A45:D45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A6CE-4A32-4557-9177-235CF1C565DF}">
  <dimension ref="A1:E67"/>
  <sheetViews>
    <sheetView tabSelected="1" topLeftCell="A43" workbookViewId="0">
      <selection activeCell="C49" sqref="C49"/>
    </sheetView>
  </sheetViews>
  <sheetFormatPr defaultRowHeight="15" x14ac:dyDescent="0.25"/>
  <cols>
    <col min="1" max="1" width="30.5703125" bestFit="1" customWidth="1"/>
    <col min="2" max="2" width="11.5703125" bestFit="1" customWidth="1"/>
  </cols>
  <sheetData>
    <row r="1" spans="1:4" x14ac:dyDescent="0.25">
      <c r="A1" s="4" t="s">
        <v>94</v>
      </c>
      <c r="B1" s="4"/>
      <c r="C1" s="4"/>
      <c r="D1" s="4"/>
    </row>
    <row r="3" spans="1:4" x14ac:dyDescent="0.25">
      <c r="A3" s="4" t="s">
        <v>33</v>
      </c>
      <c r="B3" s="4"/>
      <c r="C3" s="4"/>
      <c r="D3" s="4"/>
    </row>
    <row r="4" spans="1:4" x14ac:dyDescent="0.25">
      <c r="A4" t="s">
        <v>95</v>
      </c>
      <c r="B4" t="s">
        <v>38</v>
      </c>
      <c r="C4">
        <v>1</v>
      </c>
      <c r="D4" t="s">
        <v>39</v>
      </c>
    </row>
    <row r="5" spans="1:4" x14ac:dyDescent="0.25">
      <c r="A5" t="s">
        <v>96</v>
      </c>
      <c r="B5" t="s">
        <v>40</v>
      </c>
      <c r="C5">
        <v>-2.5</v>
      </c>
      <c r="D5" t="s">
        <v>39</v>
      </c>
    </row>
    <row r="6" spans="1:4" x14ac:dyDescent="0.25">
      <c r="A6" t="s">
        <v>97</v>
      </c>
      <c r="B6" t="s">
        <v>41</v>
      </c>
      <c r="C6">
        <v>-35</v>
      </c>
      <c r="D6" t="s">
        <v>5</v>
      </c>
    </row>
    <row r="7" spans="1:4" x14ac:dyDescent="0.25">
      <c r="A7" t="s">
        <v>65</v>
      </c>
      <c r="B7" t="s">
        <v>2</v>
      </c>
      <c r="C7">
        <v>80</v>
      </c>
      <c r="D7" t="s">
        <v>3</v>
      </c>
    </row>
    <row r="8" spans="1:4" x14ac:dyDescent="0.25">
      <c r="A8" t="s">
        <v>98</v>
      </c>
      <c r="B8" t="s">
        <v>42</v>
      </c>
      <c r="C8">
        <v>0.19</v>
      </c>
      <c r="D8" t="s">
        <v>23</v>
      </c>
    </row>
    <row r="9" spans="1:4" x14ac:dyDescent="0.25">
      <c r="A9" t="s">
        <v>99</v>
      </c>
      <c r="B9" t="s">
        <v>43</v>
      </c>
      <c r="C9">
        <v>2500</v>
      </c>
      <c r="D9" t="s">
        <v>5</v>
      </c>
    </row>
    <row r="10" spans="1:4" x14ac:dyDescent="0.25">
      <c r="A10" t="s">
        <v>100</v>
      </c>
      <c r="B10" t="s">
        <v>44</v>
      </c>
      <c r="C10">
        <v>5</v>
      </c>
    </row>
    <row r="12" spans="1:4" x14ac:dyDescent="0.25">
      <c r="A12" t="s">
        <v>101</v>
      </c>
      <c r="B12" t="s">
        <v>45</v>
      </c>
      <c r="C12">
        <f>C7*C7/(33.1776*C8)</f>
        <v>1015.2696556205328</v>
      </c>
      <c r="D12" t="s">
        <v>5</v>
      </c>
    </row>
    <row r="13" spans="1:4" x14ac:dyDescent="0.25">
      <c r="A13" t="s">
        <v>102</v>
      </c>
      <c r="B13" t="s">
        <v>46</v>
      </c>
      <c r="C13">
        <f>IF(C12&lt;C9,C9,C12)</f>
        <v>2500</v>
      </c>
      <c r="D13" t="s">
        <v>5</v>
      </c>
    </row>
    <row r="14" spans="1:4" x14ac:dyDescent="0.25">
      <c r="A14" t="s">
        <v>103</v>
      </c>
      <c r="B14" t="s">
        <v>47</v>
      </c>
      <c r="C14">
        <f>C13*(C4-C5)/100</f>
        <v>87.5</v>
      </c>
      <c r="D14" t="s">
        <v>5</v>
      </c>
    </row>
    <row r="15" spans="1:4" x14ac:dyDescent="0.25">
      <c r="A15" t="s">
        <v>104</v>
      </c>
      <c r="B15" t="s">
        <v>48</v>
      </c>
      <c r="C15">
        <f>C14/C10</f>
        <v>17.5</v>
      </c>
      <c r="D15" t="s">
        <v>5</v>
      </c>
    </row>
    <row r="17" spans="1:5" x14ac:dyDescent="0.25">
      <c r="A17" t="s">
        <v>49</v>
      </c>
      <c r="B17" t="s">
        <v>50</v>
      </c>
      <c r="C17" t="s">
        <v>51</v>
      </c>
      <c r="D17" t="s">
        <v>52</v>
      </c>
      <c r="E17" t="s">
        <v>53</v>
      </c>
    </row>
    <row r="18" spans="1:5" x14ac:dyDescent="0.25">
      <c r="A18">
        <v>0</v>
      </c>
      <c r="B18" s="1">
        <f>A18*$C$15</f>
        <v>0</v>
      </c>
      <c r="C18" s="1">
        <f>$C$6+(($C$4*B18)/100)</f>
        <v>-35</v>
      </c>
      <c r="D18" s="1">
        <f>(($C$4-$C$5)*B18*B18)/(200*$C$14)</f>
        <v>0</v>
      </c>
      <c r="E18" s="1">
        <f>C18-D18</f>
        <v>-35</v>
      </c>
    </row>
    <row r="19" spans="1:5" x14ac:dyDescent="0.25">
      <c r="A19">
        <v>1</v>
      </c>
      <c r="B19" s="1">
        <f>A19*$C$15</f>
        <v>17.5</v>
      </c>
      <c r="C19" s="1">
        <f t="shared" ref="C19:C23" si="0">$C$6+(($C$4*B19)/100)</f>
        <v>-34.825000000000003</v>
      </c>
      <c r="D19" s="1">
        <f>(($C$4-$C$5)*B19*B19)/(200*$C$14)</f>
        <v>6.1249999999999999E-2</v>
      </c>
      <c r="E19" s="1">
        <f t="shared" ref="E19:E23" si="1">C19-D19</f>
        <v>-34.886250000000004</v>
      </c>
    </row>
    <row r="20" spans="1:5" x14ac:dyDescent="0.25">
      <c r="A20">
        <v>2</v>
      </c>
      <c r="B20" s="1">
        <f>A20*$C$15</f>
        <v>35</v>
      </c>
      <c r="C20" s="1">
        <f t="shared" si="0"/>
        <v>-34.65</v>
      </c>
      <c r="D20" s="1">
        <f>(($C$4-$C$5)*B20*B20)/(200*$C$14)</f>
        <v>0.245</v>
      </c>
      <c r="E20" s="1">
        <f t="shared" si="1"/>
        <v>-34.894999999999996</v>
      </c>
    </row>
    <row r="21" spans="1:5" x14ac:dyDescent="0.25">
      <c r="A21">
        <v>3</v>
      </c>
      <c r="B21" s="1">
        <f>A21*$C$15</f>
        <v>52.5</v>
      </c>
      <c r="C21" s="1">
        <f t="shared" si="0"/>
        <v>-34.475000000000001</v>
      </c>
      <c r="D21" s="1">
        <f>(($C$4-$C$5)*B21*B21)/(200*$C$14)</f>
        <v>0.55125000000000002</v>
      </c>
      <c r="E21" s="1">
        <f t="shared" si="1"/>
        <v>-35.026250000000005</v>
      </c>
    </row>
    <row r="22" spans="1:5" x14ac:dyDescent="0.25">
      <c r="A22">
        <v>4</v>
      </c>
      <c r="B22" s="1">
        <f>A22*$C$15</f>
        <v>70</v>
      </c>
      <c r="C22" s="1">
        <f t="shared" si="0"/>
        <v>-34.299999999999997</v>
      </c>
      <c r="D22" s="1">
        <f>(($C$4-$C$5)*B22*B22)/(200*$C$14)</f>
        <v>0.98</v>
      </c>
      <c r="E22" s="1">
        <f t="shared" si="1"/>
        <v>-35.279999999999994</v>
      </c>
    </row>
    <row r="23" spans="1:5" x14ac:dyDescent="0.25">
      <c r="A23">
        <v>5</v>
      </c>
      <c r="B23" s="1">
        <f>A23*$C$15</f>
        <v>87.5</v>
      </c>
      <c r="C23" s="1">
        <f t="shared" si="0"/>
        <v>-34.125</v>
      </c>
      <c r="D23" s="1">
        <f>(($C$4-$C$5)*B23*B23)/(200*$C$14)</f>
        <v>1.53125</v>
      </c>
      <c r="E23" s="1">
        <f t="shared" si="1"/>
        <v>-35.65625</v>
      </c>
    </row>
    <row r="24" spans="1:5" x14ac:dyDescent="0.25">
      <c r="B24" s="1"/>
      <c r="C24" s="1"/>
      <c r="D24" s="1"/>
      <c r="E24" s="1"/>
    </row>
    <row r="25" spans="1:5" x14ac:dyDescent="0.25">
      <c r="A25" s="4" t="s">
        <v>1</v>
      </c>
      <c r="B25" s="4"/>
      <c r="C25" s="4"/>
      <c r="D25" s="4"/>
    </row>
    <row r="26" spans="1:5" x14ac:dyDescent="0.25">
      <c r="A26" t="s">
        <v>95</v>
      </c>
      <c r="B26" t="s">
        <v>38</v>
      </c>
      <c r="C26">
        <v>2.5</v>
      </c>
      <c r="D26" t="s">
        <v>39</v>
      </c>
    </row>
    <row r="27" spans="1:5" x14ac:dyDescent="0.25">
      <c r="A27" t="s">
        <v>96</v>
      </c>
      <c r="B27" t="s">
        <v>40</v>
      </c>
      <c r="C27">
        <v>0</v>
      </c>
      <c r="D27" t="s">
        <v>39</v>
      </c>
    </row>
    <row r="28" spans="1:5" x14ac:dyDescent="0.25">
      <c r="A28" t="s">
        <v>97</v>
      </c>
      <c r="B28" t="s">
        <v>41</v>
      </c>
      <c r="C28">
        <v>-35</v>
      </c>
      <c r="D28" t="s">
        <v>5</v>
      </c>
    </row>
    <row r="29" spans="1:5" x14ac:dyDescent="0.25">
      <c r="A29" t="s">
        <v>65</v>
      </c>
      <c r="B29" t="s">
        <v>2</v>
      </c>
      <c r="C29">
        <v>80</v>
      </c>
      <c r="D29" t="s">
        <v>3</v>
      </c>
    </row>
    <row r="30" spans="1:5" x14ac:dyDescent="0.25">
      <c r="A30" t="s">
        <v>98</v>
      </c>
      <c r="B30" t="s">
        <v>42</v>
      </c>
      <c r="C30">
        <v>0.19</v>
      </c>
      <c r="D30" t="s">
        <v>23</v>
      </c>
    </row>
    <row r="31" spans="1:5" x14ac:dyDescent="0.25">
      <c r="A31" t="s">
        <v>99</v>
      </c>
      <c r="B31" t="s">
        <v>43</v>
      </c>
      <c r="C31">
        <v>1000</v>
      </c>
      <c r="D31" t="s">
        <v>5</v>
      </c>
    </row>
    <row r="32" spans="1:5" x14ac:dyDescent="0.25">
      <c r="A32" t="s">
        <v>100</v>
      </c>
      <c r="B32" t="s">
        <v>44</v>
      </c>
      <c r="C32">
        <v>5</v>
      </c>
    </row>
    <row r="34" spans="1:5" x14ac:dyDescent="0.25">
      <c r="A34" t="s">
        <v>101</v>
      </c>
      <c r="B34" t="s">
        <v>45</v>
      </c>
      <c r="C34">
        <f>C29*C29/(33.1776*C30)</f>
        <v>1015.2696556205328</v>
      </c>
      <c r="D34" t="s">
        <v>5</v>
      </c>
    </row>
    <row r="35" spans="1:5" x14ac:dyDescent="0.25">
      <c r="A35" t="s">
        <v>102</v>
      </c>
      <c r="B35" t="s">
        <v>46</v>
      </c>
      <c r="C35">
        <f>IF(C34&lt;C31,C31,C34)</f>
        <v>1015.2696556205328</v>
      </c>
      <c r="D35" t="s">
        <v>5</v>
      </c>
    </row>
    <row r="36" spans="1:5" x14ac:dyDescent="0.25">
      <c r="A36" t="s">
        <v>103</v>
      </c>
      <c r="B36" t="s">
        <v>47</v>
      </c>
      <c r="C36">
        <f>C35*(C26-C27)/100</f>
        <v>25.381741390513319</v>
      </c>
      <c r="D36" t="s">
        <v>5</v>
      </c>
    </row>
    <row r="37" spans="1:5" x14ac:dyDescent="0.25">
      <c r="A37" t="s">
        <v>104</v>
      </c>
      <c r="B37" t="s">
        <v>48</v>
      </c>
      <c r="C37">
        <f>C36/C32</f>
        <v>5.0763482781026639</v>
      </c>
      <c r="D37" t="s">
        <v>5</v>
      </c>
    </row>
    <row r="39" spans="1:5" x14ac:dyDescent="0.25">
      <c r="A39" t="s">
        <v>49</v>
      </c>
      <c r="B39" t="s">
        <v>50</v>
      </c>
      <c r="C39" t="s">
        <v>51</v>
      </c>
      <c r="D39" t="s">
        <v>52</v>
      </c>
      <c r="E39" t="s">
        <v>53</v>
      </c>
    </row>
    <row r="40" spans="1:5" x14ac:dyDescent="0.25">
      <c r="A40">
        <v>0</v>
      </c>
      <c r="B40" s="1">
        <f>A40*$C$37</f>
        <v>0</v>
      </c>
      <c r="C40" s="1">
        <f>$C$28+(($C$26*B40)/100)</f>
        <v>-35</v>
      </c>
      <c r="D40" s="1">
        <f>(($C$26-$C$27)*B40*B40)/(200*$C$36)</f>
        <v>0</v>
      </c>
      <c r="E40" s="1">
        <f>C40-D40</f>
        <v>-35</v>
      </c>
    </row>
    <row r="41" spans="1:5" x14ac:dyDescent="0.25">
      <c r="A41">
        <v>1</v>
      </c>
      <c r="B41" s="1">
        <f t="shared" ref="B41:B45" si="2">A41*$C$37</f>
        <v>5.0763482781026639</v>
      </c>
      <c r="C41" s="1">
        <f t="shared" ref="C41:C45" si="3">$C$28+(($C$26*B41)/100)</f>
        <v>-34.87309129304743</v>
      </c>
      <c r="D41" s="1">
        <f t="shared" ref="D41:D45" si="4">(($C$26-$C$27)*B41*B41)/(200*$C$36)</f>
        <v>1.2690870695256658E-2</v>
      </c>
      <c r="E41" s="1">
        <f t="shared" ref="E41:E45" si="5">C41-D41</f>
        <v>-34.885782163742689</v>
      </c>
    </row>
    <row r="42" spans="1:5" x14ac:dyDescent="0.25">
      <c r="A42">
        <v>2</v>
      </c>
      <c r="B42" s="1">
        <f t="shared" si="2"/>
        <v>10.152696556205328</v>
      </c>
      <c r="C42" s="1">
        <f t="shared" si="3"/>
        <v>-34.746182586094868</v>
      </c>
      <c r="D42" s="1">
        <f t="shared" si="4"/>
        <v>5.0763482781026631E-2</v>
      </c>
      <c r="E42" s="1">
        <f t="shared" si="5"/>
        <v>-34.796946068875897</v>
      </c>
    </row>
    <row r="43" spans="1:5" x14ac:dyDescent="0.25">
      <c r="A43">
        <v>3</v>
      </c>
      <c r="B43" s="1">
        <f t="shared" si="2"/>
        <v>15.229044834307992</v>
      </c>
      <c r="C43" s="1">
        <f t="shared" si="3"/>
        <v>-34.619273879142298</v>
      </c>
      <c r="D43" s="1">
        <f t="shared" si="4"/>
        <v>0.11421783625730991</v>
      </c>
      <c r="E43" s="1">
        <f t="shared" si="5"/>
        <v>-34.733491715399609</v>
      </c>
    </row>
    <row r="44" spans="1:5" x14ac:dyDescent="0.25">
      <c r="A44">
        <v>4</v>
      </c>
      <c r="B44" s="1">
        <f t="shared" si="2"/>
        <v>20.305393112410655</v>
      </c>
      <c r="C44" s="1">
        <f t="shared" si="3"/>
        <v>-34.492365172189736</v>
      </c>
      <c r="D44" s="1">
        <f t="shared" si="4"/>
        <v>0.20305393112410652</v>
      </c>
      <c r="E44" s="1">
        <f t="shared" si="5"/>
        <v>-34.695419103313846</v>
      </c>
    </row>
    <row r="45" spans="1:5" x14ac:dyDescent="0.25">
      <c r="A45">
        <v>5</v>
      </c>
      <c r="B45" s="1">
        <f t="shared" si="2"/>
        <v>25.381741390513319</v>
      </c>
      <c r="C45" s="1">
        <f t="shared" si="3"/>
        <v>-34.365456465237166</v>
      </c>
      <c r="D45" s="1">
        <f t="shared" si="4"/>
        <v>0.31727176738141649</v>
      </c>
      <c r="E45" s="1">
        <f t="shared" si="5"/>
        <v>-34.68272823261858</v>
      </c>
    </row>
    <row r="46" spans="1:5" x14ac:dyDescent="0.25">
      <c r="B46" s="1"/>
      <c r="C46" s="1"/>
      <c r="D46" s="1"/>
      <c r="E46" s="1"/>
    </row>
    <row r="47" spans="1:5" x14ac:dyDescent="0.25">
      <c r="A47" s="4" t="s">
        <v>8</v>
      </c>
      <c r="B47" s="4"/>
      <c r="C47" s="4"/>
      <c r="D47" s="4"/>
    </row>
    <row r="48" spans="1:5" x14ac:dyDescent="0.25">
      <c r="A48" t="s">
        <v>95</v>
      </c>
      <c r="B48" t="s">
        <v>38</v>
      </c>
      <c r="C48">
        <v>1.5</v>
      </c>
      <c r="D48" t="s">
        <v>39</v>
      </c>
    </row>
    <row r="49" spans="1:5" x14ac:dyDescent="0.25">
      <c r="A49" t="s">
        <v>96</v>
      </c>
      <c r="B49" t="s">
        <v>40</v>
      </c>
      <c r="C49">
        <v>-1</v>
      </c>
      <c r="D49" t="s">
        <v>39</v>
      </c>
    </row>
    <row r="50" spans="1:5" x14ac:dyDescent="0.25">
      <c r="A50" t="s">
        <v>97</v>
      </c>
      <c r="B50" t="s">
        <v>41</v>
      </c>
      <c r="C50">
        <v>0</v>
      </c>
      <c r="D50" t="s">
        <v>5</v>
      </c>
    </row>
    <row r="51" spans="1:5" x14ac:dyDescent="0.25">
      <c r="A51" t="s">
        <v>65</v>
      </c>
      <c r="B51" t="s">
        <v>2</v>
      </c>
      <c r="C51">
        <v>80</v>
      </c>
      <c r="D51" t="s">
        <v>3</v>
      </c>
    </row>
    <row r="52" spans="1:5" x14ac:dyDescent="0.25">
      <c r="A52" t="s">
        <v>98</v>
      </c>
      <c r="B52" t="s">
        <v>42</v>
      </c>
      <c r="C52">
        <v>0.1</v>
      </c>
      <c r="D52" t="s">
        <v>23</v>
      </c>
    </row>
    <row r="53" spans="1:5" x14ac:dyDescent="0.25">
      <c r="A53" t="s">
        <v>99</v>
      </c>
      <c r="B53" t="s">
        <v>43</v>
      </c>
      <c r="C53">
        <v>2000</v>
      </c>
      <c r="D53" t="s">
        <v>5</v>
      </c>
    </row>
    <row r="54" spans="1:5" x14ac:dyDescent="0.25">
      <c r="A54" t="s">
        <v>100</v>
      </c>
      <c r="B54" t="s">
        <v>44</v>
      </c>
      <c r="C54">
        <v>5</v>
      </c>
    </row>
    <row r="56" spans="1:5" x14ac:dyDescent="0.25">
      <c r="A56" t="s">
        <v>101</v>
      </c>
      <c r="B56" t="s">
        <v>45</v>
      </c>
      <c r="C56">
        <f>C51*C51/(33.1776*C52)</f>
        <v>1929.0123456790125</v>
      </c>
      <c r="D56" t="s">
        <v>5</v>
      </c>
    </row>
    <row r="57" spans="1:5" x14ac:dyDescent="0.25">
      <c r="A57" t="s">
        <v>102</v>
      </c>
      <c r="B57" t="s">
        <v>46</v>
      </c>
      <c r="C57">
        <f>IF(C56&lt;C53,C53,C56)</f>
        <v>2000</v>
      </c>
      <c r="D57" t="s">
        <v>5</v>
      </c>
    </row>
    <row r="58" spans="1:5" x14ac:dyDescent="0.25">
      <c r="A58" t="s">
        <v>103</v>
      </c>
      <c r="B58" t="s">
        <v>47</v>
      </c>
      <c r="C58">
        <f>C57*(C48-C49)/100</f>
        <v>50</v>
      </c>
      <c r="D58" t="s">
        <v>5</v>
      </c>
    </row>
    <row r="59" spans="1:5" x14ac:dyDescent="0.25">
      <c r="A59" t="s">
        <v>104</v>
      </c>
      <c r="B59" t="s">
        <v>48</v>
      </c>
      <c r="C59">
        <f>C58/C54</f>
        <v>10</v>
      </c>
      <c r="D59" t="s">
        <v>5</v>
      </c>
    </row>
    <row r="61" spans="1:5" x14ac:dyDescent="0.25">
      <c r="A61" t="s">
        <v>49</v>
      </c>
      <c r="B61" t="s">
        <v>50</v>
      </c>
      <c r="C61" t="s">
        <v>51</v>
      </c>
      <c r="D61" t="s">
        <v>52</v>
      </c>
      <c r="E61" t="s">
        <v>53</v>
      </c>
    </row>
    <row r="62" spans="1:5" x14ac:dyDescent="0.25">
      <c r="A62">
        <v>0</v>
      </c>
      <c r="B62" s="1">
        <f>A62*$C$59</f>
        <v>0</v>
      </c>
      <c r="C62" s="1">
        <f>$C$50+(($C$48*B62)/100)</f>
        <v>0</v>
      </c>
      <c r="D62" s="1">
        <f>(($C$48-$C$49)*B62*B62)/(200*$C$58)</f>
        <v>0</v>
      </c>
      <c r="E62" s="1">
        <f>C62-D62</f>
        <v>0</v>
      </c>
    </row>
    <row r="63" spans="1:5" x14ac:dyDescent="0.25">
      <c r="A63">
        <v>1</v>
      </c>
      <c r="B63" s="1">
        <f t="shared" ref="B63:B67" si="6">A63*$C$59</f>
        <v>10</v>
      </c>
      <c r="C63" s="1">
        <f t="shared" ref="C63:C67" si="7">$C$50+(($C$48*B63)/100)</f>
        <v>0.15</v>
      </c>
      <c r="D63" s="1">
        <f t="shared" ref="D63:D67" si="8">(($C$48-$C$49)*B63*B63)/(200*$C$58)</f>
        <v>2.5000000000000001E-2</v>
      </c>
      <c r="E63" s="1">
        <f t="shared" ref="E63:E67" si="9">C63-D63</f>
        <v>0.125</v>
      </c>
    </row>
    <row r="64" spans="1:5" x14ac:dyDescent="0.25">
      <c r="A64">
        <v>2</v>
      </c>
      <c r="B64" s="1">
        <f t="shared" si="6"/>
        <v>20</v>
      </c>
      <c r="C64" s="1">
        <f t="shared" si="7"/>
        <v>0.3</v>
      </c>
      <c r="D64" s="1">
        <f t="shared" si="8"/>
        <v>0.1</v>
      </c>
      <c r="E64" s="1">
        <f t="shared" si="9"/>
        <v>0.19999999999999998</v>
      </c>
    </row>
    <row r="65" spans="1:5" x14ac:dyDescent="0.25">
      <c r="A65">
        <v>3</v>
      </c>
      <c r="B65" s="1">
        <f t="shared" si="6"/>
        <v>30</v>
      </c>
      <c r="C65" s="1">
        <f t="shared" si="7"/>
        <v>0.45</v>
      </c>
      <c r="D65" s="1">
        <f t="shared" si="8"/>
        <v>0.22500000000000001</v>
      </c>
      <c r="E65" s="1">
        <f t="shared" si="9"/>
        <v>0.22500000000000001</v>
      </c>
    </row>
    <row r="66" spans="1:5" x14ac:dyDescent="0.25">
      <c r="A66">
        <v>4</v>
      </c>
      <c r="B66" s="1">
        <f t="shared" si="6"/>
        <v>40</v>
      </c>
      <c r="C66" s="1">
        <f t="shared" si="7"/>
        <v>0.6</v>
      </c>
      <c r="D66" s="1">
        <f t="shared" si="8"/>
        <v>0.4</v>
      </c>
      <c r="E66" s="1">
        <f t="shared" si="9"/>
        <v>0.19999999999999996</v>
      </c>
    </row>
    <row r="67" spans="1:5" x14ac:dyDescent="0.25">
      <c r="A67">
        <v>5</v>
      </c>
      <c r="B67" s="1">
        <f t="shared" si="6"/>
        <v>50</v>
      </c>
      <c r="C67" s="1">
        <f t="shared" si="7"/>
        <v>0.75</v>
      </c>
      <c r="D67" s="1">
        <f t="shared" si="8"/>
        <v>0.625</v>
      </c>
      <c r="E67" s="1">
        <f t="shared" si="9"/>
        <v>0.125</v>
      </c>
    </row>
  </sheetData>
  <mergeCells count="4">
    <mergeCell ref="A1:D1"/>
    <mergeCell ref="A3:D3"/>
    <mergeCell ref="A25:D25"/>
    <mergeCell ref="A47:D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Calculating Cant</vt:lpstr>
      <vt:lpstr>2. Designing and Alignment</vt:lpstr>
      <vt:lpstr>3. Jerk</vt:lpstr>
      <vt:lpstr>4. Determining Transition Lengt</vt:lpstr>
      <vt:lpstr>5. Designing Horizontal Curves</vt:lpstr>
      <vt:lpstr>6. Designing Vertical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Davis (PhD Dept ElecElecComp Eng FT)</cp:lastModifiedBy>
  <cp:revision/>
  <dcterms:created xsi:type="dcterms:W3CDTF">2025-04-24T19:53:33Z</dcterms:created>
  <dcterms:modified xsi:type="dcterms:W3CDTF">2025-05-13T14:44:51Z</dcterms:modified>
  <cp:category/>
  <cp:contentStatus/>
</cp:coreProperties>
</file>