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ephensc\Desktop\vu-virt-data-pt-12-2020-u-b\Homework\01-Kickstarter\Resources\"/>
    </mc:Choice>
  </mc:AlternateContent>
  <bookViews>
    <workbookView xWindow="0" yWindow="0" windowWidth="28800" windowHeight="12300" activeTab="2"/>
  </bookViews>
  <sheets>
    <sheet name="Theater Outcomes by Launch Date" sheetId="12" r:id="rId1"/>
    <sheet name="Outcomes Based on Goals" sheetId="13" r:id="rId2"/>
    <sheet name="Kickstarter" sheetId="1" r:id="rId3"/>
    <sheet name="Category Statistics" sheetId="3" r:id="rId4"/>
    <sheet name="Subcategory Statistics" sheetId="5" r:id="rId5"/>
    <sheet name="Outcomes Based on Launch Date" sheetId="6" r:id="rId6"/>
    <sheet name="Edinburgh Research" sheetId="7" r:id="rId7"/>
    <sheet name="Descriptive Statistics" sheetId="10" r:id="rId8"/>
  </sheets>
  <definedNames>
    <definedName name="_xlnm._FilterDatabase" localSheetId="2" hidden="1">Kickstarter!$A$1:$T$4115</definedName>
  </definedNames>
  <calcPr calcId="162913"/>
  <pivotCaches>
    <pivotCache cacheId="0" r:id="rId9"/>
    <pivotCache cacheId="1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6" i="13" l="1"/>
  <c r="F15" i="13"/>
  <c r="F14" i="13"/>
  <c r="F13" i="13"/>
  <c r="F12" i="13"/>
  <c r="F11" i="13"/>
  <c r="F10" i="13"/>
  <c r="F9" i="13"/>
  <c r="F8" i="13"/>
  <c r="F7" i="13"/>
  <c r="F6" i="13"/>
  <c r="E16" i="13"/>
  <c r="E15" i="13"/>
  <c r="E14" i="13"/>
  <c r="E13" i="13"/>
  <c r="E12" i="13"/>
  <c r="E11" i="13"/>
  <c r="E10" i="13"/>
  <c r="E9" i="13"/>
  <c r="E8" i="13"/>
  <c r="E7" i="13"/>
  <c r="G17" i="13"/>
  <c r="J5" i="13"/>
  <c r="K5" i="13"/>
  <c r="I5" i="13"/>
  <c r="H5" i="13"/>
  <c r="G16" i="13"/>
  <c r="G15" i="13"/>
  <c r="G14" i="13"/>
  <c r="G13" i="13"/>
  <c r="G12" i="13"/>
  <c r="G11" i="13"/>
  <c r="G10" i="13"/>
  <c r="G9" i="13"/>
  <c r="G8" i="13"/>
  <c r="G7" i="13"/>
  <c r="G6" i="13"/>
  <c r="G5" i="13"/>
  <c r="F5" i="13"/>
  <c r="E6" i="13"/>
  <c r="E5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15" i="13" l="1"/>
  <c r="J15" i="13" s="1"/>
  <c r="H14" i="13"/>
  <c r="K14" i="13" s="1"/>
  <c r="H13" i="13"/>
  <c r="K13" i="13" s="1"/>
  <c r="H11" i="13"/>
  <c r="K11" i="13" s="1"/>
  <c r="H7" i="13"/>
  <c r="F17" i="13"/>
  <c r="H6" i="13"/>
  <c r="H16" i="13"/>
  <c r="I16" i="13" s="1"/>
  <c r="H12" i="13"/>
  <c r="I12" i="13" s="1"/>
  <c r="I11" i="13"/>
  <c r="H10" i="13"/>
  <c r="H9" i="13"/>
  <c r="H8" i="13"/>
  <c r="I8" i="13" s="1"/>
  <c r="K7" i="13"/>
  <c r="J7" i="13"/>
  <c r="I7" i="13"/>
  <c r="E17" i="13"/>
  <c r="C13" i="10"/>
  <c r="C12" i="10"/>
  <c r="C11" i="10"/>
  <c r="B13" i="10"/>
  <c r="B12" i="10"/>
  <c r="B11" i="10"/>
  <c r="C6" i="10"/>
  <c r="C5" i="10"/>
  <c r="C4" i="10"/>
  <c r="B6" i="10"/>
  <c r="B5" i="10"/>
  <c r="B4" i="10"/>
  <c r="B7" i="10" l="1"/>
  <c r="K15" i="13"/>
  <c r="I15" i="13"/>
  <c r="I14" i="13"/>
  <c r="J14" i="13"/>
  <c r="I13" i="13"/>
  <c r="J13" i="13"/>
  <c r="J11" i="13"/>
  <c r="I6" i="13"/>
  <c r="K6" i="13"/>
  <c r="J6" i="13"/>
  <c r="K16" i="13"/>
  <c r="J16" i="13"/>
  <c r="J12" i="13"/>
  <c r="K12" i="13"/>
  <c r="J10" i="13"/>
  <c r="K10" i="13"/>
  <c r="I10" i="13"/>
  <c r="J9" i="13"/>
  <c r="K9" i="13"/>
  <c r="I9" i="13"/>
  <c r="K8" i="13"/>
  <c r="J8" i="13"/>
  <c r="H17" i="13"/>
  <c r="C14" i="10"/>
  <c r="B14" i="10"/>
  <c r="C7" i="10"/>
  <c r="C22" i="10"/>
  <c r="C21" i="10"/>
  <c r="B22" i="10"/>
  <c r="B21" i="10"/>
  <c r="C19" i="10"/>
  <c r="B19" i="10"/>
  <c r="C18" i="10"/>
  <c r="B18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<sst xmlns="http://schemas.openxmlformats.org/spreadsheetml/2006/main" count="33103" uniqueCount="8419">
  <si>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</si>
  <si>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</si>
  <si>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</si>
  <si>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</si>
  <si>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</si>
  <si>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</si>
  <si>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</si>
  <si>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</si>
  <si>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</si>
  <si>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</si>
  <si>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</si>
  <si>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</si>
  <si>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</si>
  <si>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</si>
  <si>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</si>
  <si>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</si>
  <si>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</si>
  <si>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</si>
  <si>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</si>
  <si>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</si>
  <si>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</si>
  <si>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</si>
  <si>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</si>
  <si>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</si>
  <si>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</si>
  <si>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</si>
  <si>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</si>
  <si>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</si>
  <si>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</si>
  <si>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</si>
  <si>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</si>
  <si>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</si>
  <si>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</si>
  <si>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</si>
  <si>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</si>
  <si>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</si>
  <si>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</si>
  <si>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</si>
  <si>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</si>
  <si>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</si>
  <si>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</si>
  <si>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</si>
  <si>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</si>
  <si>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</si>
  <si>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</si>
  <si>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</si>
  <si>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</si>
  <si>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</si>
  <si>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</si>
  <si>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</si>
  <si>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</si>
  <si>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</si>
  <si>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</si>
  <si>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</si>
  <si>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</si>
  <si>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</si>
  <si>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</si>
  <si>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</si>
  <si>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</si>
  <si>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</si>
  <si>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</si>
  <si>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</si>
  <si>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</si>
  <si>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</si>
  <si>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</si>
  <si>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</si>
  <si>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</si>
  <si>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</si>
  <si>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</si>
  <si>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</si>
  <si>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</si>
  <si>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</si>
  <si>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</si>
  <si>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</si>
  <si>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</si>
  <si>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</si>
  <si>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</si>
  <si>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</si>
  <si>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</si>
  <si>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</si>
  <si>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</si>
  <si>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</si>
  <si>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</si>
  <si>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</si>
  <si>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</si>
  <si>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</si>
  <si>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</si>
  <si>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</si>
  <si>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</si>
  <si>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</si>
  <si>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</si>
  <si>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</si>
  <si>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</si>
  <si>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</si>
  <si>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</si>
  <si>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</si>
  <si>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</si>
  <si>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</si>
  <si>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</si>
  <si>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</si>
  <si>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</si>
  <si>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</si>
  <si>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</si>
  <si>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</si>
  <si>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</si>
  <si>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</si>
  <si>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</si>
  <si>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</si>
  <si>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</si>
  <si>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</si>
  <si>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</si>
  <si>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</si>
  <si>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</si>
  <si>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</si>
  <si>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</si>
  <si>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</si>
  <si>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</si>
  <si>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</si>
  <si>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</si>
  <si>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</si>
  <si>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</si>
  <si>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</si>
  <si>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</si>
  <si>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</si>
  <si>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</si>
  <si>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</si>
  <si>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</si>
  <si>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</si>
  <si>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</si>
  <si>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</si>
  <si>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</si>
  <si>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</si>
  <si>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</si>
  <si>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</si>
  <si>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</si>
  <si>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</si>
  <si>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</si>
  <si>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</si>
  <si>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</si>
  <si>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</si>
  <si>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</si>
  <si>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</si>
  <si>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</si>
  <si>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</si>
  <si>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</si>
  <si>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</si>
  <si>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</si>
  <si>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</si>
  <si>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</si>
  <si>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</si>
  <si>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</si>
  <si>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</si>
  <si>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</si>
  <si>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</si>
  <si>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</si>
  <si>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</si>
  <si>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</si>
  <si>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</si>
  <si>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</si>
  <si>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</si>
  <si>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</si>
  <si>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</si>
  <si>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</si>
  <si>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</si>
  <si>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</si>
  <si>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</si>
  <si>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</si>
  <si>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</si>
  <si>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</si>
  <si>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</si>
  <si>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</si>
  <si>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</si>
  <si>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</si>
  <si>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</si>
  <si>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</si>
  <si>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</si>
  <si>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</si>
  <si>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</si>
  <si>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</si>
  <si>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</si>
  <si>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</si>
  <si>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</si>
  <si>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</si>
  <si>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</si>
  <si>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</si>
  <si>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</si>
  <si>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</si>
  <si>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</si>
  <si>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</si>
  <si>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</si>
  <si>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</si>
  <si>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</si>
  <si>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</si>
  <si>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</si>
  <si>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</si>
  <si>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</si>
  <si>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</si>
  <si>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</si>
  <si>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</si>
  <si>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</si>
  <si>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</si>
  <si>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</si>
  <si>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</si>
  <si>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</si>
  <si>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</si>
  <si>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</si>
  <si>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</si>
  <si>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</si>
  <si>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</si>
  <si>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</si>
  <si>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</si>
  <si>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</si>
  <si>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</si>
  <si>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</si>
  <si>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</si>
  <si>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</si>
  <si>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</si>
  <si>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</si>
  <si>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</si>
  <si>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</si>
  <si>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</si>
  <si>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</si>
  <si>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</si>
  <si>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</si>
  <si>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</si>
  <si>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</si>
  <si>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</si>
  <si>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</si>
  <si>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</si>
  <si>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</si>
  <si>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</si>
  <si>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</si>
  <si>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</si>
  <si>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</si>
  <si>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</si>
  <si>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</si>
  <si>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</si>
  <si>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</si>
  <si>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</si>
  <si>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</si>
  <si>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</si>
  <si>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</si>
  <si>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</si>
  <si>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</si>
  <si>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</si>
  <si>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</si>
  <si>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</si>
  <si>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</si>
  <si>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</si>
  <si>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</si>
  <si>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</si>
  <si>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</si>
  <si>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</si>
  <si>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</si>
  <si>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</si>
  <si>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</si>
  <si>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</si>
  <si>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</si>
  <si>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</si>
  <si>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</si>
  <si>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</si>
  <si>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</si>
  <si>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</si>
  <si>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</si>
  <si>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</si>
  <si>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</si>
  <si>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</si>
  <si>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</si>
  <si>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</si>
  <si>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</si>
  <si>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</si>
  <si>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</si>
  <si>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</si>
  <si>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</si>
  <si>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</si>
  <si>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</si>
  <si>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</si>
  <si>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</si>
  <si>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</si>
  <si>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</si>
  <si>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</si>
  <si>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</si>
  <si>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</si>
  <si>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</si>
  <si>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</si>
  <si>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</si>
  <si>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</si>
  <si>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</si>
  <si>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</si>
  <si>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</si>
  <si>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</si>
  <si>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</si>
  <si>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</si>
  <si>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</si>
  <si>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</si>
  <si>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</si>
  <si>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</si>
  <si>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</si>
  <si>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</si>
  <si>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</si>
  <si>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</si>
  <si>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</si>
  <si>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</si>
  <si>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</si>
  <si>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</si>
  <si>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</si>
  <si>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</si>
  <si>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</si>
  <si>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</si>
  <si>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</si>
  <si>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</si>
  <si>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</si>
  <si>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</si>
  <si>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</si>
  <si>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</si>
  <si>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</si>
  <si>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</si>
  <si>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</si>
  <si>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</si>
  <si>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</si>
  <si>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</si>
  <si>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</si>
  <si>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</si>
  <si>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</si>
  <si>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</si>
  <si>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</si>
  <si>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</si>
  <si>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</si>
  <si>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</si>
  <si>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</si>
  <si>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</si>
  <si>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</si>
  <si>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</si>
  <si>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</si>
  <si>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</si>
  <si>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</si>
  <si>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</si>
  <si>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</si>
  <si>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</si>
  <si>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</si>
  <si>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</si>
  <si>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</si>
  <si>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</si>
  <si>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</si>
  <si>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</si>
  <si>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</si>
  <si>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</si>
  <si>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</si>
  <si>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</si>
  <si>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</si>
  <si>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</si>
  <si>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</si>
  <si>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</si>
  <si>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</si>
  <si>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</si>
  <si>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</si>
  <si>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</si>
  <si>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</si>
  <si>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</si>
  <si>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</si>
  <si>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</si>
  <si>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</si>
  <si>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</si>
  <si>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</si>
  <si>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</si>
  <si>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</si>
  <si>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</si>
  <si>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</si>
  <si>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</si>
  <si>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</si>
  <si>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</si>
  <si>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</si>
  <si>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</si>
  <si>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</si>
  <si>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</si>
  <si>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</si>
  <si>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</si>
  <si>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</si>
  <si>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</si>
  <si>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</si>
  <si>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</si>
  <si>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</si>
  <si>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</si>
  <si>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</si>
  <si>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</si>
  <si>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</si>
  <si>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</si>
  <si>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</si>
  <si>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</si>
  <si>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</si>
  <si>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</si>
  <si>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</si>
  <si>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</si>
  <si>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</si>
  <si>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</si>
  <si>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</si>
  <si>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</si>
  <si>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</si>
  <si>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</si>
  <si>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</si>
  <si>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</si>
  <si>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</si>
  <si>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</si>
  <si>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</si>
  <si>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</si>
  <si>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</si>
  <si>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</si>
  <si>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</si>
  <si>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</si>
  <si>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</si>
  <si>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</si>
  <si>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</si>
  <si>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</si>
  <si>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</si>
  <si>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</si>
  <si>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</si>
  <si>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</si>
  <si>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</si>
  <si>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</si>
  <si>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</si>
  <si>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</si>
  <si>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</si>
  <si>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</si>
  <si>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</si>
  <si>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</si>
  <si>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</si>
  <si>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</si>
  <si>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</si>
  <si>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</si>
  <si>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</si>
  <si>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</si>
  <si>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</si>
  <si>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</si>
  <si>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</si>
  <si>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</si>
  <si>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</si>
  <si>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</si>
  <si>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</si>
  <si>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</si>
  <si>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</si>
  <si>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</si>
  <si>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</si>
  <si>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</si>
  <si>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</si>
  <si>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</si>
  <si>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</si>
  <si>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</si>
  <si>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</si>
  <si>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</si>
  <si>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</si>
  <si>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</si>
  <si>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</si>
  <si>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</si>
  <si>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</si>
  <si>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</si>
  <si>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</si>
  <si>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</si>
  <si>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</si>
  <si>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</si>
  <si>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</si>
  <si>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</si>
  <si>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</si>
  <si>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</si>
  <si>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</si>
  <si>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</si>
  <si>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</si>
  <si>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</si>
  <si>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</si>
  <si>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</si>
  <si>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</si>
  <si>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</si>
  <si>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</si>
  <si>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</si>
  <si>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</si>
  <si>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</si>
  <si>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</si>
  <si>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</si>
  <si>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</si>
  <si>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</si>
  <si>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</si>
  <si>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</si>
  <si>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</si>
  <si>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</si>
  <si>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</si>
  <si>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</si>
  <si>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</si>
  <si>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</si>
  <si>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</si>
  <si>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</si>
  <si>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</si>
  <si>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</si>
  <si>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</si>
  <si>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</si>
  <si>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</si>
  <si>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</si>
  <si>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</si>
  <si>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</si>
  <si>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</si>
  <si>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</si>
  <si>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</si>
  <si>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</si>
  <si>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</si>
  <si>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</si>
  <si>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</si>
  <si>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</si>
  <si>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</si>
  <si>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</si>
  <si>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</si>
  <si>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</si>
  <si>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</si>
  <si>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</si>
  <si>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</si>
  <si>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</si>
  <si>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</si>
  <si>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</si>
  <si>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</si>
  <si>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</si>
  <si>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</si>
  <si>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</si>
  <si>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</si>
  <si>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</si>
  <si>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</si>
  <si>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</si>
  <si>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</si>
  <si>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</si>
  <si>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</si>
  <si>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</si>
  <si>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</si>
  <si>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</si>
  <si>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</si>
  <si>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</si>
  <si>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</si>
  <si>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</si>
  <si>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</si>
  <si>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</si>
  <si>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</si>
  <si>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</si>
  <si>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</si>
  <si>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</si>
  <si>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</si>
  <si>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</si>
  <si>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</si>
  <si>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</si>
  <si>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</si>
  <si>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</si>
  <si>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</si>
  <si>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</si>
  <si>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</si>
  <si>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</si>
  <si>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</si>
  <si>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</si>
  <si>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</si>
  <si>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</si>
  <si>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</si>
  <si>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</si>
  <si>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</si>
  <si>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</si>
  <si>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</si>
  <si>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</si>
  <si>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</si>
  <si>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</si>
  <si>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</si>
  <si>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</si>
  <si>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</si>
  <si>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</si>
  <si>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</si>
  <si>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</si>
  <si>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</si>
  <si>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</si>
  <si>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</si>
  <si>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</si>
  <si>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</si>
  <si>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</si>
  <si>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</si>
  <si>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</si>
  <si>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</si>
  <si>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</si>
  <si>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</si>
  <si>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</si>
  <si>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</si>
  <si>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</si>
  <si>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</si>
  <si>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</si>
  <si>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</si>
  <si>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</si>
  <si>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</si>
  <si>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</si>
  <si>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</si>
  <si>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</si>
  <si>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</si>
  <si>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</si>
  <si>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</si>
  <si>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</si>
  <si>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</si>
  <si>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</si>
  <si>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</si>
  <si>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</si>
  <si>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</si>
  <si>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</si>
  <si>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</si>
  <si>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</si>
  <si>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</si>
  <si>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</si>
  <si>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</si>
  <si>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</si>
  <si>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</si>
  <si>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</si>
  <si>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</si>
  <si>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</si>
  <si>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</si>
  <si>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</si>
  <si>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</si>
  <si>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</si>
  <si>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</si>
  <si>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</si>
  <si>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</si>
  <si>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</si>
  <si>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</si>
  <si>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</si>
  <si>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</si>
  <si>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</si>
  <si>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</si>
  <si>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</si>
  <si>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</si>
  <si>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</si>
  <si>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</si>
  <si>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</si>
  <si>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</si>
  <si>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</si>
  <si>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</si>
  <si>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</si>
  <si>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</si>
  <si>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</si>
  <si>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</si>
  <si>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</si>
  <si>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</si>
  <si>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</si>
  <si>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</si>
  <si>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</si>
  <si>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</si>
  <si>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</si>
  <si>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</si>
  <si>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</si>
  <si>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</si>
  <si>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</si>
  <si>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</si>
  <si>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</si>
  <si>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</si>
  <si>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</si>
  <si>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</si>
  <si>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</si>
  <si>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</si>
  <si>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</si>
  <si>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</si>
  <si>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</si>
  <si>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</si>
  <si>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</si>
  <si>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</si>
  <si>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</si>
  <si>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</si>
  <si>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</si>
  <si>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</si>
  <si>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</si>
  <si>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</si>
  <si>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</si>
  <si>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</si>
  <si>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</si>
  <si>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</si>
  <si>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</si>
  <si>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</si>
  <si>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</si>
  <si>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</si>
  <si>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</si>
  <si>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</si>
  <si>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</si>
  <si>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</si>
  <si>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</si>
  <si>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</si>
  <si>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</si>
  <si>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</si>
  <si>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</si>
  <si>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</si>
  <si>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</si>
  <si>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</si>
  <si>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</si>
  <si>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</si>
  <si>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</si>
  <si>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</si>
  <si>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</si>
  <si>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</si>
  <si>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</si>
  <si>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</si>
  <si>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</si>
  <si>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</si>
  <si>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</si>
  <si>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</si>
  <si>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</si>
  <si>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</si>
  <si>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</si>
  <si>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</si>
  <si>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</si>
  <si>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</si>
  <si>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</si>
  <si>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</si>
  <si>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</si>
  <si>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</si>
  <si>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</si>
  <si>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</si>
  <si>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</si>
  <si>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</si>
  <si>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</si>
  <si>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</si>
  <si>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</si>
  <si>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</si>
  <si>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</si>
  <si>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</si>
  <si>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</si>
  <si>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</si>
  <si>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</si>
  <si>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</si>
  <si>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</si>
  <si>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</si>
  <si>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</si>
  <si>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</si>
  <si>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</si>
  <si>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</si>
  <si>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</si>
  <si>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</si>
  <si>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</si>
  <si>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</si>
  <si>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</si>
  <si>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</si>
  <si>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</si>
  <si>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</si>
  <si>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</si>
  <si>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</si>
  <si>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</si>
  <si>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</si>
  <si>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</si>
  <si>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</si>
  <si>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</si>
  <si>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</si>
  <si>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</si>
  <si>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</si>
  <si>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</si>
  <si>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</si>
  <si>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</si>
  <si>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</si>
  <si>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</si>
  <si>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</si>
  <si>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</si>
  <si>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</si>
  <si>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</si>
  <si>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</si>
  <si>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</si>
  <si>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</si>
  <si>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</si>
  <si>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</si>
  <si>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</si>
  <si>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</si>
  <si>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</si>
  <si>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</si>
  <si>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</si>
  <si>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</si>
  <si>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</si>
  <si>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</si>
  <si>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</si>
  <si>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</si>
  <si>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</si>
  <si>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</si>
  <si>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</si>
  <si>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</si>
  <si>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</si>
  <si>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</si>
  <si>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</si>
  <si>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</si>
  <si>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</si>
  <si>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</si>
  <si>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</si>
  <si>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</si>
  <si>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</si>
  <si>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</si>
  <si>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</si>
  <si>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</si>
  <si>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</si>
  <si>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</si>
  <si>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</si>
  <si>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</si>
  <si>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</si>
  <si>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</si>
  <si>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</si>
  <si>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</si>
  <si>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</si>
  <si>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</si>
  <si>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</si>
  <si>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</si>
  <si>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</si>
  <si>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</si>
  <si>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</si>
  <si>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</si>
  <si>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</si>
  <si>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</si>
  <si>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</si>
  <si>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</si>
  <si>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</si>
  <si>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</si>
  <si>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</si>
  <si>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</si>
  <si>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</si>
  <si>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</si>
  <si>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</si>
  <si>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</si>
  <si>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</si>
  <si>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</si>
  <si>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</si>
  <si>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</si>
  <si>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</si>
  <si>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</si>
  <si>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</si>
  <si>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</si>
  <si>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</si>
  <si>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</si>
  <si>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</si>
  <si>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</si>
  <si>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</si>
  <si>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</si>
  <si>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</si>
  <si>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</si>
  <si>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</si>
  <si>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</si>
  <si>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</si>
  <si>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</si>
  <si>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</si>
  <si>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</si>
  <si>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</si>
  <si>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</si>
  <si>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</si>
  <si>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</si>
  <si>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</si>
  <si>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</si>
  <si>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</si>
  <si>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</si>
  <si>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</si>
  <si>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</si>
  <si>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</si>
  <si>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</si>
  <si>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</si>
  <si>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</si>
  <si>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</si>
  <si>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</si>
  <si>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</si>
  <si>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</si>
  <si>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</si>
  <si>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</si>
  <si>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</si>
  <si>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</si>
  <si>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</si>
  <si>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</si>
  <si>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</si>
  <si>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</si>
  <si>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</si>
  <si>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</si>
  <si>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</si>
  <si>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</si>
  <si>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</si>
  <si>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</si>
  <si>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</si>
  <si>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</si>
  <si>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</si>
  <si>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</si>
  <si>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</si>
  <si>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</si>
  <si>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</si>
  <si>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</si>
  <si>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</si>
  <si>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</si>
  <si>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</si>
  <si>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</si>
  <si>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</si>
  <si>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</si>
  <si>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</si>
  <si>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</si>
  <si>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</si>
  <si>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</si>
  <si>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</si>
  <si>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</si>
  <si>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</si>
  <si>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</si>
  <si>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</si>
  <si>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</si>
  <si>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</si>
  <si>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</si>
  <si>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</si>
  <si>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</si>
  <si>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</si>
  <si>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</si>
  <si>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</si>
  <si>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</si>
  <si>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</si>
  <si>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</si>
  <si>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</si>
  <si>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</si>
  <si>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</si>
  <si>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</si>
  <si>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</si>
  <si>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</si>
  <si>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</si>
  <si>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</si>
  <si>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</si>
  <si>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</si>
  <si>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</si>
  <si>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</si>
  <si>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</si>
  <si>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</si>
  <si>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</si>
  <si>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</si>
  <si>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</si>
  <si>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</si>
  <si>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</si>
  <si>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</si>
  <si>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</si>
  <si>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</si>
  <si>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</si>
  <si>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</si>
  <si>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</si>
  <si>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</si>
  <si>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</si>
  <si>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</si>
  <si>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</si>
  <si>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</si>
  <si>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</si>
  <si>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</si>
  <si>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</si>
  <si>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</si>
  <si>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</si>
  <si>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</si>
  <si>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</si>
  <si>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</si>
  <si>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</si>
  <si>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</si>
  <si>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</si>
  <si>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</si>
  <si>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</si>
  <si>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</si>
  <si>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</si>
  <si>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</si>
  <si>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</si>
  <si>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</si>
  <si>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</si>
  <si>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</si>
  <si>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</si>
  <si>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</si>
  <si>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</si>
  <si>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</si>
  <si>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</si>
  <si>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</si>
  <si>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</si>
  <si>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</si>
  <si>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</si>
  <si>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</si>
  <si>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</si>
  <si>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</si>
  <si>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</si>
  <si>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</si>
  <si>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</si>
  <si>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</si>
  <si>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</si>
  <si>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</si>
  <si>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</si>
  <si>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</si>
  <si>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</si>
  <si>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</si>
  <si>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</si>
  <si>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</si>
  <si>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</si>
  <si>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</si>
  <si>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</si>
  <si>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</si>
  <si>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</si>
  <si>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</si>
  <si>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</si>
  <si>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</si>
  <si>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</si>
  <si>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</si>
  <si>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</si>
  <si>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</si>
  <si>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</si>
  <si>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</si>
  <si>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</si>
  <si>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</si>
  <si>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</si>
  <si>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</si>
  <si>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</si>
  <si>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</si>
  <si>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</si>
  <si>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</si>
  <si>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</si>
  <si>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</si>
  <si>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</si>
  <si>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</si>
  <si>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</si>
  <si>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</si>
  <si>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</si>
  <si>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</si>
  <si>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</si>
  <si>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</si>
  <si>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</si>
  <si>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</si>
  <si>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</si>
  <si>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</si>
  <si>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</si>
  <si>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</si>
  <si>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</si>
  <si>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</si>
  <si>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</si>
  <si>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</si>
  <si>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</si>
  <si>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</si>
  <si>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</si>
  <si>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</si>
  <si>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</si>
  <si>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</si>
  <si>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</si>
  <si>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</si>
  <si>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</si>
  <si>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</si>
  <si>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</si>
  <si>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</si>
  <si>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</si>
  <si>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</si>
  <si>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</si>
  <si>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</si>
  <si>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</si>
  <si>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</si>
  <si>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</si>
  <si>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</si>
  <si>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</si>
  <si>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</si>
  <si>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</si>
  <si>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</si>
  <si>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</si>
  <si>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</si>
  <si>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</si>
  <si>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</si>
  <si>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</si>
  <si>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</si>
  <si>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</si>
  <si>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</si>
  <si>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</si>
  <si>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</si>
  <si>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</si>
  <si>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</si>
  <si>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</si>
  <si>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</si>
  <si>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</si>
  <si>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</si>
  <si>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</si>
  <si>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</si>
  <si>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</si>
  <si>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</si>
  <si>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</si>
  <si>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</si>
  <si>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</si>
  <si>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</si>
  <si>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</si>
  <si>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</si>
  <si>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</si>
  <si>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</si>
  <si>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</si>
  <si>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</si>
  <si>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</si>
  <si>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</si>
  <si>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</si>
  <si>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</si>
  <si>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</si>
  <si>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</si>
  <si>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</si>
  <si>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</si>
  <si>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</si>
  <si>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</si>
  <si>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</si>
  <si>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</si>
  <si>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</si>
  <si>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</si>
  <si>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</si>
  <si>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</si>
  <si>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</si>
  <si>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</si>
  <si>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</si>
  <si>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</si>
  <si>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</si>
  <si>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</si>
  <si>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</si>
  <si>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</si>
  <si>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</si>
  <si>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</si>
  <si>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</si>
  <si>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</si>
  <si>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</si>
  <si>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</si>
  <si>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</si>
  <si>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</si>
  <si>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</si>
  <si>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</si>
  <si>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</si>
  <si>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</si>
  <si>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</si>
  <si>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</si>
  <si>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</si>
  <si>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</si>
  <si>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</si>
  <si>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</si>
  <si>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</si>
  <si>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</si>
  <si>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</si>
  <si>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</si>
  <si>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</si>
  <si>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</si>
  <si>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</si>
  <si>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</si>
  <si>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</si>
  <si>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</si>
  <si>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</si>
  <si>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</si>
  <si>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</si>
  <si>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</si>
  <si>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</si>
  <si>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</si>
  <si>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</si>
  <si>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</si>
  <si>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</si>
  <si>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</si>
  <si>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</si>
  <si>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</si>
  <si>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</si>
  <si>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</si>
  <si>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</si>
  <si>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</si>
  <si>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</si>
  <si>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</si>
  <si>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</si>
  <si>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</si>
  <si>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</si>
  <si>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</si>
  <si>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</si>
  <si>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</si>
  <si>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</si>
  <si>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</si>
  <si>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</si>
  <si>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</si>
  <si>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</si>
  <si>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</si>
  <si>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</si>
  <si>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</si>
  <si>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</si>
  <si>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</si>
  <si>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</si>
  <si>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</si>
  <si>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</si>
  <si>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</si>
  <si>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</si>
  <si>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</si>
  <si>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</si>
  <si>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</si>
  <si>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</si>
  <si>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</si>
  <si>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</si>
  <si>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</si>
  <si>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</si>
  <si>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</si>
  <si>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</si>
  <si>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</si>
  <si>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</si>
  <si>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</si>
  <si>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</si>
  <si>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</si>
  <si>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</si>
  <si>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</si>
  <si>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</si>
  <si>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</si>
  <si>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</si>
  <si>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</si>
  <si>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</si>
  <si>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</si>
  <si>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</si>
  <si>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</si>
  <si>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</si>
  <si>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</si>
  <si>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</si>
  <si>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</si>
  <si>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</si>
  <si>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</si>
  <si>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</si>
  <si>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</si>
  <si>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</si>
  <si>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</si>
  <si>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</si>
  <si>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</si>
  <si>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</si>
  <si>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</si>
  <si>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</si>
  <si>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</si>
  <si>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</si>
  <si>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</si>
  <si>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</si>
  <si>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</si>
  <si>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</si>
  <si>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</si>
  <si>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</si>
  <si>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</si>
  <si>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</si>
  <si>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</si>
  <si>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</si>
  <si>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</si>
  <si>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</si>
  <si>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</si>
  <si>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</si>
  <si>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</si>
  <si>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</si>
  <si>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</si>
  <si>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</si>
  <si>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</si>
  <si>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</si>
  <si>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</si>
  <si>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</si>
  <si>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</si>
  <si>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</si>
  <si>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</si>
  <si>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</si>
  <si>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</si>
  <si>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</si>
  <si>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</si>
  <si>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</si>
  <si>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</si>
  <si>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</si>
  <si>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</si>
  <si>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</si>
  <si>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</si>
  <si>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</si>
  <si>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</si>
  <si>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</si>
  <si>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</si>
  <si>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</si>
  <si>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</si>
  <si>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</si>
  <si>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</si>
  <si>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</si>
  <si>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</si>
  <si>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</si>
  <si>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</si>
  <si>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</si>
  <si>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</si>
  <si>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</si>
  <si>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</si>
  <si>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</si>
  <si>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</si>
  <si>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</si>
  <si>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</si>
  <si>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</si>
  <si>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</si>
  <si>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</si>
  <si>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</si>
  <si>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</si>
  <si>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</si>
  <si>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</si>
  <si>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</si>
  <si>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</si>
  <si>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</si>
  <si>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</si>
  <si>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</si>
  <si>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</si>
  <si>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</si>
  <si>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</si>
  <si>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</si>
  <si>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</si>
  <si>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</si>
  <si>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</si>
  <si>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</si>
  <si>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</si>
  <si>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</si>
  <si>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</si>
  <si>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</si>
  <si>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</si>
  <si>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</si>
  <si>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</si>
  <si>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</si>
  <si>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</si>
  <si>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</si>
  <si>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</si>
  <si>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</si>
  <si>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</si>
  <si>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</si>
  <si>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</si>
  <si>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</si>
  <si>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</si>
  <si>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</si>
  <si>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</si>
  <si>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</si>
  <si>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</si>
  <si>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</si>
  <si>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</si>
  <si>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</si>
  <si>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</si>
  <si>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</si>
  <si>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</si>
  <si>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</si>
  <si>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</si>
  <si>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</si>
  <si>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</si>
  <si>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</si>
  <si>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</si>
  <si>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</si>
  <si>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</si>
  <si>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</si>
  <si>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</si>
  <si>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</si>
  <si>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</si>
  <si>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</si>
  <si>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</si>
  <si>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</si>
  <si>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</si>
  <si>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</si>
  <si>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</si>
  <si>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</si>
  <si>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</si>
  <si>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</si>
  <si>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</si>
  <si>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</si>
  <si>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</si>
  <si>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</si>
  <si>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</si>
  <si>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</si>
  <si>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</si>
  <si>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</si>
  <si>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</si>
  <si>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</si>
  <si>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</si>
  <si>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</si>
  <si>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</si>
  <si>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</si>
  <si>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</si>
  <si>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</si>
  <si>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</si>
  <si>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</si>
  <si>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</si>
  <si>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</si>
  <si>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</si>
  <si>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</si>
  <si>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</si>
  <si>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</si>
  <si>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</si>
  <si>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</si>
  <si>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</si>
  <si>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</si>
  <si>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</si>
  <si>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</si>
  <si>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</si>
  <si>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</si>
  <si>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</si>
  <si>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</si>
  <si>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</si>
  <si>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</si>
  <si>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</si>
  <si>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</si>
  <si>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</si>
  <si>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</si>
  <si>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</si>
  <si>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</si>
  <si>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</si>
  <si>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</si>
  <si>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</si>
  <si>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</si>
  <si>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</si>
  <si>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</si>
  <si>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</si>
  <si>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</si>
  <si>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</si>
  <si>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</si>
  <si>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</si>
  <si>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</si>
  <si>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</si>
  <si>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</si>
  <si>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</si>
  <si>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</si>
  <si>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</si>
  <si>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</si>
  <si>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</si>
  <si>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</si>
  <si>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</si>
  <si>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</si>
  <si>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</si>
  <si>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</si>
  <si>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</si>
  <si>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</si>
  <si>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</si>
  <si>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</si>
  <si>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</si>
  <si>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</si>
  <si>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</si>
  <si>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</si>
  <si>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</si>
  <si>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</si>
  <si>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</si>
  <si>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</si>
  <si>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</si>
  <si>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</si>
  <si>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</si>
  <si>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</si>
  <si>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</si>
  <si>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</si>
  <si>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</si>
  <si>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</si>
  <si>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</si>
  <si>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</si>
  <si>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</si>
  <si>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</si>
  <si>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</si>
  <si>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</si>
  <si>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</si>
  <si>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</si>
  <si>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</si>
  <si>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</si>
  <si>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</si>
  <si>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</si>
  <si>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</si>
  <si>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</si>
  <si>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</si>
  <si>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</si>
  <si>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</si>
  <si>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</si>
  <si>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</si>
  <si>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</si>
  <si>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</si>
  <si>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</si>
  <si>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</si>
  <si>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</si>
  <si>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</si>
  <si>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</si>
  <si>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</si>
  <si>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</si>
  <si>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</si>
  <si>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</si>
  <si>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</si>
  <si>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</si>
  <si>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</si>
  <si>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</si>
  <si>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</si>
  <si>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</si>
  <si>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</si>
  <si>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</si>
  <si>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</si>
  <si>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</si>
  <si>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</si>
  <si>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</si>
  <si>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</si>
  <si>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</si>
  <si>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</si>
  <si>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</si>
  <si>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</si>
  <si>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</si>
  <si>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</si>
  <si>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</si>
  <si>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</si>
  <si>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</si>
  <si>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</si>
  <si>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</si>
  <si>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</si>
  <si>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</si>
  <si>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</si>
  <si>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</si>
  <si>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</si>
  <si>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</si>
  <si>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</si>
  <si>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</si>
  <si>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</si>
  <si>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</si>
  <si>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</si>
  <si>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</si>
  <si>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</si>
  <si>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</si>
  <si>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</si>
  <si>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</si>
  <si>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</si>
  <si>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</si>
  <si>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</si>
  <si>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</si>
  <si>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</si>
  <si>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</si>
  <si>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</si>
  <si>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</si>
  <si>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</si>
  <si>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</si>
  <si>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</si>
  <si>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</si>
  <si>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</si>
  <si>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</si>
  <si>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</si>
  <si>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</si>
  <si>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</si>
  <si>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</si>
  <si>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</si>
  <si>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</si>
  <si>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</si>
  <si>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</si>
  <si>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</si>
  <si>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</si>
  <si>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</si>
  <si>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</si>
  <si>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</si>
  <si>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</si>
  <si>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</si>
  <si>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</si>
  <si>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</si>
  <si>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</si>
  <si>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</si>
  <si>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</si>
  <si>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</si>
  <si>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</si>
  <si>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</si>
  <si>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</si>
  <si>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</si>
  <si>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</si>
  <si>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</si>
  <si>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</si>
  <si>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</si>
  <si>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</si>
  <si>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</si>
  <si>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</si>
  <si>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</si>
  <si>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</si>
  <si>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</si>
  <si>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</si>
  <si>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</si>
  <si>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</si>
  <si>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</si>
  <si>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</si>
  <si>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</si>
  <si>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</si>
  <si>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</si>
  <si>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</si>
  <si>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</si>
  <si>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</si>
  <si>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</si>
  <si>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</si>
  <si>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</si>
  <si>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</si>
  <si>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</si>
  <si>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</si>
  <si>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</si>
  <si>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</si>
  <si>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</si>
  <si>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</si>
  <si>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</si>
  <si>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</si>
  <si>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</si>
  <si>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</si>
  <si>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</si>
  <si>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</si>
  <si>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</si>
  <si>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</si>
  <si>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</si>
  <si>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</si>
  <si>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</si>
  <si>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</si>
  <si>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</si>
  <si>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</si>
  <si>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</si>
  <si>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</si>
  <si>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</si>
  <si>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</si>
  <si>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</si>
  <si>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</si>
  <si>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</si>
  <si>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</si>
  <si>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</si>
  <si>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</si>
  <si>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</si>
  <si>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</si>
  <si>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</si>
  <si>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</si>
  <si>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</si>
  <si>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</si>
  <si>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</si>
  <si>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</si>
  <si>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</si>
  <si>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</si>
  <si>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</si>
  <si>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</si>
  <si>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</si>
  <si>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</si>
  <si>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</si>
  <si>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</si>
  <si>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</si>
  <si>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</si>
  <si>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</si>
  <si>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</si>
  <si>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</si>
  <si>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</si>
  <si>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</si>
  <si>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</si>
  <si>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</si>
  <si>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</si>
  <si>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</si>
  <si>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</si>
  <si>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</si>
  <si>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</si>
  <si>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</si>
  <si>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</si>
  <si>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</si>
  <si>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</si>
  <si>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</si>
  <si>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</si>
  <si>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</si>
  <si>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</si>
  <si>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</si>
  <si>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</si>
  <si>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</si>
  <si>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</si>
  <si>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</si>
  <si>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</si>
  <si>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</si>
  <si>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</si>
  <si>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</si>
  <si>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</si>
  <si>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</si>
  <si>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</si>
  <si>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</si>
  <si>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</si>
  <si>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</si>
  <si>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</si>
  <si>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</si>
  <si>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</si>
  <si>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</si>
  <si>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</si>
  <si>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</si>
  <si>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</si>
  <si>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</si>
  <si>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</si>
  <si>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</si>
  <si>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</si>
  <si>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</si>
  <si>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</si>
  <si>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</si>
  <si>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</si>
  <si>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</si>
  <si>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</si>
  <si>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</si>
  <si>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</si>
  <si>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</si>
  <si>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</si>
  <si>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</si>
  <si>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</si>
  <si>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</si>
  <si>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</si>
  <si>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</si>
  <si>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</si>
  <si>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</si>
  <si>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</si>
  <si>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</si>
  <si>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</si>
  <si>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</si>
  <si>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</si>
  <si>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</si>
  <si>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</si>
  <si>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</si>
  <si>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</si>
  <si>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</si>
  <si>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</si>
  <si>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</si>
  <si>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</si>
  <si>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</si>
  <si>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</si>
  <si>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</si>
  <si>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</si>
  <si>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</si>
  <si>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</si>
  <si>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</si>
  <si>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</si>
  <si>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</si>
  <si>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</si>
  <si>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</si>
  <si>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</si>
  <si>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</si>
  <si>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</si>
  <si>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</si>
  <si>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</si>
  <si>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</si>
  <si>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</si>
  <si>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</si>
  <si>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</si>
  <si>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</si>
  <si>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</si>
  <si>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</si>
  <si>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</si>
  <si>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</si>
  <si>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</si>
  <si>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</si>
  <si>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</si>
  <si>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</si>
  <si>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</si>
  <si>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</si>
  <si>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</si>
  <si>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</si>
  <si>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</si>
  <si>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</si>
  <si>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</si>
  <si>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</si>
  <si>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</si>
  <si>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</si>
  <si>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</si>
  <si>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</si>
  <si>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</si>
  <si>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</si>
  <si>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</si>
  <si>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</si>
  <si>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</si>
  <si>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</si>
  <si>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</si>
  <si>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</si>
  <si>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</si>
  <si>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</si>
  <si>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</si>
  <si>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</si>
  <si>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</si>
  <si>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</si>
  <si>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</si>
  <si>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</si>
  <si>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</si>
  <si>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</si>
  <si>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</si>
  <si>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</si>
  <si>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</si>
  <si>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</si>
  <si>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</si>
  <si>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</si>
  <si>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</si>
  <si>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</si>
  <si>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</si>
  <si>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</si>
  <si>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</si>
  <si>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</si>
  <si>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</si>
  <si>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</si>
  <si>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</si>
  <si>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</si>
  <si>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</si>
  <si>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</si>
  <si>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</si>
  <si>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</si>
  <si>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</si>
  <si>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</si>
  <si>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</si>
  <si>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</si>
  <si>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</si>
  <si>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</si>
  <si>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</si>
  <si>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</si>
  <si>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</si>
  <si>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</si>
  <si>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</si>
  <si>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</si>
  <si>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</si>
  <si>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</si>
  <si>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</si>
  <si>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</si>
  <si>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</si>
  <si>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</si>
  <si>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</si>
  <si>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</si>
  <si>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</si>
  <si>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</si>
  <si>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</si>
  <si>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</si>
  <si>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</si>
  <si>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</si>
  <si>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</si>
  <si>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</si>
  <si>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</si>
  <si>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</si>
  <si>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</si>
  <si>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</si>
  <si>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</si>
  <si>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</si>
  <si>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</si>
  <si>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</si>
  <si>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</si>
  <si>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</si>
  <si>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</si>
  <si>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</si>
  <si>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</si>
  <si>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</si>
  <si>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</si>
  <si>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</si>
  <si>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</si>
  <si>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</si>
  <si>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</si>
  <si>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</si>
  <si>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</si>
  <si>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</si>
  <si>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</si>
  <si>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</si>
  <si>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</si>
  <si>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</si>
  <si>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</si>
  <si>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</si>
  <si>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</si>
  <si>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</si>
  <si>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</si>
  <si>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</si>
  <si>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</si>
  <si>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</si>
  <si>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</si>
  <si>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</si>
  <si>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</si>
  <si>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</si>
  <si>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</si>
  <si>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</si>
  <si>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</si>
  <si>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</si>
  <si>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</si>
  <si>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</si>
  <si>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</si>
  <si>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</si>
  <si>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</si>
  <si>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</si>
  <si>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</si>
  <si>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</si>
  <si>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</si>
  <si>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</si>
  <si>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</si>
  <si>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</si>
  <si>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</si>
  <si>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</si>
  <si>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</si>
  <si>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</si>
  <si>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</si>
  <si>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</si>
  <si>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</si>
  <si>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</si>
  <si>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</si>
  <si>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</si>
  <si>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</si>
  <si>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</si>
  <si>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</si>
  <si>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</si>
  <si>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</si>
  <si>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</si>
  <si>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</si>
  <si>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</si>
  <si>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</si>
  <si>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</si>
  <si>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</si>
  <si>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</si>
  <si>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</si>
  <si>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</si>
  <si>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</si>
  <si>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</si>
  <si>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</si>
  <si>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</si>
  <si>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</si>
  <si>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</si>
  <si>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</si>
  <si>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</si>
  <si>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</si>
  <si>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</si>
  <si>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</si>
  <si>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</si>
  <si>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</si>
  <si>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</si>
  <si>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</si>
  <si>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</si>
  <si>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</si>
  <si>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</si>
  <si>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</si>
  <si>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</si>
  <si>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</si>
  <si>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</si>
  <si>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</si>
  <si>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</si>
  <si>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</si>
  <si>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</si>
  <si>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</si>
  <si>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</si>
  <si>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</si>
  <si>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</si>
  <si>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</si>
  <si>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</si>
  <si>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</si>
  <si>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</si>
  <si>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</si>
  <si>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</si>
  <si>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</si>
  <si>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</si>
  <si>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</si>
  <si>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</si>
  <si>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</si>
  <si>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</si>
  <si>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</si>
  <si>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</si>
  <si>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</si>
  <si>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</si>
  <si>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</si>
  <si>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</si>
  <si>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</si>
  <si>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</si>
  <si>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</si>
  <si>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</si>
  <si>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</si>
  <si>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</si>
  <si>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</si>
  <si>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</si>
  <si>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</si>
  <si>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</si>
  <si>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</si>
  <si>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</si>
  <si>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</si>
  <si>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</si>
  <si>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</si>
  <si>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</si>
  <si>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</si>
  <si>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</si>
  <si>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</si>
  <si>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</si>
  <si>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</si>
  <si>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</si>
  <si>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</si>
  <si>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</si>
  <si>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</si>
  <si>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</si>
  <si>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</si>
  <si>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</si>
  <si>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</si>
  <si>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</si>
  <si>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</si>
  <si>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</si>
  <si>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</si>
  <si>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</si>
  <si>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</si>
  <si>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</si>
  <si>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</si>
  <si>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</si>
  <si>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</si>
  <si>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</si>
  <si>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</si>
  <si>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</si>
  <si>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</si>
  <si>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</si>
  <si>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</si>
  <si>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</si>
  <si>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</si>
  <si>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</si>
  <si>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</si>
  <si>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</si>
  <si>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</si>
  <si>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</si>
  <si>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</si>
  <si>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</si>
  <si>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</si>
  <si>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</si>
  <si>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</si>
  <si>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</si>
  <si>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</si>
  <si>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</si>
  <si>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</si>
  <si>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</si>
  <si>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</si>
  <si>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</si>
  <si>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</si>
  <si>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</si>
  <si>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</si>
  <si>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</si>
  <si>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</si>
  <si>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</si>
  <si>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</si>
  <si>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</si>
  <si>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</si>
  <si>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</si>
  <si>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</si>
  <si>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</si>
  <si>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</si>
  <si>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</si>
  <si>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</si>
  <si>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</si>
  <si>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</si>
  <si>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</si>
  <si>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</si>
  <si>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</si>
  <si>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</si>
  <si>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</si>
  <si>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</si>
  <si>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</si>
  <si>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</si>
  <si>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</si>
  <si>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</si>
  <si>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</si>
  <si>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</si>
  <si>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</si>
  <si>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</si>
  <si>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</si>
  <si>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</si>
  <si>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</si>
  <si>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</si>
  <si>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</si>
  <si>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</si>
  <si>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</si>
  <si>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</si>
  <si>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</si>
  <si>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</si>
  <si>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</si>
  <si>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</si>
  <si>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</si>
  <si>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</si>
  <si>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</si>
  <si>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</si>
  <si>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</si>
  <si>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</si>
  <si>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</si>
  <si>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</si>
  <si>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</si>
  <si>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</si>
  <si>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</si>
  <si>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</si>
  <si>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</si>
  <si>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</si>
  <si>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</si>
  <si>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</si>
  <si>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</si>
  <si>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</si>
  <si>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</si>
  <si>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</si>
  <si>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</si>
  <si>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</si>
  <si>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</si>
  <si>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</si>
  <si>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</si>
  <si>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</si>
  <si>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</si>
  <si>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</si>
  <si>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</si>
  <si>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</si>
  <si>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</si>
  <si>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</si>
  <si>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</si>
  <si>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</si>
  <si>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</si>
  <si>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</si>
  <si>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</si>
  <si>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</si>
  <si>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</si>
  <si>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</si>
  <si>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</si>
  <si>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</si>
  <si>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</si>
  <si>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</si>
  <si>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</si>
  <si>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</si>
  <si>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</si>
  <si>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</si>
  <si>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</si>
  <si>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</si>
  <si>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</si>
  <si>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</si>
  <si>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</si>
  <si>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</si>
  <si>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</si>
  <si>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</si>
  <si>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</si>
  <si>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</si>
  <si>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</si>
  <si>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</si>
  <si>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</si>
  <si>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</si>
  <si>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</si>
  <si>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</si>
  <si>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</si>
  <si>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</si>
  <si>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</si>
  <si>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</si>
  <si>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</si>
  <si>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</si>
  <si>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</si>
  <si>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</si>
  <si>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</si>
  <si>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</si>
  <si>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</si>
  <si>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</si>
  <si>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</si>
  <si>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</si>
  <si>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</si>
  <si>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</si>
  <si>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</si>
  <si>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</si>
  <si>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</si>
  <si>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</si>
  <si>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</si>
  <si>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</si>
  <si>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</si>
  <si>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</si>
  <si>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</si>
  <si>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</si>
  <si>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</si>
  <si>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</si>
  <si>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</si>
  <si>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</si>
  <si>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</si>
  <si>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</si>
  <si>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</si>
  <si>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</si>
  <si>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</si>
  <si>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</si>
  <si>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</si>
  <si>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</si>
  <si>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</si>
  <si>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</si>
  <si>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</si>
  <si>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</si>
  <si>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</si>
  <si>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</si>
  <si>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</si>
  <si>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</si>
  <si>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</si>
  <si>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</si>
  <si>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</si>
  <si>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</si>
  <si>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</si>
  <si>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</si>
  <si>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</si>
  <si>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</si>
  <si>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</si>
  <si>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</si>
  <si>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</si>
  <si>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</si>
  <si>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</si>
  <si>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</si>
  <si>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</si>
  <si>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</si>
  <si>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</si>
  <si>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</si>
  <si>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</si>
  <si>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</si>
  <si>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</si>
  <si>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</si>
  <si>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</si>
  <si>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</si>
  <si>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</si>
  <si>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</si>
  <si>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</si>
  <si>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</si>
  <si>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</si>
  <si>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</si>
  <si>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</si>
  <si>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</si>
  <si>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</si>
  <si>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</si>
  <si>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</si>
  <si>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</si>
  <si>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</si>
  <si>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</si>
  <si>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</si>
  <si>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</si>
  <si>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</si>
  <si>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</si>
  <si>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</si>
  <si>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</si>
  <si>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</si>
  <si>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</si>
  <si>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</si>
  <si>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</si>
  <si>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</si>
  <si>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</si>
  <si>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</si>
  <si>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</si>
  <si>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</si>
  <si>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</si>
  <si>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</si>
  <si>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</si>
  <si>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</si>
  <si>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</si>
  <si>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</si>
  <si>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</si>
  <si>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</si>
  <si>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</si>
  <si>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</si>
  <si>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</si>
  <si>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</si>
  <si>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</si>
  <si>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</si>
  <si>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</si>
  <si>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</si>
  <si>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</si>
  <si>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</si>
  <si>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</si>
  <si>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</si>
  <si>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</si>
  <si>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</si>
  <si>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</si>
  <si>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</si>
  <si>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</si>
  <si>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</si>
  <si>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</si>
  <si>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</si>
  <si>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</si>
  <si>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</si>
  <si>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</si>
  <si>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</si>
  <si>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</si>
  <si>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</si>
  <si>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</si>
  <si>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</si>
  <si>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</si>
  <si>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</si>
  <si>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</si>
  <si>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</si>
  <si>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</si>
  <si>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</si>
  <si>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</si>
  <si>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</si>
  <si>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</si>
  <si>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</si>
  <si>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</si>
  <si>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</si>
  <si>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</si>
  <si>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</si>
  <si>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</si>
  <si>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</si>
  <si>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</si>
  <si>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</si>
  <si>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</si>
  <si>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</si>
  <si>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</si>
  <si>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</si>
  <si>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</si>
  <si>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</si>
  <si>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</si>
  <si>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</si>
  <si>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</si>
  <si>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</si>
  <si>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</si>
  <si>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</si>
  <si>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</si>
  <si>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</si>
  <si>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</si>
  <si>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</si>
  <si>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</si>
  <si>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</si>
  <si>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</si>
  <si>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</si>
  <si>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</si>
  <si>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</si>
  <si>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</si>
  <si>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</si>
  <si>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</si>
  <si>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</si>
  <si>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</si>
  <si>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</si>
  <si>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</si>
  <si>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</si>
  <si>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</si>
  <si>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</si>
  <si>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</si>
  <si>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</si>
  <si>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</si>
  <si>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</si>
  <si>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</si>
  <si>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</si>
  <si>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</si>
  <si>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</si>
  <si>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</si>
  <si>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</si>
  <si>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</si>
  <si>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</si>
  <si>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</si>
  <si>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</si>
  <si>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</si>
  <si>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</si>
  <si>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</si>
  <si>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</si>
  <si>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</si>
  <si>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</si>
  <si>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</si>
  <si>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</si>
  <si>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</si>
  <si>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</si>
  <si>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</si>
  <si>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</si>
  <si>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</si>
  <si>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</si>
  <si>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</si>
  <si>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</si>
  <si>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</si>
  <si>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</si>
  <si>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</si>
  <si>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</si>
  <si>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</si>
  <si>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</si>
  <si>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</si>
  <si>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</si>
  <si>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</si>
  <si>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</si>
  <si>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</si>
  <si>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</si>
  <si>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</si>
  <si>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</si>
  <si>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</si>
  <si>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</si>
  <si>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</si>
  <si>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</si>
  <si>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</si>
  <si>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</si>
  <si>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</si>
  <si>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</si>
  <si>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</si>
  <si>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</si>
  <si>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</si>
  <si>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</si>
  <si>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</si>
  <si>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</si>
  <si>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</si>
  <si>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</si>
  <si>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</si>
  <si>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</si>
  <si>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</si>
  <si>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</si>
  <si>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</si>
  <si>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</si>
  <si>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</si>
  <si>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</si>
  <si>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</si>
  <si>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</si>
  <si>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</si>
  <si>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</si>
  <si>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</si>
  <si>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</si>
  <si>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</si>
  <si>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</si>
  <si>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</si>
  <si>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</si>
  <si>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</si>
  <si>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</si>
  <si>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</si>
  <si>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</si>
  <si>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</si>
  <si>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</si>
  <si>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</si>
  <si>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</si>
  <si>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</si>
  <si>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</si>
  <si>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</si>
  <si>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</si>
  <si>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</si>
  <si>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</si>
  <si>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</si>
  <si>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</si>
  <si>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</si>
  <si>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</si>
  <si>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</si>
  <si>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</si>
  <si>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</si>
  <si>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</si>
  <si>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</si>
  <si>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</si>
  <si>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</si>
  <si>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</si>
  <si>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</si>
  <si>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</si>
  <si>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</si>
  <si>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</si>
  <si>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</si>
  <si>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</si>
  <si>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</si>
  <si>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</si>
  <si>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</si>
  <si>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</si>
  <si>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</si>
  <si>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</si>
  <si>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</si>
  <si>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</si>
  <si>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</si>
  <si>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</si>
  <si>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</si>
  <si>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</si>
  <si>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</si>
  <si>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</si>
  <si>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</si>
  <si>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</si>
  <si>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</si>
  <si>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</si>
  <si>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</si>
  <si>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</si>
  <si>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</si>
  <si>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</si>
  <si>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</si>
  <si>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</si>
  <si>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</si>
  <si>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</si>
  <si>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</si>
  <si>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</si>
  <si>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</si>
  <si>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</si>
  <si>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</si>
  <si>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</si>
  <si>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</si>
  <si>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</si>
  <si>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</si>
  <si>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</si>
  <si>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</si>
  <si>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</si>
  <si>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</si>
  <si>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</si>
  <si>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</si>
  <si>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</si>
  <si>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</si>
  <si>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</si>
  <si>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</si>
  <si>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</si>
  <si>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</si>
  <si>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</si>
  <si>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</si>
  <si>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</si>
  <si>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</si>
  <si>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</si>
  <si>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</si>
  <si>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</si>
  <si>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</si>
  <si>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</si>
  <si>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</si>
  <si>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</si>
  <si>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</si>
  <si>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</si>
  <si>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</si>
  <si>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</si>
  <si>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</si>
  <si>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</si>
  <si>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</si>
  <si>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</si>
  <si>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</si>
  <si>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</si>
  <si>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</si>
  <si>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</si>
  <si>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</si>
  <si>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</si>
  <si>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</si>
  <si>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</si>
  <si>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</si>
  <si>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</si>
  <si>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</si>
  <si>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</si>
  <si>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</si>
  <si>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</si>
  <si>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</si>
  <si>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</si>
  <si>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</si>
  <si>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</si>
  <si>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</si>
  <si>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</si>
  <si>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</si>
  <si>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</si>
  <si>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</si>
  <si>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</si>
  <si>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</si>
  <si>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</si>
  <si>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</si>
  <si>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</si>
  <si>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</si>
  <si>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</si>
  <si>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</si>
  <si>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</si>
  <si>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</si>
  <si>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</si>
  <si>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</si>
  <si>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</si>
  <si>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</si>
  <si>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</si>
  <si>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</si>
  <si>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</si>
  <si>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</si>
  <si>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</si>
  <si>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</si>
  <si>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</si>
  <si>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</si>
  <si>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</si>
  <si>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</si>
  <si>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</si>
  <si>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</si>
  <si>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</si>
  <si>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</si>
  <si>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</si>
  <si>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</si>
  <si>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</si>
  <si>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</si>
  <si>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</si>
  <si>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</si>
  <si>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</si>
  <si>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</si>
  <si>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</si>
  <si>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</si>
  <si>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</si>
  <si>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</si>
  <si>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</si>
  <si>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</si>
  <si>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</si>
  <si>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</si>
  <si>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</si>
  <si>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</si>
  <si>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</si>
  <si>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</si>
  <si>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</si>
  <si>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</si>
  <si>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</si>
  <si>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</si>
  <si>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</si>
  <si>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</si>
  <si>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</si>
  <si>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</si>
  <si>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</si>
  <si>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</si>
  <si>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</si>
  <si>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</si>
  <si>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</si>
  <si>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</si>
  <si>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</si>
  <si>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</si>
  <si>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</si>
  <si>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</si>
  <si>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</si>
  <si>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</si>
  <si>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</si>
  <si>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</si>
  <si>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</si>
  <si>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</si>
  <si>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</si>
  <si>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</si>
  <si>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</si>
  <si>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</si>
  <si>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</si>
  <si>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</si>
  <si>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</si>
  <si>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</si>
  <si>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</si>
  <si>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</si>
  <si>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</si>
  <si>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</si>
  <si>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</si>
  <si>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</si>
  <si>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</si>
  <si>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</si>
  <si>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</si>
  <si>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</si>
  <si>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</si>
  <si>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</si>
  <si>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</si>
  <si>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</si>
  <si>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</si>
  <si>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</si>
  <si>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</si>
  <si>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</si>
  <si>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</si>
  <si>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</si>
  <si>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</si>
  <si>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</si>
  <si>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</si>
  <si>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</si>
  <si>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</si>
  <si>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</si>
  <si>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</si>
  <si>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</si>
  <si>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</si>
  <si>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</si>
  <si>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</si>
  <si>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</si>
  <si>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</si>
  <si>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</si>
  <si>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</si>
  <si>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</si>
  <si>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</si>
  <si>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</si>
  <si>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</si>
  <si>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</si>
  <si>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</si>
  <si>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</si>
  <si>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</si>
  <si>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</si>
  <si>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</si>
  <si>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</si>
  <si>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</si>
  <si>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</si>
  <si>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</si>
  <si>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</si>
  <si>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</si>
  <si>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</si>
  <si>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</si>
  <si>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</si>
  <si>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</si>
  <si>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</si>
  <si>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</si>
  <si>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</si>
  <si>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</si>
  <si>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</si>
  <si>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</si>
  <si>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</si>
  <si>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</si>
  <si>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</si>
  <si>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</si>
  <si>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</si>
  <si>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</si>
  <si>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</si>
  <si>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</si>
  <si>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</si>
  <si>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</si>
  <si>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</si>
  <si>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</si>
  <si>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</si>
  <si>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</si>
  <si>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</si>
  <si>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</si>
  <si>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</si>
  <si>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</si>
  <si>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</si>
  <si>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</si>
  <si>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</si>
  <si>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</si>
  <si>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</si>
  <si>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</si>
  <si>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</si>
  <si>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</si>
  <si>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</si>
  <si>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</si>
  <si>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</si>
  <si>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</si>
  <si>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</si>
  <si>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</si>
  <si>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</si>
  <si>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</si>
  <si>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</si>
  <si>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</si>
  <si>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</si>
  <si>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</si>
  <si>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</si>
  <si>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</si>
  <si>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</si>
  <si>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</si>
  <si>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</si>
  <si>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</si>
  <si>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</si>
  <si>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</si>
  <si>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</si>
  <si>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</si>
  <si>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</si>
  <si>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</si>
  <si>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</si>
  <si>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</si>
  <si>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</si>
  <si>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</si>
  <si>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</si>
  <si>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</si>
  <si>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</si>
  <si>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</si>
  <si>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</si>
  <si>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</si>
  <si>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</si>
  <si>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</si>
  <si>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</si>
  <si>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</si>
  <si>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</si>
  <si>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</si>
  <si>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</si>
  <si>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</si>
  <si>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</si>
  <si>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</si>
  <si>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</si>
  <si>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</si>
  <si>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</si>
  <si>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</si>
  <si>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</si>
  <si>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</si>
  <si>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</si>
  <si>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</si>
  <si>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</si>
  <si>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</si>
  <si>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</si>
  <si>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</si>
  <si>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</si>
  <si>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</si>
  <si>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</si>
  <si>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</si>
  <si>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</si>
  <si>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</si>
  <si>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</si>
  <si>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</si>
  <si>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</si>
  <si>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</si>
  <si>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</si>
  <si>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</si>
  <si>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</si>
  <si>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</si>
  <si>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</si>
  <si>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</si>
  <si>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</si>
  <si>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</si>
  <si>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</si>
  <si>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</si>
  <si>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</si>
  <si>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</si>
  <si>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</si>
  <si>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</si>
  <si>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</si>
  <si>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</si>
  <si>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</si>
  <si>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</si>
  <si>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</si>
  <si>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</si>
  <si>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</si>
  <si>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</si>
  <si>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</si>
  <si>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</si>
  <si>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</si>
  <si>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</si>
  <si>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</si>
  <si>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</si>
  <si>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</si>
  <si>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</si>
  <si>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</si>
  <si>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</si>
  <si>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</si>
  <si>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</si>
  <si>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</si>
  <si>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</si>
  <si>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</si>
  <si>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</si>
  <si>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</si>
  <si>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</si>
  <si>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</si>
  <si>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</si>
  <si>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</si>
  <si>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</si>
  <si>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</si>
  <si>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</si>
  <si>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</si>
  <si>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</si>
  <si>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</si>
  <si>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</si>
  <si>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</si>
  <si>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</si>
  <si>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</si>
  <si>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</si>
  <si>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</si>
  <si>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</si>
  <si>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</si>
  <si>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</si>
  <si>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</si>
  <si>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</si>
  <si>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</si>
  <si>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</si>
  <si>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</si>
  <si>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</si>
  <si>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</si>
  <si>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</si>
  <si>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</si>
  <si>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</si>
  <si>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</si>
  <si>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</si>
  <si>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</si>
  <si>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</si>
  <si>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</si>
  <si>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</si>
  <si>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</si>
  <si>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</si>
  <si>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</si>
  <si>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</si>
  <si>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</si>
  <si>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</si>
  <si>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</si>
  <si>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</si>
  <si>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</si>
  <si>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</si>
  <si>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</si>
  <si>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</si>
  <si>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</si>
  <si>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</si>
  <si>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</si>
  <si>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</si>
  <si>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</si>
  <si>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</si>
  <si>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</si>
  <si>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</si>
  <si>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</si>
  <si>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</si>
  <si>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</si>
  <si>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</si>
  <si>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</si>
  <si>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</si>
  <si>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</si>
  <si>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</si>
  <si>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</si>
  <si>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</si>
  <si>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</si>
  <si>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</si>
  <si>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</si>
  <si>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</si>
  <si>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</si>
  <si>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</si>
  <si>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</si>
  <si>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</si>
  <si>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</si>
  <si>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</si>
  <si>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</si>
  <si>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</si>
  <si>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</si>
  <si>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</si>
  <si>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</si>
  <si>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</si>
  <si>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</si>
  <si>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</si>
  <si>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</si>
  <si>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</si>
  <si>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</si>
  <si>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</si>
  <si>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</si>
  <si>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</si>
  <si>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</si>
  <si>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</si>
  <si>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</si>
  <si>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</si>
  <si>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</si>
  <si>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</si>
  <si>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</si>
  <si>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</si>
  <si>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</si>
  <si>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</si>
  <si>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</si>
  <si>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</si>
  <si>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</si>
  <si>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</si>
  <si>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</si>
  <si>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</si>
  <si>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</si>
  <si>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</si>
  <si>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</si>
  <si>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</si>
  <si>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</si>
  <si>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</si>
  <si>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</si>
  <si>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</si>
  <si>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</si>
  <si>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</si>
  <si>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</si>
  <si>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</si>
  <si>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</si>
  <si>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</si>
  <si>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</si>
  <si>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</si>
  <si>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</si>
  <si>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</si>
  <si>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</si>
  <si>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</si>
  <si>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</si>
  <si>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</si>
  <si>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</si>
  <si>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</si>
  <si>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</si>
  <si>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</si>
  <si>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</si>
  <si>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</si>
  <si>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</si>
  <si>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</si>
  <si>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</si>
  <si>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</si>
  <si>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</si>
  <si>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</si>
  <si>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</si>
  <si>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</si>
  <si>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</si>
  <si>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</si>
  <si>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</si>
  <si>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</si>
  <si>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</si>
  <si>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</si>
  <si>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</si>
  <si>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</si>
  <si>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</si>
  <si>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</si>
  <si>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</si>
  <si>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</si>
  <si>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</si>
  <si>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</si>
  <si>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</si>
  <si>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</si>
  <si>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</si>
  <si>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</si>
  <si>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</si>
  <si>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</si>
  <si>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</si>
  <si>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</si>
  <si>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</si>
  <si>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</si>
  <si>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</si>
  <si>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</si>
  <si>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</si>
  <si>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</si>
  <si>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</si>
  <si>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</si>
  <si>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</si>
  <si>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</si>
  <si>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</si>
  <si>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</si>
  <si>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</si>
  <si>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</si>
  <si>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</si>
  <si>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</si>
  <si>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</si>
  <si>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</si>
  <si>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</si>
  <si>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</si>
  <si>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</si>
  <si>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</si>
  <si>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</si>
  <si>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</si>
  <si>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</si>
  <si>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</si>
  <si>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</si>
  <si>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</si>
  <si>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</si>
  <si>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</si>
  <si>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</si>
  <si>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</si>
  <si>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</si>
  <si>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</si>
  <si>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</si>
  <si>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</si>
  <si>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</si>
  <si>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</si>
  <si>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</si>
  <si>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</si>
  <si>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</si>
  <si>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</si>
  <si>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</si>
  <si>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</si>
  <si>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</si>
  <si>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</si>
  <si>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</si>
  <si>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</si>
  <si>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</si>
  <si>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</si>
  <si>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</si>
  <si>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</si>
  <si>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</si>
  <si>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</si>
  <si>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</si>
  <si>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</si>
  <si>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</si>
  <si>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</si>
  <si>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</si>
  <si>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</si>
  <si>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</si>
  <si>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</si>
  <si>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</si>
  <si>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</si>
  <si>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</si>
  <si>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</si>
  <si>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</si>
  <si>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</si>
  <si>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</si>
  <si>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</si>
  <si>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</si>
  <si>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</si>
  <si>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</si>
  <si>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</si>
  <si>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</si>
  <si>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</si>
  <si>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</si>
  <si>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</si>
  <si>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</si>
  <si>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</si>
  <si>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</si>
  <si>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</si>
  <si>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</si>
  <si>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</si>
  <si>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</si>
  <si>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</si>
  <si>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</si>
  <si>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</si>
  <si>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</si>
  <si>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</si>
  <si>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</si>
  <si>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</si>
  <si>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</si>
  <si>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</si>
  <si>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</si>
  <si>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</si>
  <si>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</si>
  <si>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</si>
  <si>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</si>
  <si>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</si>
  <si>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</si>
  <si>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</si>
  <si>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</si>
  <si>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</si>
  <si>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</si>
  <si>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</si>
  <si>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</si>
  <si>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</si>
  <si>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</si>
  <si>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</si>
  <si>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</si>
  <si>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</si>
  <si>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</si>
  <si>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</si>
  <si>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</si>
  <si>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</si>
  <si>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</si>
  <si>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</si>
  <si>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</si>
  <si>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</si>
  <si>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</si>
  <si>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</si>
  <si>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</si>
  <si>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</si>
  <si>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</si>
  <si>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</si>
  <si>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</si>
  <si>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</si>
  <si>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</si>
  <si>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</si>
  <si>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</si>
  <si>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</si>
  <si>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</si>
  <si>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</si>
  <si>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</si>
  <si>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</si>
  <si>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</si>
  <si>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</si>
  <si>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</si>
  <si>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</si>
  <si>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</si>
  <si>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</si>
  <si>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</si>
  <si>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</si>
  <si>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</si>
  <si>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</si>
  <si>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</si>
  <si>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</si>
  <si>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</si>
  <si>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</si>
  <si>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</si>
  <si>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</si>
  <si>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</si>
  <si>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</si>
  <si>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</si>
  <si>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</si>
  <si>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</si>
  <si>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</si>
  <si>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</si>
  <si>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</si>
  <si>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</si>
  <si>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</si>
  <si>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</si>
  <si>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</si>
  <si>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</si>
  <si>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</si>
  <si>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</si>
  <si>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</si>
  <si>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</si>
  <si>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</si>
  <si>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</si>
  <si>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</si>
  <si>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</si>
  <si>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</si>
  <si>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</si>
  <si>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</si>
  <si>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</si>
  <si>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</si>
  <si>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</si>
  <si>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</si>
  <si>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</si>
  <si>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</si>
  <si>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</si>
  <si>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</si>
  <si>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</si>
  <si>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</si>
  <si>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</si>
  <si>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</si>
  <si>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</si>
  <si>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</si>
  <si>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</si>
  <si>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</si>
  <si>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</si>
  <si>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</si>
  <si>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</si>
  <si>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</si>
  <si>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</si>
  <si>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</si>
  <si>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</si>
  <si>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</si>
  <si>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</si>
  <si>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</si>
  <si>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</si>
  <si>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</si>
  <si>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</si>
  <si>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</si>
  <si>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</si>
  <si>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</si>
  <si>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</si>
  <si>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</si>
  <si>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</si>
  <si>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</si>
  <si>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</si>
  <si>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</si>
  <si>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</si>
  <si>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</si>
  <si>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</si>
  <si>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</si>
  <si>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</si>
  <si>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</si>
  <si>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</si>
  <si>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</si>
  <si>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</si>
  <si>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</si>
  <si>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</si>
  <si>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</si>
  <si>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</si>
  <si>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</si>
  <si>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</si>
  <si>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</si>
  <si>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</si>
  <si>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</si>
  <si>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</si>
  <si>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</si>
  <si>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</si>
  <si>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</si>
  <si>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</si>
  <si>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</si>
  <si>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</si>
  <si>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</si>
  <si>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</si>
  <si>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</si>
  <si>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</si>
  <si>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</si>
  <si>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</si>
  <si>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</si>
  <si>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</si>
  <si>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</si>
  <si>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</si>
  <si>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</si>
  <si>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</si>
  <si>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</si>
  <si>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</si>
  <si>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</si>
  <si>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</si>
  <si>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</si>
  <si>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</si>
  <si>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</si>
  <si>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</si>
  <si>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</si>
  <si>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</si>
  <si>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</si>
  <si>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</si>
  <si>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</si>
  <si>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</si>
  <si>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</si>
  <si>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</si>
  <si>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</si>
  <si>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</si>
  <si>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</si>
  <si>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</si>
  <si>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</si>
  <si>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</si>
  <si>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</si>
  <si>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</si>
  <si>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</si>
  <si>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</si>
  <si>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</si>
  <si>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</si>
  <si>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</si>
  <si>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</si>
  <si>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</si>
  <si>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</si>
  <si>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</si>
  <si>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</si>
  <si>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</si>
  <si>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</si>
  <si>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</si>
  <si>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</si>
  <si>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</si>
  <si>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</si>
  <si>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</si>
  <si>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</si>
  <si>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</si>
  <si>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</si>
  <si>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</si>
  <si>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</si>
  <si>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</si>
  <si>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</si>
  <si>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</si>
  <si>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</si>
  <si>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</si>
  <si>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</si>
  <si>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</si>
  <si>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</si>
  <si>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</si>
  <si>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</si>
  <si>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</si>
  <si>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</si>
  <si>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</si>
  <si>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</si>
  <si>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</si>
  <si>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</si>
  <si>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</si>
  <si>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</si>
  <si>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</si>
  <si>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</si>
  <si>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</si>
  <si>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</si>
  <si>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</si>
  <si>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</si>
  <si>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</si>
  <si>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</si>
  <si>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</si>
  <si>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</si>
  <si>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</si>
  <si>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</si>
  <si>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</si>
  <si>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</si>
  <si>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</si>
  <si>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</si>
  <si>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</si>
  <si>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</si>
  <si>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</si>
  <si>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</si>
  <si>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</si>
  <si>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</si>
  <si>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</si>
  <si>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</si>
  <si>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</si>
  <si>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</si>
  <si>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</si>
  <si>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</si>
  <si>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</si>
  <si>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</si>
  <si>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</si>
  <si>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</si>
  <si>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</si>
  <si>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</si>
  <si>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</si>
  <si>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</si>
  <si>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</si>
  <si>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</si>
  <si>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</si>
  <si>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</si>
  <si>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</si>
  <si>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</si>
  <si>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</si>
  <si>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</si>
  <si>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</si>
  <si>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</si>
  <si>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</si>
  <si>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</si>
  <si>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</si>
  <si>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</si>
  <si>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</si>
  <si>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</si>
  <si>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</si>
  <si>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</si>
  <si>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</si>
  <si>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</si>
  <si>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</si>
  <si>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</si>
  <si>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</si>
  <si>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</si>
  <si>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</si>
  <si>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</si>
  <si>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</si>
  <si>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</si>
  <si>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</si>
  <si>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</si>
  <si>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</si>
  <si>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</si>
  <si>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</si>
  <si>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</si>
  <si>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</si>
  <si>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</si>
  <si>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</si>
  <si>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</si>
  <si>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</si>
  <si>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</si>
  <si>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</si>
  <si>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</si>
  <si>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</si>
  <si>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</si>
  <si>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</si>
  <si>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</si>
  <si>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</si>
  <si>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</si>
  <si>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</si>
  <si>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</si>
  <si>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</si>
  <si>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</si>
  <si>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</si>
  <si>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</si>
  <si>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</si>
  <si>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</si>
  <si>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</si>
  <si>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</si>
  <si>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</si>
  <si>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</si>
  <si>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</si>
  <si>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</si>
  <si>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</si>
  <si>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</si>
  <si>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</si>
  <si>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</si>
  <si>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</si>
  <si>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</si>
  <si>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</si>
  <si>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</si>
  <si>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</si>
  <si>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</si>
  <si>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</si>
  <si>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</si>
  <si>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</si>
  <si>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</si>
  <si>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</si>
  <si>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</si>
  <si>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</si>
  <si>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</si>
  <si>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</si>
  <si>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</si>
  <si>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</si>
  <si>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</si>
  <si>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</si>
  <si>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</si>
  <si>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</si>
  <si>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</si>
  <si>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</si>
  <si>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</si>
  <si>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</si>
  <si>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</si>
  <si>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</si>
  <si>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</si>
  <si>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</si>
  <si>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</si>
  <si>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</si>
  <si>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</si>
  <si>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</si>
  <si>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</si>
  <si>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</si>
  <si>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</si>
  <si>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</si>
  <si>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</si>
  <si>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</si>
  <si>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</si>
  <si>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</si>
  <si>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</si>
  <si>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</si>
  <si>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</si>
  <si>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</si>
  <si>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</si>
  <si>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</si>
  <si>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</si>
  <si>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</si>
  <si>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</si>
  <si>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</si>
  <si>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</si>
  <si>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</si>
  <si>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</si>
  <si>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</si>
  <si>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</si>
  <si>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</si>
  <si>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</si>
  <si>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</si>
  <si>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</si>
  <si>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</si>
  <si>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</si>
  <si>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</si>
  <si>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</si>
  <si>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</si>
  <si>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</si>
  <si>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</si>
  <si>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</si>
  <si>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</si>
  <si>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</si>
  <si>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</si>
  <si>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</si>
  <si>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</si>
  <si>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</si>
  <si>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</si>
  <si>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</si>
  <si>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</si>
  <si>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</si>
  <si>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</si>
  <si>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</si>
  <si>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</si>
  <si>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</si>
  <si>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</si>
  <si>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</si>
  <si>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</si>
  <si>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</si>
  <si>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</si>
  <si>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</si>
  <si>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</si>
  <si>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</si>
  <si>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</si>
  <si>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</si>
  <si>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</si>
  <si>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</si>
  <si>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</si>
  <si>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</si>
  <si>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</si>
  <si>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</si>
  <si>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</si>
  <si>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</si>
  <si>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</si>
  <si>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</si>
  <si>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</si>
  <si>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</si>
  <si>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</si>
  <si>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</si>
  <si>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</si>
  <si>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</si>
  <si>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</si>
  <si>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</si>
  <si>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</si>
  <si>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</si>
  <si>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</si>
  <si>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</si>
  <si>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</si>
  <si>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</si>
  <si>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</si>
  <si>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</si>
  <si>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</si>
  <si>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</si>
  <si>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</si>
  <si>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</si>
  <si>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</si>
  <si>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</si>
  <si>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</si>
  <si>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</si>
  <si>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</si>
  <si>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</si>
  <si>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</si>
  <si>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</si>
  <si>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</si>
  <si>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</si>
  <si>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</si>
  <si>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</si>
  <si>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</si>
  <si>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</si>
  <si>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</si>
  <si>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</si>
  <si>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</si>
  <si>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</si>
  <si>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</si>
  <si>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</si>
  <si>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</si>
  <si>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</si>
  <si>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</si>
  <si>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</si>
  <si>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</si>
  <si>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</si>
  <si>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</si>
  <si>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</si>
  <si>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</si>
  <si>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</si>
  <si>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</si>
  <si>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</si>
  <si>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</si>
  <si>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</si>
  <si>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</si>
  <si>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</si>
  <si>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</si>
  <si>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</si>
  <si>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</si>
  <si>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</si>
  <si>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</si>
  <si>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</si>
  <si>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</si>
  <si>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</si>
  <si>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</si>
  <si>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</si>
  <si>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</si>
  <si>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</si>
  <si>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</si>
  <si>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</si>
  <si>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</si>
  <si>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</si>
  <si>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</si>
  <si>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</si>
  <si>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</si>
  <si>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</si>
  <si>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</si>
  <si>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</si>
  <si>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</si>
  <si>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</si>
  <si>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</si>
  <si>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</si>
  <si>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</si>
  <si>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</si>
  <si>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</si>
  <si>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</si>
  <si>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</si>
  <si>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</si>
  <si>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</si>
  <si>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</si>
  <si>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</si>
  <si>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</si>
  <si>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</si>
  <si>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</si>
  <si>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</si>
  <si>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</si>
  <si>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</si>
  <si>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</si>
  <si>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</si>
  <si>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</si>
  <si>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</si>
  <si>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</si>
  <si>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</si>
  <si>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</si>
  <si>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</si>
  <si>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</si>
  <si>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</si>
  <si>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</si>
  <si>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</si>
  <si>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</si>
  <si>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</si>
  <si>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</si>
  <si>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</si>
  <si>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</si>
  <si>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</si>
  <si>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</si>
  <si>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</si>
  <si>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</si>
  <si>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</si>
  <si>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</si>
  <si>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</si>
  <si>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</si>
  <si>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</si>
  <si>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</si>
  <si>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</si>
  <si>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</si>
  <si>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</si>
  <si>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</si>
  <si>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</si>
  <si>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</si>
  <si>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</si>
  <si>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</si>
  <si>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</si>
  <si>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</si>
  <si>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</si>
  <si>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</si>
  <si>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</si>
  <si>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</si>
  <si>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</si>
  <si>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</si>
  <si>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</si>
  <si>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</si>
  <si>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</si>
  <si>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</si>
  <si>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</si>
  <si>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</si>
  <si>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</si>
  <si>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</si>
  <si>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</si>
  <si>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</si>
  <si>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</si>
  <si>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</si>
  <si>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</si>
  <si>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</si>
  <si>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</si>
  <si>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</si>
  <si>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</si>
  <si>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</si>
  <si>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</si>
  <si>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</si>
  <si>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</si>
  <si>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</si>
  <si>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</si>
  <si>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</si>
  <si>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</si>
  <si>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</si>
  <si>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</si>
  <si>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</si>
  <si>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</si>
  <si>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</si>
  <si>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</si>
  <si>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</si>
  <si>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</si>
  <si>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</si>
  <si>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</si>
  <si>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</si>
  <si>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</si>
  <si>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</si>
  <si>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</si>
  <si>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</si>
  <si>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</si>
  <si>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</si>
  <si>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</si>
  <si>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</si>
  <si>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</si>
  <si>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</si>
  <si>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</si>
  <si>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</si>
  <si>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</si>
  <si>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</si>
  <si>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</si>
  <si>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</si>
  <si>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</si>
  <si>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</si>
  <si>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</si>
  <si>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</si>
  <si>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</si>
  <si>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</si>
  <si>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</si>
  <si>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</si>
  <si>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</si>
  <si>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</si>
  <si>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</si>
  <si>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</si>
  <si>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</si>
  <si>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</si>
  <si>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</si>
  <si>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</si>
  <si>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</si>
  <si>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</si>
  <si>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</si>
  <si>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</si>
  <si>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</si>
  <si>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</si>
  <si>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</si>
  <si>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</si>
  <si>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</si>
  <si>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</si>
  <si>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</si>
  <si>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</si>
  <si>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</si>
  <si>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</si>
  <si>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</si>
  <si>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</si>
  <si>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</si>
  <si>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</si>
  <si>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</si>
  <si>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</si>
  <si>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</si>
  <si>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</si>
  <si>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</si>
  <si>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</si>
  <si>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</si>
  <si>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</si>
  <si>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</si>
  <si>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</si>
  <si>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</si>
  <si>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</si>
  <si>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</si>
  <si>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</si>
  <si>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</si>
  <si>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</si>
  <si>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</si>
  <si>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</si>
  <si>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</si>
  <si>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</si>
  <si>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</si>
  <si>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</si>
  <si>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</si>
  <si>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</si>
  <si>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</si>
  <si>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</si>
  <si>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</si>
  <si>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</si>
  <si>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</si>
  <si>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</si>
  <si>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</si>
  <si>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</si>
  <si>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</si>
  <si>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</si>
  <si>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</si>
  <si>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</si>
  <si>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</si>
  <si>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</si>
  <si>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</si>
  <si>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</si>
  <si>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</si>
  <si>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</si>
  <si>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</si>
  <si>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</si>
  <si>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</si>
  <si>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</si>
  <si>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</si>
  <si>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</si>
  <si>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</si>
  <si>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</si>
  <si>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</si>
  <si>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</si>
  <si>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</si>
  <si>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</si>
  <si>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</si>
  <si>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</si>
  <si>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</si>
  <si>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</si>
  <si>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</si>
  <si>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</si>
  <si>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</si>
  <si>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</si>
  <si>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</si>
  <si>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</si>
  <si>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</si>
  <si>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</si>
  <si>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</si>
  <si>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</si>
  <si>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</si>
  <si>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</si>
  <si>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</si>
  <si>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</si>
  <si>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</si>
  <si>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</si>
  <si>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</si>
  <si>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</si>
  <si>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</si>
  <si>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</si>
  <si>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</si>
  <si>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</si>
  <si>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</si>
  <si>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</si>
  <si>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</si>
  <si>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</si>
  <si>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</si>
  <si>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</si>
  <si>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</si>
  <si>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</si>
  <si>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</si>
  <si>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</si>
  <si>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</si>
  <si>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</si>
  <si>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</si>
  <si>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</si>
  <si>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</si>
  <si>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</si>
  <si>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</si>
  <si>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</si>
  <si>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</si>
  <si>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</si>
  <si>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</si>
  <si>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</si>
  <si>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</si>
  <si>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</si>
  <si>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</si>
  <si>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</si>
  <si>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</si>
  <si>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</si>
  <si>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</si>
  <si>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</si>
  <si>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</si>
  <si>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</si>
  <si>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</si>
  <si>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</si>
  <si>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</si>
  <si>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</si>
  <si>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</si>
  <si>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</si>
  <si>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</si>
  <si>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</si>
  <si>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</si>
  <si>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</si>
  <si>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</si>
  <si>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</si>
  <si>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</si>
  <si>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</si>
  <si>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</si>
  <si>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</si>
  <si>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</si>
  <si>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</si>
  <si>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</si>
  <si>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</si>
  <si>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</si>
  <si>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</si>
  <si>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</si>
  <si>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</si>
  <si>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</si>
  <si>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</si>
  <si>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</si>
  <si>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</si>
  <si>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</si>
  <si>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</si>
  <si>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</si>
  <si>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</si>
  <si>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</si>
  <si>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</si>
  <si>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</si>
  <si>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</si>
  <si>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</si>
  <si>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</si>
  <si>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</si>
  <si>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</si>
  <si>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</si>
  <si>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</si>
  <si>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</si>
  <si>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</si>
  <si>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</si>
  <si>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</si>
  <si>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</si>
  <si>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</si>
  <si>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</si>
  <si>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</si>
  <si>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</si>
  <si>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</si>
  <si>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</si>
  <si>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</si>
  <si>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</si>
  <si>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</si>
  <si>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</si>
  <si>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</si>
  <si>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</si>
  <si>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</si>
  <si>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</si>
  <si>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</si>
  <si>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</si>
  <si>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</si>
  <si>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</si>
  <si>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</si>
  <si>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</si>
  <si>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</si>
  <si>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</si>
  <si>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</si>
  <si>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</si>
  <si>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</si>
  <si>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</si>
  <si>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</si>
  <si>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</si>
  <si>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</si>
  <si>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</si>
  <si>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</si>
  <si>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</si>
  <si>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</si>
  <si>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</si>
  <si>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</si>
  <si>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</si>
  <si>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</si>
  <si>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</si>
  <si>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</si>
  <si>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</si>
  <si>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</si>
  <si>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</si>
  <si>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</si>
  <si>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</si>
  <si>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</si>
  <si>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</si>
  <si>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</si>
  <si>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</si>
  <si>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</si>
  <si>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</si>
  <si>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</si>
  <si>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</si>
  <si>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</si>
  <si>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</si>
  <si>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</si>
  <si>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</si>
  <si>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</si>
  <si>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</si>
  <si>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</si>
  <si>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</si>
  <si>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</si>
  <si>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</si>
  <si>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</si>
  <si>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</si>
  <si>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</si>
  <si>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</si>
  <si>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</si>
  <si>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</si>
  <si>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</si>
  <si>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</si>
  <si>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</si>
  <si>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</si>
  <si>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</si>
  <si>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</si>
  <si>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</si>
  <si>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</si>
  <si>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</si>
  <si>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</si>
  <si>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</si>
  <si>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</si>
  <si>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</si>
  <si>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</si>
  <si>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</si>
  <si>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</si>
  <si>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</si>
  <si>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</si>
  <si>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</si>
  <si>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</si>
  <si>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</si>
  <si>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</si>
  <si>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</si>
  <si>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</si>
  <si>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</si>
  <si>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</si>
  <si>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</si>
  <si>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</si>
  <si>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</si>
  <si>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</si>
  <si>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</si>
  <si>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</si>
  <si>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</si>
  <si>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</si>
  <si>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</si>
  <si>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</si>
  <si>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</si>
  <si>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</si>
  <si>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</si>
  <si>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</si>
  <si>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</si>
  <si>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</si>
  <si>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</si>
  <si>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</si>
  <si>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</si>
  <si>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</si>
  <si>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</si>
  <si>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</si>
  <si>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</si>
  <si>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</si>
  <si>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</si>
  <si>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</si>
  <si>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</si>
  <si>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</si>
  <si>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</si>
  <si>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</si>
  <si>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</si>
  <si>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</si>
  <si>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</si>
  <si>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</si>
  <si>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</si>
  <si>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</si>
  <si>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</si>
  <si>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</si>
  <si>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</si>
  <si>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</si>
  <si>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</si>
  <si>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</si>
  <si>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</si>
  <si>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</si>
  <si>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</si>
  <si>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</si>
  <si>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</si>
  <si>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</si>
  <si>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</si>
  <si>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</si>
  <si>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</si>
  <si>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</si>
  <si>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</si>
  <si>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</si>
  <si>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</si>
  <si>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</si>
  <si>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</si>
  <si>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</si>
  <si>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</si>
  <si>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</si>
  <si>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</si>
  <si>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</si>
  <si>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</si>
  <si>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</si>
  <si>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</si>
  <si>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</si>
  <si>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</si>
  <si>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</si>
  <si>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</si>
  <si>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</si>
  <si>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</si>
  <si>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</si>
  <si>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</si>
  <si>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</si>
  <si>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</si>
  <si>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</si>
  <si>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</si>
  <si>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</si>
  <si>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</si>
  <si>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</si>
  <si>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</si>
  <si>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</si>
  <si>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</si>
  <si>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</si>
  <si>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</si>
  <si>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</si>
  <si>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</si>
  <si>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</si>
  <si>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</si>
  <si>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</si>
  <si>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</si>
  <si>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</si>
  <si>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</si>
  <si>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</si>
  <si>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</si>
  <si>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</si>
  <si>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</si>
  <si>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</si>
  <si>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</si>
  <si>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</si>
  <si>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</si>
  <si>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</si>
  <si>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</si>
  <si>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</si>
  <si>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</si>
  <si>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</si>
  <si>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</si>
  <si>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</si>
  <si>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</si>
  <si>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</si>
  <si>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</si>
  <si>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</si>
  <si>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</si>
  <si>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</si>
  <si>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</si>
  <si>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</si>
  <si>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</si>
  <si>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</si>
  <si>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</si>
  <si>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</si>
  <si>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</si>
  <si>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</si>
  <si>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</si>
  <si>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</si>
  <si>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</si>
  <si>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</si>
  <si>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</si>
  <si>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</si>
  <si>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</si>
  <si>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</si>
  <si>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</si>
  <si>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</si>
  <si>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</si>
  <si>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</si>
  <si>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</si>
  <si>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</si>
  <si>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</si>
  <si>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</si>
  <si>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</si>
  <si>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</si>
  <si>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</si>
  <si>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</si>
  <si>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</si>
  <si>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</si>
  <si>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</si>
  <si>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</si>
  <si>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</si>
  <si>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</si>
  <si>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</si>
  <si>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</si>
  <si>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</si>
  <si>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</si>
  <si>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</si>
  <si>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</si>
  <si>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</si>
  <si>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</si>
  <si>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</si>
  <si>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</si>
  <si>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</si>
  <si>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</si>
  <si>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</si>
  <si>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</si>
  <si>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</si>
  <si>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</si>
  <si>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</si>
  <si>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</si>
  <si>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</si>
  <si>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</si>
  <si>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</si>
  <si>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</si>
  <si>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</si>
  <si>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</si>
  <si>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</si>
  <si>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</si>
  <si>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</si>
  <si>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</si>
  <si>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</si>
  <si>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</si>
  <si>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</si>
  <si>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</si>
  <si>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</si>
  <si>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</si>
  <si>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</si>
  <si>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</si>
  <si>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</si>
  <si>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</si>
  <si>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</si>
  <si>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</si>
  <si>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</si>
  <si>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</si>
  <si>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</si>
  <si>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</si>
  <si>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</si>
  <si>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</si>
  <si>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</si>
  <si>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</si>
  <si>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</si>
  <si>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</si>
  <si>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</si>
  <si>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</si>
  <si>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</si>
  <si>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</si>
  <si>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</si>
  <si>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</si>
  <si>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</si>
  <si>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</si>
  <si>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</si>
  <si>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</si>
  <si>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</si>
  <si>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</si>
  <si>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</si>
  <si>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</si>
  <si>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</si>
  <si>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</si>
  <si>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</si>
  <si>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</si>
  <si>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</si>
  <si>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</si>
  <si>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</si>
  <si>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</si>
  <si>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</si>
  <si>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</si>
  <si>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</si>
  <si>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</si>
  <si>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</si>
  <si>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</si>
  <si>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</si>
  <si>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</si>
  <si>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</si>
  <si>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</si>
  <si>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</si>
  <si>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</si>
  <si>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</si>
  <si>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</si>
  <si>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</si>
  <si>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</si>
  <si>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</si>
  <si>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</si>
  <si>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</si>
  <si>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</si>
  <si>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</si>
  <si>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</si>
  <si>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</si>
  <si>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</si>
  <si>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</si>
  <si>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</si>
  <si>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</si>
  <si>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</si>
  <si>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</si>
  <si>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</si>
  <si>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</si>
  <si>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</si>
  <si>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</si>
  <si>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</si>
  <si>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</si>
  <si>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</si>
  <si>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</si>
  <si>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</si>
  <si>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</si>
  <si>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</si>
  <si>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</si>
  <si>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</si>
  <si>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</si>
  <si>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</si>
  <si>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</si>
  <si>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</si>
  <si>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</si>
  <si>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</si>
  <si>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</si>
  <si>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</si>
  <si>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</si>
  <si>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</si>
  <si>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</si>
  <si>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</si>
  <si>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</si>
  <si>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</si>
  <si>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</si>
  <si>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</si>
  <si>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</si>
  <si>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</si>
  <si>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</si>
  <si>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</si>
  <si>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</si>
  <si>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</si>
  <si>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</si>
  <si>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</si>
  <si>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</si>
  <si>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</si>
  <si>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</si>
  <si>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</si>
  <si>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</si>
  <si>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</si>
  <si>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</si>
  <si>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</si>
  <si>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</si>
  <si>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</si>
  <si>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</si>
  <si>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</si>
  <si>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</si>
  <si>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</si>
  <si>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</si>
  <si>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</si>
  <si>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</si>
  <si>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</si>
  <si>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</si>
  <si>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</si>
  <si>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</si>
  <si>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</si>
  <si>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</si>
  <si>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</si>
  <si>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</si>
  <si>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</si>
  <si>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</si>
  <si>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</si>
  <si>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</si>
  <si>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</si>
  <si>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</si>
  <si>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</si>
  <si>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</si>
  <si>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</si>
  <si>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</si>
  <si>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</si>
  <si>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</si>
  <si>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</si>
  <si>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</si>
  <si>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</si>
  <si>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</si>
  <si>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</si>
  <si>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</si>
  <si>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</si>
  <si>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</si>
  <si>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</si>
  <si>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</si>
  <si>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</si>
  <si>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</si>
  <si>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</si>
  <si>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</si>
  <si>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</si>
  <si>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</si>
  <si>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</si>
  <si>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</si>
  <si>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</si>
  <si>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</si>
  <si>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</si>
  <si>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</si>
  <si>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</si>
  <si>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</si>
  <si>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</si>
  <si>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</si>
  <si>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</si>
  <si>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</si>
  <si>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</si>
  <si>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</si>
  <si>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</si>
  <si>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</si>
  <si>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</si>
  <si>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</si>
  <si>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</si>
  <si>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</si>
  <si>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</si>
  <si>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</si>
  <si>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</si>
  <si>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</si>
  <si>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</si>
  <si>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</si>
  <si>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</si>
  <si>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</si>
  <si>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</si>
  <si>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</si>
  <si>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</si>
  <si>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</si>
  <si>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</si>
  <si>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</si>
  <si>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</si>
  <si>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</si>
  <si>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</si>
  <si>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</si>
  <si>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</si>
  <si>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</si>
  <si>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</si>
  <si>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</si>
  <si>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</si>
  <si>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</si>
  <si>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</si>
  <si>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</si>
  <si>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</si>
  <si>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</si>
  <si>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</si>
  <si>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</si>
  <si>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</si>
  <si>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</si>
  <si>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</si>
  <si>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</si>
  <si>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</si>
  <si>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</si>
  <si>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</si>
  <si>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</si>
  <si>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</si>
  <si>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</si>
  <si>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</si>
  <si>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</si>
  <si>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</si>
  <si>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</si>
  <si>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</si>
  <si>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</si>
  <si>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</si>
  <si>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</si>
  <si>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</si>
  <si>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</si>
  <si>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</si>
  <si>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</si>
  <si>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</si>
  <si>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</si>
  <si>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</si>
  <si>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</si>
  <si>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</si>
  <si>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</si>
  <si>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</si>
  <si>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</si>
  <si>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</si>
  <si>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</si>
  <si>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</si>
  <si>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</si>
  <si>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</si>
  <si>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</si>
  <si>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</si>
  <si>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</si>
  <si>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</si>
  <si>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</si>
  <si>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</si>
  <si>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</si>
  <si>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</si>
  <si>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</si>
  <si>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</si>
  <si>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</si>
  <si>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</si>
  <si>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</si>
  <si>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</si>
  <si>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</si>
  <si>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</si>
  <si>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</si>
  <si>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</si>
  <si>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</si>
  <si>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</si>
  <si>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</si>
  <si>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</si>
  <si>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</si>
  <si>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</si>
  <si>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</si>
  <si>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</si>
  <si>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</si>
  <si>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</si>
  <si>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</si>
  <si>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</si>
  <si>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</si>
  <si>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</si>
  <si>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</si>
  <si>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</si>
  <si>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</si>
  <si>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</si>
  <si>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</si>
  <si>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</si>
  <si>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</si>
  <si>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</si>
  <si>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</si>
  <si>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</si>
  <si>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</si>
  <si>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</si>
  <si>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</si>
  <si>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</si>
  <si>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</si>
  <si>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</si>
  <si>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</si>
  <si>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</si>
  <si>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</si>
  <si>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</si>
  <si>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</si>
  <si>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</si>
  <si>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</si>
  <si>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</si>
  <si>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</si>
  <si>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</si>
  <si>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</si>
  <si>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</si>
  <si>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</si>
  <si>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</si>
  <si>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</si>
  <si>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</si>
  <si>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</si>
  <si>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</si>
  <si>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</si>
  <si>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</si>
  <si>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</si>
  <si>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</si>
  <si>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</si>
  <si>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</si>
  <si>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</si>
  <si>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</si>
  <si>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</si>
  <si>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</si>
  <si>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</si>
  <si>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</si>
  <si>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</si>
  <si>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</si>
  <si>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</si>
  <si>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</si>
  <si>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</si>
  <si>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</si>
  <si>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</si>
  <si>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</si>
  <si>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</si>
  <si>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</si>
  <si>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</si>
  <si>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</si>
  <si>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</si>
  <si>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</si>
  <si>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</si>
  <si>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</si>
  <si>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</si>
  <si>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</si>
  <si>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</si>
  <si>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</si>
  <si>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</si>
  <si>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</si>
  <si>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</si>
  <si>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</si>
  <si>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</si>
  <si>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</si>
  <si>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</si>
  <si>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</si>
  <si>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</si>
  <si>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</si>
  <si>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</si>
  <si>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</si>
  <si>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</si>
  <si>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</si>
  <si>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</si>
  <si>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</si>
  <si>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</si>
  <si>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</si>
  <si>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</si>
  <si>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</si>
  <si>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</si>
  <si>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</si>
  <si>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</si>
  <si>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</si>
  <si>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</si>
  <si>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</si>
  <si>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</si>
  <si>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</si>
  <si>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</si>
  <si>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</si>
  <si>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</si>
  <si>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</si>
  <si>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</si>
  <si>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</si>
  <si>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</si>
  <si>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</si>
  <si>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</si>
  <si>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</si>
  <si>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</si>
  <si>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</si>
  <si>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</si>
  <si>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</si>
  <si>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</si>
  <si>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</si>
  <si>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</si>
  <si>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</si>
  <si>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</si>
  <si>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</si>
  <si>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</si>
  <si>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</si>
  <si>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</si>
  <si>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</si>
  <si>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</si>
  <si>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</si>
  <si>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</si>
  <si>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</si>
  <si>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</si>
  <si>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</si>
  <si>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</si>
  <si>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</si>
  <si>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</si>
  <si>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</si>
  <si>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</si>
  <si>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</si>
  <si>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</si>
  <si>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</si>
  <si>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</si>
  <si>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</si>
  <si>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</si>
  <si>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</si>
  <si>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</si>
  <si>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</si>
  <si>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</si>
  <si>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</si>
  <si>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</si>
  <si>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</si>
  <si>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</si>
  <si>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</si>
  <si>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</si>
  <si>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</si>
  <si>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</si>
  <si>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</si>
  <si>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</si>
  <si>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</si>
  <si>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</si>
  <si>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</si>
  <si>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</si>
  <si>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</si>
  <si>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</si>
  <si>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</si>
  <si>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</si>
  <si>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</si>
  <si>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</si>
  <si>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</si>
  <si>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</si>
  <si>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</si>
  <si>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</si>
  <si>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</si>
  <si>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</si>
  <si>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</si>
  <si>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</si>
  <si>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</si>
  <si>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</si>
  <si>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</si>
  <si>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</si>
  <si>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</si>
  <si>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</si>
  <si>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</si>
  <si>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</si>
  <si>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</si>
  <si>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</si>
  <si>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</si>
  <si>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</si>
  <si>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</si>
  <si>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</si>
  <si>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</si>
  <si>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</si>
  <si>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</si>
  <si>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</si>
  <si>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</si>
  <si>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</si>
  <si>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</si>
  <si>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</si>
  <si>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</si>
  <si>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</si>
  <si>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</si>
  <si>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</si>
  <si>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</si>
  <si>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</si>
  <si>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</si>
  <si>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</si>
  <si>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</si>
  <si>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</si>
  <si>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</si>
  <si>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</si>
  <si>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</si>
  <si>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</si>
  <si>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</si>
  <si>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</si>
  <si>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</si>
  <si>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</si>
  <si>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</si>
  <si>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</si>
  <si>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</si>
  <si>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</si>
  <si>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</si>
  <si>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</si>
  <si>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</si>
  <si>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</si>
  <si>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</si>
  <si>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</si>
  <si>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</si>
  <si>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</si>
  <si>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</si>
  <si>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</si>
  <si>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</si>
  <si>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</si>
  <si>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</si>
  <si>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</si>
  <si>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</si>
  <si>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</si>
  <si>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</si>
  <si>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</si>
  <si>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</si>
  <si>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</si>
  <si>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</si>
  <si>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</si>
  <si>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</si>
  <si>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</si>
  <si>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</si>
  <si>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</si>
  <si>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</si>
  <si>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</si>
  <si>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</si>
  <si>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</si>
  <si>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</si>
  <si>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</si>
  <si>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</si>
  <si>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</si>
  <si>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</si>
  <si>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</si>
  <si>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</si>
  <si>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</si>
  <si>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</si>
  <si>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</si>
  <si>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</si>
  <si>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</si>
  <si>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</si>
  <si>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</si>
  <si>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</si>
  <si>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</si>
  <si>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</si>
  <si>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</si>
  <si>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</si>
  <si>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</si>
  <si>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</si>
  <si>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</si>
  <si>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</si>
  <si>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</si>
  <si>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</si>
  <si>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</si>
  <si>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</si>
  <si>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</si>
  <si>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</si>
  <si>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</si>
  <si>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</si>
  <si>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</si>
  <si>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</si>
  <si>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</si>
  <si>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</si>
  <si>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</si>
  <si>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</si>
  <si>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</si>
  <si>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</si>
  <si>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</si>
  <si>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</si>
  <si>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</si>
  <si>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</si>
  <si>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</si>
  <si>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</si>
  <si>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</si>
  <si>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</si>
  <si>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</si>
  <si>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</si>
  <si>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</si>
  <si>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</si>
  <si>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</si>
  <si>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</si>
  <si>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</si>
  <si>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</si>
  <si>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</si>
  <si>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</si>
  <si>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</si>
  <si>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</si>
  <si>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</si>
  <si>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</si>
  <si>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</si>
  <si>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</si>
  <si>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</si>
  <si>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</si>
  <si>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</si>
  <si>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</si>
  <si>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</si>
  <si>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</si>
  <si>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</si>
  <si>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</si>
  <si>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</si>
  <si>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</si>
  <si>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</si>
  <si>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</si>
  <si>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</si>
  <si>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</si>
  <si>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</si>
  <si>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</si>
  <si>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</si>
  <si>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</si>
  <si>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</si>
  <si>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</si>
  <si>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</si>
  <si>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</si>
  <si>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</si>
  <si>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</si>
  <si>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</si>
  <si>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</si>
  <si>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</si>
  <si>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</si>
  <si>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</si>
  <si>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</si>
  <si>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</si>
  <si>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</si>
  <si>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</si>
  <si>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</si>
  <si>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</si>
  <si>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</si>
  <si>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</si>
  <si>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</si>
  <si>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</si>
  <si>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</si>
  <si>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</si>
  <si>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</si>
  <si>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</si>
  <si>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</si>
  <si>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</si>
  <si>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</si>
  <si>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</si>
  <si>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</si>
  <si>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</si>
  <si>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</si>
  <si>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</si>
  <si>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</si>
  <si>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</si>
  <si>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</si>
  <si>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</si>
  <si>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</si>
  <si>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</si>
  <si>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</si>
  <si>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</si>
  <si>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</si>
  <si>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</si>
  <si>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</si>
  <si>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</si>
  <si>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</si>
  <si>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</si>
  <si>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</si>
  <si>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</si>
  <si>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</si>
  <si>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</si>
  <si>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</si>
  <si>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</si>
  <si>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</si>
  <si>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</si>
  <si>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</si>
  <si>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</si>
  <si>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</si>
  <si>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</si>
  <si>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</si>
  <si>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</si>
  <si>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</si>
  <si>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</si>
  <si>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</si>
  <si>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</si>
  <si>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</si>
  <si>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</si>
  <si>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</si>
  <si>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</si>
  <si>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</si>
  <si>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</si>
  <si>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</si>
  <si>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</si>
  <si>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</si>
  <si>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</si>
  <si>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</si>
  <si>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</si>
  <si>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</si>
  <si>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</si>
  <si>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</si>
  <si>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</si>
  <si>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</si>
  <si>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</si>
  <si>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</si>
  <si>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</si>
  <si>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</si>
  <si>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</si>
  <si>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</si>
  <si>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</si>
  <si>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</si>
  <si>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</si>
  <si>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</si>
  <si>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</si>
  <si>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</si>
  <si>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</si>
  <si>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</si>
  <si>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</si>
  <si>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</si>
  <si>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</si>
  <si>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</si>
  <si>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</si>
  <si>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</si>
  <si>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</si>
  <si>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</si>
  <si>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</si>
  <si>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</si>
  <si>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</si>
  <si>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</si>
  <si>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</si>
  <si>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</si>
  <si>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</si>
  <si>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</si>
  <si>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</si>
  <si>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</si>
  <si>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</si>
  <si>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</si>
  <si>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</si>
  <si>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</si>
  <si>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</si>
  <si>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</si>
  <si>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</si>
  <si>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</si>
  <si>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</si>
  <si>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</si>
  <si>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</si>
  <si>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</si>
  <si>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</si>
  <si>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</si>
  <si>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</si>
  <si>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</si>
  <si>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</si>
  <si>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</si>
  <si>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</si>
  <si>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</si>
  <si>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</si>
  <si>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</si>
  <si>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</si>
  <si>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</si>
  <si>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</si>
  <si>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</si>
  <si>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</si>
  <si>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</si>
  <si>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</si>
  <si>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</si>
  <si>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</si>
  <si>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</si>
  <si>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</si>
  <si>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</si>
  <si>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</si>
  <si>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</si>
  <si>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</si>
  <si>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</si>
  <si>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</si>
  <si>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</si>
  <si>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</si>
  <si>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</si>
  <si>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</si>
  <si>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</si>
  <si>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</si>
  <si>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</si>
  <si>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</si>
  <si>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</si>
  <si>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</si>
  <si>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</si>
  <si>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</si>
  <si>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</si>
  <si>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</si>
  <si>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</si>
  <si>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</si>
  <si>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</si>
  <si>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</si>
  <si>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</si>
  <si>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</si>
  <si>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</si>
  <si>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</si>
  <si>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</si>
  <si>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</si>
  <si>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</si>
  <si>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</si>
  <si>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</si>
  <si>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</si>
  <si>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</si>
  <si>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</si>
  <si>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</si>
  <si>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</si>
  <si>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</si>
  <si>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</si>
  <si>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</si>
  <si>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</si>
  <si>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</si>
  <si>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</si>
  <si>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</si>
  <si>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</si>
  <si>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</si>
  <si>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</si>
  <si>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</si>
  <si>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</si>
  <si>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</si>
  <si>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</si>
  <si>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</si>
  <si>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</si>
  <si>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</si>
  <si>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</si>
  <si>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</si>
  <si>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</si>
  <si>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</si>
  <si>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</si>
  <si>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</si>
  <si>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</si>
  <si>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</si>
  <si>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</si>
  <si>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</si>
  <si>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</si>
  <si>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</si>
  <si>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</si>
  <si>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</si>
  <si>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</si>
  <si>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</si>
  <si>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</si>
  <si>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</si>
  <si>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</si>
  <si>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</si>
  <si>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</si>
  <si>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</si>
  <si>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</si>
  <si>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</si>
  <si>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</si>
  <si>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</si>
  <si>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</si>
  <si>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</si>
  <si>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</si>
  <si>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</si>
  <si>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</si>
  <si>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</si>
  <si>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</si>
  <si>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</si>
  <si>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</si>
  <si>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</si>
  <si>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</si>
  <si>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</si>
  <si>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</si>
  <si>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</si>
  <si>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</si>
  <si>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</si>
  <si>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</si>
  <si>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</si>
  <si>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</si>
  <si>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</si>
  <si>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</si>
  <si>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</si>
  <si>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</si>
  <si>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</si>
  <si>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</si>
  <si>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</si>
  <si>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</si>
  <si>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</si>
  <si>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</si>
  <si>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</si>
  <si>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</si>
  <si>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</si>
  <si>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</si>
  <si>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</si>
  <si>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</si>
  <si>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</si>
  <si>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</si>
  <si>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</si>
  <si>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</si>
  <si>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</si>
  <si>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</si>
  <si>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</si>
  <si>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</si>
  <si>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</si>
  <si>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</si>
  <si>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</si>
  <si>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</si>
  <si>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</si>
  <si>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</si>
  <si>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</si>
  <si>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</si>
  <si>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</si>
  <si>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</si>
  <si>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</si>
  <si>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</si>
  <si>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</si>
  <si>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</si>
  <si>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</si>
  <si>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</si>
  <si>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</si>
  <si>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</si>
  <si>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</si>
  <si>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</si>
  <si>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</si>
  <si>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</si>
  <si>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</si>
  <si>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</si>
  <si>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</si>
  <si>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</si>
  <si>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</si>
  <si>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</si>
  <si>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</si>
  <si>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</si>
  <si>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</si>
  <si>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</si>
  <si>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</si>
  <si>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</si>
  <si>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</si>
  <si>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</si>
  <si>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</si>
  <si>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</si>
  <si>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</si>
  <si>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</si>
  <si>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</si>
  <si>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</si>
  <si>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</si>
  <si>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</si>
  <si>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</si>
  <si>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</si>
  <si>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</si>
  <si>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</si>
  <si>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</si>
  <si>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</si>
  <si>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</si>
  <si>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</si>
  <si>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</si>
  <si>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</si>
  <si>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</si>
  <si>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</si>
  <si>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</si>
  <si>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</si>
  <si>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</si>
  <si>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</si>
  <si>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</si>
  <si>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</si>
  <si>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</si>
  <si>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</si>
  <si>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</si>
  <si>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</si>
  <si>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</si>
  <si>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</si>
  <si>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</si>
  <si>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</si>
  <si>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</si>
  <si>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</si>
  <si>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</si>
  <si>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</si>
  <si>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</si>
  <si>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</si>
  <si>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</si>
  <si>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</si>
  <si>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</si>
  <si>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</si>
  <si>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</si>
  <si>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</si>
  <si>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</si>
  <si>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</si>
  <si>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</si>
  <si>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</si>
  <si>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</si>
  <si>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</si>
  <si>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</si>
  <si>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</si>
  <si>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</si>
  <si>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</si>
  <si>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</si>
  <si>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</si>
  <si>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</si>
  <si>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</si>
  <si>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</si>
  <si>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</si>
  <si>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</si>
  <si>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</si>
  <si>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</si>
  <si>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</si>
  <si>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</si>
  <si>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</si>
  <si>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</si>
  <si>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</si>
  <si>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</si>
  <si>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</si>
  <si>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</si>
  <si>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</si>
  <si>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</si>
  <si>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</si>
  <si>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</si>
  <si>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</si>
  <si>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</si>
  <si>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</si>
  <si>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</si>
  <si>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</si>
  <si>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</si>
  <si>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</si>
  <si>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</si>
  <si>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</si>
  <si>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</si>
  <si>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</si>
  <si>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</si>
  <si>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</si>
  <si>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</si>
  <si>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</si>
  <si>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</si>
  <si>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</si>
  <si>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</si>
  <si>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</si>
  <si>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</si>
  <si>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</si>
  <si>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</si>
  <si>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</si>
  <si>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</si>
  <si>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</si>
  <si>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</si>
  <si>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</si>
  <si>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</si>
  <si>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</si>
  <si>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</si>
  <si>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</si>
  <si>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</si>
  <si>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</si>
  <si>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</si>
  <si>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</si>
  <si>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</si>
  <si>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</si>
  <si>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</si>
  <si>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</si>
  <si>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</si>
  <si>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</si>
  <si>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</si>
  <si>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</si>
  <si>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</si>
  <si>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</si>
  <si>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</si>
  <si>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</si>
  <si>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</si>
  <si>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</si>
  <si>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</si>
  <si>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</si>
  <si>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</si>
  <si>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</si>
  <si>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</si>
  <si>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</si>
  <si>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</si>
  <si>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</si>
  <si>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</si>
  <si>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</si>
  <si>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</si>
  <si>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</si>
  <si>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</si>
  <si>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</si>
  <si>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</si>
  <si>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</si>
  <si>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</si>
  <si>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</si>
  <si>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</si>
  <si>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</si>
  <si>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</si>
  <si>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</si>
  <si>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</si>
  <si>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</si>
  <si>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</si>
  <si>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</si>
  <si>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</si>
  <si>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</si>
  <si>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</si>
  <si>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</si>
  <si>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</si>
  <si>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</si>
  <si>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</si>
  <si>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</si>
  <si>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</si>
  <si>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</si>
  <si>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</si>
  <si>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</si>
  <si>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</si>
  <si>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</si>
  <si>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</si>
  <si>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</si>
  <si>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</si>
  <si>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</si>
  <si>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</si>
  <si>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</si>
  <si>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</si>
  <si>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</si>
  <si>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</si>
  <si>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</si>
  <si>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</si>
  <si>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</si>
  <si>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</si>
  <si>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</si>
  <si>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</si>
  <si>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</si>
  <si>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</si>
  <si>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</si>
  <si>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</si>
  <si>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</si>
  <si>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</si>
  <si>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</si>
  <si>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</si>
  <si>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</si>
  <si>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</si>
  <si>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</si>
  <si>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</si>
  <si>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</si>
  <si>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</si>
  <si>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</si>
  <si>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</si>
  <si>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</si>
  <si>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</si>
  <si>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</si>
  <si>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</si>
  <si>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</si>
  <si>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</si>
  <si>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</si>
  <si>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</si>
  <si>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</si>
  <si>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</si>
  <si>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</si>
  <si>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</si>
  <si>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</si>
  <si>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</si>
  <si>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</si>
  <si>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</si>
  <si>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</si>
  <si>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</si>
  <si>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</si>
  <si>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</si>
  <si>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</si>
  <si>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</si>
  <si>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</si>
  <si>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</si>
  <si>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</si>
  <si>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</si>
  <si>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</si>
  <si>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</si>
  <si>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</si>
  <si>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</si>
  <si>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</si>
  <si>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</si>
  <si>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</si>
  <si>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</si>
  <si>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</si>
  <si>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</si>
  <si>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</si>
  <si>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</si>
  <si>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</si>
  <si>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</si>
  <si>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</si>
  <si>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</si>
  <si>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</si>
  <si>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</si>
  <si>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</si>
  <si>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</si>
  <si>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</si>
  <si>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</si>
  <si>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</si>
  <si>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</si>
  <si>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</si>
  <si>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</si>
  <si>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</si>
  <si>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</si>
  <si>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</si>
  <si>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</si>
  <si>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</si>
  <si>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</si>
  <si>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</si>
  <si>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</si>
  <si>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</si>
  <si>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</si>
  <si>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</si>
  <si>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</si>
  <si>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</si>
  <si>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</si>
  <si>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</si>
  <si>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</si>
  <si>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</si>
  <si>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</si>
  <si>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</si>
  <si>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</si>
  <si>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</si>
  <si>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</si>
  <si>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</si>
  <si>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</si>
  <si>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</si>
  <si>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</si>
  <si>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</si>
  <si>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</si>
  <si>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</si>
  <si>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</si>
  <si>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</si>
  <si>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</si>
  <si>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</si>
  <si>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</si>
  <si>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</si>
  <si>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</si>
  <si>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</si>
  <si>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</si>
  <si>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</si>
  <si>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</si>
  <si>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</si>
  <si>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</si>
  <si>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</si>
  <si>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</si>
  <si>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</si>
  <si>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</si>
  <si>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</si>
  <si>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</si>
  <si>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</si>
  <si>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</si>
  <si>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</si>
  <si>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</si>
  <si>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</si>
  <si>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</si>
  <si>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</si>
  <si>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</si>
  <si>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</si>
  <si>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</si>
  <si>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</si>
  <si>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</si>
  <si>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</si>
  <si>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</si>
  <si>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</si>
  <si>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</si>
  <si>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</si>
  <si>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</si>
  <si>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</si>
  <si>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</si>
  <si>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</si>
  <si>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</si>
  <si>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</si>
  <si>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</si>
  <si>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</si>
  <si>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</si>
  <si>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</si>
  <si>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</si>
  <si>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</si>
  <si>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</si>
  <si>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</si>
  <si>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</si>
  <si>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</si>
  <si>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</si>
  <si>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</si>
  <si>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</si>
  <si>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</si>
  <si>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</si>
  <si>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</si>
  <si>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</si>
  <si>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</si>
  <si>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</si>
  <si>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</si>
  <si>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</si>
  <si>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</si>
  <si>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</si>
  <si>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</si>
  <si>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</si>
  <si>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</si>
  <si>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</si>
  <si>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</si>
  <si>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</si>
  <si>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</si>
  <si>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</si>
  <si>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</si>
  <si>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</si>
  <si>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</si>
  <si>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</si>
  <si>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</si>
  <si>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</si>
  <si>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</si>
  <si>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</si>
  <si>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</si>
  <si>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</si>
  <si>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</si>
  <si>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</si>
  <si>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</si>
  <si>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</si>
  <si>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</si>
  <si>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</si>
  <si>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</si>
  <si>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</si>
  <si>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</si>
  <si>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</si>
  <si>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</si>
  <si>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</si>
  <si>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</si>
  <si>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</si>
  <si>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</si>
  <si>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</si>
  <si>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</si>
  <si>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</si>
  <si>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</si>
  <si>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</si>
  <si>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</si>
  <si>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</si>
  <si>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</si>
  <si>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</si>
  <si>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</si>
  <si>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</si>
  <si>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</si>
  <si>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</si>
  <si>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</si>
  <si>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</si>
  <si>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</si>
  <si>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</si>
  <si>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</si>
  <si>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</si>
  <si>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</si>
  <si>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</si>
  <si>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</si>
  <si>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</si>
  <si>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</si>
  <si>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</si>
  <si>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</si>
  <si>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</si>
  <si>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</si>
  <si>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</si>
  <si>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</si>
  <si>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</si>
  <si>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</si>
  <si>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</si>
  <si>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</si>
  <si>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</si>
  <si>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</si>
  <si>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</si>
  <si>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</si>
  <si>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</si>
  <si>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</si>
  <si>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</si>
  <si>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</si>
  <si>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</si>
  <si>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</si>
  <si>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</si>
  <si>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</si>
  <si>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</si>
  <si>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</si>
  <si>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</si>
  <si>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</si>
  <si>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</si>
  <si>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</si>
  <si>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</si>
  <si>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</si>
  <si>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</si>
  <si>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</si>
  <si>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</si>
  <si>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</si>
  <si>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</si>
  <si>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</si>
  <si>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</si>
  <si>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</si>
  <si>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</si>
  <si>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</si>
  <si>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</si>
  <si>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</si>
  <si>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</si>
  <si>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</si>
  <si>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</si>
  <si>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</si>
  <si>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</si>
  <si>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</si>
  <si>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</si>
  <si>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</si>
  <si>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</si>
  <si>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</si>
  <si>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</si>
  <si>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</si>
  <si>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</si>
  <si>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</si>
  <si>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</si>
  <si>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</si>
  <si>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</si>
  <si>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</si>
  <si>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</si>
  <si>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</si>
  <si>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</si>
  <si>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</si>
  <si>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</si>
  <si>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</si>
  <si>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</si>
  <si>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</si>
  <si>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</si>
  <si>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</si>
  <si>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</si>
  <si>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</si>
  <si>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</si>
  <si>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</si>
  <si>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</si>
  <si>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</si>
  <si>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</si>
  <si>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</si>
  <si>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</si>
  <si>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</si>
  <si>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</si>
  <si>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</si>
  <si>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</si>
  <si>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</si>
  <si>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</si>
  <si>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</si>
  <si>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</si>
  <si>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</si>
  <si>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</si>
  <si>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</si>
  <si>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</si>
  <si>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</si>
  <si>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</si>
  <si>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</si>
  <si>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</si>
  <si>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</si>
  <si>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</si>
  <si>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</si>
  <si>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</si>
  <si>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</si>
  <si>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</si>
  <si>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</si>
  <si>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</si>
  <si>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</si>
  <si>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</si>
  <si>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</si>
  <si>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</si>
  <si>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</si>
  <si>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</si>
  <si>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</si>
  <si>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</si>
  <si>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</si>
  <si>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</si>
  <si>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</si>
  <si>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</si>
  <si>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</si>
  <si>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</si>
  <si>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</si>
  <si>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</si>
  <si>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</si>
  <si>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</si>
  <si>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</si>
  <si>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</si>
  <si>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</si>
  <si>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</si>
  <si>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</si>
  <si>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</si>
  <si>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</si>
  <si>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</si>
  <si>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</si>
  <si>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</si>
  <si>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</si>
  <si>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</si>
  <si>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</si>
  <si>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</si>
  <si>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</si>
  <si>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</si>
  <si>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</si>
  <si>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</si>
  <si>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</si>
  <si>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</si>
  <si>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</si>
  <si>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</si>
  <si>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</si>
  <si>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</si>
  <si>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</si>
  <si>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</si>
  <si>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</si>
  <si>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</si>
  <si>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</si>
  <si>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</si>
  <si>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</si>
  <si>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</si>
  <si>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</si>
  <si>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</si>
  <si>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</si>
  <si>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</si>
  <si>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</si>
  <si>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</si>
  <si>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</si>
  <si>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</si>
  <si>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</si>
  <si>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</si>
  <si>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</si>
  <si>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</si>
  <si>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</si>
  <si>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</si>
  <si>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</si>
  <si>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</si>
  <si>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</si>
  <si>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</si>
  <si>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</si>
  <si>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</si>
  <si>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</si>
  <si>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</si>
  <si>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</si>
  <si>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</si>
  <si>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</si>
  <si>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</si>
  <si>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</si>
  <si>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</si>
  <si>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</si>
  <si>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</si>
  <si>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</si>
  <si>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</si>
  <si>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</si>
  <si>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</si>
  <si>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</si>
  <si>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</si>
  <si>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</si>
  <si>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</si>
  <si>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</si>
  <si>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</si>
  <si>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</si>
  <si>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</si>
  <si>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</si>
  <si>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</si>
  <si>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</si>
  <si>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</si>
  <si>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</si>
  <si>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</si>
  <si>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</si>
  <si>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</si>
  <si>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</si>
  <si>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</si>
  <si>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</si>
  <si>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</si>
  <si>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</si>
  <si>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</si>
  <si>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</si>
  <si>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</si>
  <si>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</si>
  <si>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</si>
  <si>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</si>
  <si>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</si>
  <si>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</si>
  <si>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</si>
  <si>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</si>
  <si>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</si>
  <si>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</si>
  <si>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</si>
  <si>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</si>
  <si>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</si>
  <si>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</si>
  <si>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</si>
  <si>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</si>
  <si>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</si>
  <si>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</si>
  <si>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</si>
  <si>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</si>
  <si>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</si>
  <si>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</si>
  <si>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</si>
  <si>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</si>
  <si>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</si>
  <si>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</si>
  <si>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</si>
  <si>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</si>
  <si>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</si>
  <si>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</si>
  <si>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</si>
  <si>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</si>
  <si>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</si>
  <si>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</si>
  <si>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</si>
  <si>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</si>
  <si>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</si>
  <si>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</si>
  <si>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</si>
  <si>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</si>
  <si>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</si>
  <si>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</si>
  <si>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</si>
  <si>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</si>
  <si>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</si>
  <si>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</si>
  <si>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</si>
  <si>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</si>
  <si>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</si>
  <si>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</si>
  <si>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</si>
  <si>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</si>
  <si>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</si>
  <si>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</si>
  <si>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</si>
  <si>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</si>
  <si>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</si>
  <si>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</si>
  <si>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</si>
  <si>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</si>
  <si>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</si>
  <si>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</si>
  <si>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</si>
  <si>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</si>
  <si>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</si>
  <si>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</si>
  <si>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</si>
  <si>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</si>
  <si>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</si>
  <si>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</si>
  <si>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</si>
  <si>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</si>
  <si>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</si>
  <si>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</si>
  <si>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</si>
  <si>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</si>
  <si>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</si>
  <si>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</si>
  <si>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</si>
  <si>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</si>
  <si>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</si>
  <si>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</si>
  <si>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</si>
  <si>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</si>
  <si>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</si>
  <si>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</si>
  <si>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</si>
  <si>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</si>
  <si>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</si>
  <si>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</si>
  <si>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</si>
  <si>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</si>
  <si>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</si>
  <si>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</si>
  <si>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</si>
  <si>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</si>
  <si>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</si>
  <si>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</si>
  <si>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</si>
  <si>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</si>
  <si>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</si>
  <si>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</si>
  <si>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</si>
  <si>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</si>
  <si>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</si>
  <si>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</si>
  <si>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</si>
  <si>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</si>
  <si>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</si>
  <si>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</si>
  <si>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</si>
  <si>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</si>
  <si>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</si>
  <si>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</si>
  <si>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</si>
  <si>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</si>
  <si>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</si>
  <si>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</si>
  <si>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</si>
  <si>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</si>
  <si>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</si>
  <si>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</si>
  <si>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</si>
  <si>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</si>
  <si>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</si>
  <si>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</si>
  <si>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</si>
  <si>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</si>
  <si>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</si>
  <si>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</si>
  <si>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</si>
  <si>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</si>
  <si>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</si>
  <si>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</si>
  <si>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</si>
  <si>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</si>
  <si>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</si>
  <si>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</si>
  <si>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</si>
  <si>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</si>
  <si>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</si>
  <si>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</si>
  <si>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</si>
  <si>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</si>
  <si>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</si>
  <si>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</si>
  <si>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</si>
  <si>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</si>
  <si>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</si>
  <si>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</si>
  <si>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</si>
  <si>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</si>
  <si>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</si>
  <si>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</si>
  <si>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</si>
  <si>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</si>
  <si>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</si>
  <si>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</si>
  <si>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</si>
  <si>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</si>
  <si>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</si>
  <si>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</si>
  <si>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</si>
  <si>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</si>
  <si>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</si>
  <si>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</si>
  <si>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</si>
  <si>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</si>
  <si>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</si>
  <si>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</si>
  <si>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</si>
  <si>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</si>
  <si>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</si>
  <si>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</si>
  <si>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</si>
  <si>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</si>
  <si>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</si>
  <si>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</si>
  <si>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</si>
  <si>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</si>
  <si>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</si>
  <si>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</si>
  <si>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</si>
  <si>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</si>
  <si>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</si>
  <si>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</si>
  <si>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</si>
  <si>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</si>
  <si>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</si>
  <si>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</si>
  <si>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</si>
  <si>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</si>
  <si>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</si>
  <si>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</si>
  <si>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</si>
  <si>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</si>
  <si>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</si>
  <si>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</si>
  <si>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</si>
  <si>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</si>
  <si>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</si>
  <si>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</si>
  <si>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</si>
  <si>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</si>
  <si>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</si>
  <si>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</si>
  <si>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</si>
  <si>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</si>
  <si>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</si>
  <si>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</si>
  <si>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</si>
  <si>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</si>
  <si>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</si>
  <si>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</si>
  <si>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</si>
  <si>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</si>
  <si>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</si>
  <si>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</si>
  <si>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</si>
  <si>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</si>
  <si>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</si>
  <si>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</si>
  <si>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</si>
  <si>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</si>
  <si>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</si>
  <si>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</si>
  <si>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</si>
  <si>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</si>
  <si>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</si>
  <si>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</si>
  <si>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</si>
  <si>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</si>
  <si>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</si>
  <si>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</si>
  <si>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</si>
  <si>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</si>
  <si>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</si>
  <si>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</si>
  <si>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</si>
  <si>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</si>
  <si>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</si>
  <si>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</si>
  <si>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</si>
  <si>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</si>
  <si>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</si>
  <si>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</si>
  <si>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</si>
  <si>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</si>
  <si>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</si>
  <si>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</si>
  <si>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</si>
  <si>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</si>
  <si>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</si>
  <si>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</si>
  <si>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</si>
  <si>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</si>
  <si>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</si>
  <si>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</si>
  <si>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</si>
  <si>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</si>
  <si>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</si>
  <si>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</si>
  <si>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</si>
  <si>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</si>
  <si>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</si>
  <si>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</si>
  <si>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</si>
  <si>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</si>
  <si>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</si>
  <si>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</si>
  <si>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</si>
  <si>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</si>
  <si>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</si>
  <si>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</si>
  <si>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</si>
  <si>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</si>
  <si>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</si>
  <si>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</si>
  <si>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</si>
  <si>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</si>
  <si>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</si>
  <si>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</si>
  <si>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</si>
  <si>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</si>
  <si>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</si>
  <si>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</si>
  <si>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</si>
  <si>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</si>
  <si>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</si>
  <si>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</si>
  <si>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</si>
  <si>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</si>
  <si>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</si>
  <si>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</si>
  <si>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</si>
  <si>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</si>
  <si>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</si>
  <si>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</si>
  <si>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</si>
  <si>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</si>
  <si>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</si>
  <si>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</si>
  <si>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</si>
  <si>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</si>
  <si>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</si>
  <si>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</si>
  <si>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</si>
  <si>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</si>
  <si>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</si>
  <si>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</si>
  <si>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</si>
  <si>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</si>
  <si>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</si>
  <si>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</si>
  <si>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</si>
  <si>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</si>
  <si>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</si>
  <si>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</si>
  <si>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</si>
  <si>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</si>
  <si>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</si>
  <si>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</si>
  <si>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</si>
  <si>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</si>
  <si>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</si>
  <si>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</si>
  <si>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</si>
  <si>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</si>
  <si>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</si>
  <si>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</si>
  <si>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</si>
  <si>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</si>
  <si>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</si>
  <si>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</si>
  <si>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</si>
  <si>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</si>
  <si>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</si>
  <si>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</si>
  <si>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</si>
  <si>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</si>
  <si>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</si>
  <si>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</si>
  <si>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</si>
  <si>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</si>
  <si>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</si>
  <si>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</si>
  <si>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</si>
  <si>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</si>
  <si>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</si>
  <si>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</si>
  <si>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</si>
  <si>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</si>
  <si>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</si>
  <si>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</si>
  <si>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</si>
  <si>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</si>
  <si>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</si>
  <si>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</si>
  <si>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</si>
  <si>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</si>
  <si>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</si>
  <si>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</si>
  <si>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</si>
  <si>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</si>
  <si>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</si>
  <si>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</si>
  <si>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</si>
  <si>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</si>
  <si>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</si>
  <si>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</si>
  <si>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</si>
  <si>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</si>
  <si>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</si>
  <si>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</si>
  <si>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</si>
  <si>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</si>
  <si>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</si>
  <si>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</si>
  <si>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</si>
  <si>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</si>
  <si>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</si>
  <si>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</si>
  <si>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</si>
  <si>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</si>
  <si>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</si>
  <si>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</si>
  <si>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</si>
  <si>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</si>
  <si>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</si>
  <si>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</si>
  <si>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</si>
  <si>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</si>
  <si>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</si>
  <si>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</si>
  <si>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</si>
  <si>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</si>
  <si>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</si>
  <si>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</si>
  <si>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</si>
  <si>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</si>
  <si>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</si>
  <si>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</si>
  <si>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</si>
  <si>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</si>
  <si>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</si>
  <si>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</si>
  <si>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</si>
  <si>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</si>
  <si>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</si>
  <si>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</si>
  <si>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</si>
  <si>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</si>
  <si>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</si>
  <si>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</si>
  <si>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</si>
  <si>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</si>
  <si>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</si>
  <si>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</si>
  <si>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</si>
  <si>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</si>
  <si>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</si>
  <si>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</si>
  <si>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</si>
  <si>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</si>
  <si>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</si>
  <si>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</si>
  <si>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</si>
  <si>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</si>
  <si>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</si>
  <si>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</si>
  <si>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</si>
  <si>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</si>
  <si>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</si>
  <si>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</si>
  <si>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</si>
  <si>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</si>
  <si>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</si>
  <si>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</si>
  <si>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</si>
  <si>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</si>
  <si>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</si>
  <si>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</si>
  <si>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</si>
  <si>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</si>
  <si>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</si>
  <si>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</si>
  <si>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</si>
  <si>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</si>
  <si>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</si>
  <si>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</si>
  <si>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</si>
  <si>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</si>
  <si>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</si>
  <si>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</si>
  <si>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</si>
  <si>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</si>
  <si>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</si>
  <si>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</si>
  <si>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</si>
  <si>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</si>
  <si>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</si>
  <si>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</si>
  <si>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</si>
  <si>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</si>
  <si>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</si>
  <si>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</si>
  <si>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</si>
  <si>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</si>
  <si>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</si>
  <si>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</si>
  <si>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</si>
  <si>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</si>
  <si>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</si>
  <si>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</si>
  <si>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</si>
  <si>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</si>
  <si>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</si>
  <si>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</si>
  <si>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</si>
  <si>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</si>
  <si>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</si>
  <si>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</si>
  <si>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</si>
  <si>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</si>
  <si>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</si>
  <si>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</si>
  <si>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</si>
  <si>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</si>
  <si>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</si>
  <si>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</si>
  <si>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</si>
  <si>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</si>
  <si>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</si>
  <si>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</si>
  <si>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</si>
  <si>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</si>
  <si>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</si>
  <si>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</si>
  <si>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</si>
  <si>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</si>
  <si>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</si>
  <si>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</si>
  <si>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</si>
  <si>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</si>
  <si>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</si>
  <si>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</si>
  <si>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</si>
  <si>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</si>
  <si>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</si>
  <si>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</si>
  <si>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</si>
  <si>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</si>
  <si>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</si>
  <si>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</si>
  <si>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</si>
  <si>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</si>
  <si>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</si>
  <si>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</si>
  <si>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</si>
  <si>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</si>
  <si>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</si>
  <si>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</si>
  <si>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</si>
  <si>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</si>
  <si>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</si>
  <si>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</si>
  <si>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</si>
  <si>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</si>
  <si>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</si>
  <si>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</si>
  <si>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</si>
  <si>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</si>
  <si>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</si>
  <si>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</si>
  <si>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</si>
  <si>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</si>
  <si>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</si>
  <si>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</si>
  <si>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</si>
  <si>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</si>
  <si>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</si>
  <si>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</si>
  <si>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</si>
  <si>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</si>
  <si>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</si>
  <si>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</si>
  <si>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</si>
  <si>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</si>
  <si>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</si>
  <si>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</si>
  <si>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</si>
  <si>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</si>
  <si>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</si>
  <si>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</si>
  <si>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</si>
  <si>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</si>
  <si>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</si>
  <si>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</si>
  <si>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</si>
  <si>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</si>
  <si>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</si>
  <si>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</si>
  <si>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</si>
  <si>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</si>
  <si>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</si>
  <si>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</si>
  <si>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</si>
  <si>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</si>
  <si>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</si>
  <si>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</si>
  <si>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</si>
  <si>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</si>
  <si>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</si>
  <si>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</si>
  <si>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</si>
  <si>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</si>
  <si>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</si>
  <si>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</si>
  <si>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</si>
  <si>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</si>
  <si>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</si>
  <si>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</si>
  <si>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</si>
  <si>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</si>
  <si>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</si>
  <si>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</si>
  <si>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</si>
  <si>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</si>
  <si>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</si>
  <si>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</si>
  <si>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</si>
  <si>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</si>
  <si>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</si>
  <si>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</si>
  <si>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</si>
  <si>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</si>
  <si>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</si>
  <si>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</si>
  <si>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</si>
  <si>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</si>
  <si>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</si>
  <si>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</si>
  <si>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</si>
  <si>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</si>
  <si>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</si>
  <si>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</si>
  <si>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</si>
  <si>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</si>
  <si>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</si>
  <si>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</si>
  <si>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</si>
  <si>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</si>
  <si>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</si>
  <si>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</si>
  <si>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</si>
  <si>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</si>
  <si>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</si>
  <si>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</si>
  <si>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</si>
  <si>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</si>
  <si>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</si>
  <si>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</si>
  <si>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</si>
  <si>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</si>
  <si>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</si>
  <si>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</si>
  <si>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</si>
  <si>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</si>
  <si>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</si>
  <si>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</si>
  <si>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</si>
  <si>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</si>
  <si>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</si>
  <si>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</si>
  <si>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</si>
  <si>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</si>
  <si>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</si>
  <si>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</si>
  <si>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</si>
  <si>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</si>
  <si>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</si>
  <si>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</si>
  <si>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</si>
  <si>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</si>
  <si>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</si>
  <si>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</si>
  <si>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</si>
  <si>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</si>
  <si>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</si>
  <si>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</si>
  <si>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</si>
  <si>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</si>
  <si>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</si>
  <si>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</si>
  <si>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</si>
  <si>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</si>
  <si>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</si>
  <si>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</si>
  <si>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</si>
  <si>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</si>
  <si>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</si>
  <si>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</si>
  <si>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</si>
  <si>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</si>
  <si>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</si>
  <si>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</si>
  <si>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</si>
  <si>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</si>
  <si>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</si>
  <si>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</si>
  <si>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</si>
  <si>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</si>
  <si>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</si>
  <si>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</si>
  <si>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</si>
  <si>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</si>
  <si>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</si>
  <si>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</si>
  <si>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</si>
  <si>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</si>
  <si>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</si>
  <si>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</si>
  <si>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</si>
  <si>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</si>
  <si>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</si>
  <si>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</si>
  <si>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</si>
  <si>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</si>
  <si>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</si>
  <si>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</si>
  <si>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</si>
  <si>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</si>
  <si>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</si>
  <si>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</si>
  <si>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</si>
  <si>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</si>
  <si>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</si>
  <si>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</si>
  <si>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</si>
  <si>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</si>
  <si>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</si>
  <si>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</si>
  <si>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</si>
  <si>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</si>
  <si>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</si>
  <si>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</si>
  <si>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</si>
  <si>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</si>
  <si>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</si>
  <si>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</si>
  <si>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</si>
  <si>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</si>
  <si>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</si>
  <si>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</si>
  <si>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</si>
  <si>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</si>
  <si>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</si>
  <si>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</si>
  <si>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</si>
  <si>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</si>
  <si>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</si>
  <si>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</si>
  <si>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</si>
  <si>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</si>
  <si>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</si>
  <si>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</si>
  <si>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</si>
  <si>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</si>
  <si>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</si>
  <si>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</si>
  <si>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</si>
  <si>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</si>
  <si>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</si>
  <si>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</si>
  <si>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</si>
  <si>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</si>
  <si>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</si>
  <si>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</si>
  <si>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</si>
  <si>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</si>
  <si>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</si>
  <si>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</si>
  <si>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</si>
  <si>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</si>
  <si>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</si>
  <si>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</si>
  <si>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</si>
  <si>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</si>
  <si>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</si>
  <si>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</si>
  <si>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</si>
  <si>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</si>
  <si>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</si>
  <si>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</si>
  <si>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</si>
  <si>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</si>
  <si>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</si>
  <si>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</si>
  <si>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</si>
  <si>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</si>
  <si>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</si>
  <si>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</si>
  <si>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</si>
  <si>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</si>
  <si>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</si>
  <si>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</si>
  <si>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</si>
  <si>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</si>
  <si>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</si>
  <si>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</si>
  <si>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</si>
  <si>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</si>
  <si>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</si>
  <si>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</si>
  <si>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</si>
  <si>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</si>
  <si>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</si>
  <si>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</si>
  <si>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</si>
  <si>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</si>
  <si>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</si>
  <si>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</si>
  <si>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</si>
  <si>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</si>
  <si>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</si>
  <si>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</si>
  <si>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</si>
  <si>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</si>
  <si>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</si>
  <si>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</si>
  <si>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</si>
  <si>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</si>
  <si>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</si>
  <si>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</si>
  <si>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</si>
  <si>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</si>
  <si>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</si>
  <si>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</si>
  <si>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</si>
  <si>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</si>
  <si>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</si>
  <si>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</si>
  <si>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</si>
  <si>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</si>
  <si>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</si>
  <si>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</si>
  <si>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</si>
  <si>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</si>
  <si>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</si>
  <si>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</si>
  <si>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</si>
  <si>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</si>
  <si>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</si>
  <si>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</si>
  <si>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</si>
  <si>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</si>
  <si>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</si>
  <si>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</si>
  <si>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</si>
  <si>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</si>
  <si>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</si>
  <si>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</si>
  <si>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</si>
  <si>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</si>
  <si>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</si>
  <si>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</si>
  <si>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</si>
  <si>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</si>
  <si>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</si>
  <si>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</si>
  <si>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</si>
  <si>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</si>
  <si>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</si>
  <si>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</si>
  <si>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</si>
  <si>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</si>
  <si>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</si>
  <si>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</si>
  <si>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</si>
  <si>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</si>
  <si>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</si>
  <si>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</si>
  <si>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</si>
  <si>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</si>
  <si>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</si>
  <si>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</si>
  <si>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</si>
  <si>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</si>
  <si>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</si>
  <si>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</si>
  <si>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</si>
  <si>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</si>
  <si>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</si>
  <si>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</si>
  <si>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</si>
  <si>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</si>
  <si>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</si>
  <si>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</si>
  <si>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</si>
  <si>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</si>
  <si>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</si>
  <si>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</si>
  <si>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</si>
  <si>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</si>
  <si>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</si>
  <si>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</si>
  <si>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</si>
  <si>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</si>
  <si>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</si>
  <si>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</si>
  <si>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</si>
  <si>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</si>
  <si>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</si>
  <si>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</si>
  <si>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</si>
  <si>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</si>
  <si>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</si>
  <si>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</si>
  <si>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</si>
  <si>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</si>
  <si>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</si>
  <si>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</si>
  <si>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</si>
  <si>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</si>
  <si>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</si>
  <si>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</si>
  <si>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</si>
  <si>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</si>
  <si>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</si>
  <si>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</si>
  <si>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</si>
  <si>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</si>
  <si>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</si>
  <si>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</si>
  <si>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</si>
  <si>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</si>
  <si>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</si>
  <si>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</si>
  <si>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</si>
  <si>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</si>
  <si>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</si>
  <si>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</si>
  <si>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</si>
  <si>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</si>
  <si>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</si>
  <si>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</si>
  <si>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</si>
  <si>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</si>
  <si>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</si>
  <si>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</si>
  <si>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</si>
  <si>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</si>
  <si>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</si>
  <si>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</si>
  <si>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</si>
  <si>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</si>
  <si>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</si>
  <si>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</si>
  <si>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</si>
  <si>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</si>
  <si>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</si>
  <si>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</si>
  <si>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</si>
  <si>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</si>
  <si>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</si>
  <si>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</si>
  <si>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</si>
  <si>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</si>
  <si>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</si>
  <si>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</si>
  <si>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</si>
  <si>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</si>
  <si>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</si>
  <si>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</si>
  <si>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</si>
  <si>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</si>
  <si>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</si>
  <si>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</si>
  <si>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</si>
  <si>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</si>
  <si>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</si>
  <si>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</si>
  <si>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</si>
  <si>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</si>
  <si>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</si>
  <si>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</si>
  <si>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</si>
  <si>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</si>
  <si>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</si>
  <si>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</si>
  <si>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</si>
  <si>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</si>
  <si>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</si>
  <si>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</si>
  <si>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</si>
  <si>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</si>
  <si>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</si>
  <si>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</si>
  <si>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</si>
  <si>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</si>
  <si>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</si>
  <si>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</si>
  <si>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</si>
  <si>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</si>
  <si>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</si>
  <si>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</si>
  <si>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</si>
  <si>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</si>
  <si>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</si>
  <si>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</si>
  <si>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</si>
  <si>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</si>
  <si>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</si>
  <si>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</si>
  <si>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</si>
  <si>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</si>
  <si>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</si>
  <si>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</si>
  <si>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</si>
  <si>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</si>
  <si>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</si>
  <si>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</si>
  <si>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</si>
  <si>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</si>
  <si>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</si>
  <si>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</si>
  <si>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</si>
  <si>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</si>
  <si>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</si>
  <si>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</si>
  <si>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</si>
  <si>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</si>
  <si>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</si>
  <si>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</si>
  <si>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</si>
  <si>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</si>
  <si>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</si>
  <si>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</si>
  <si>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</si>
  <si>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</si>
  <si>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</si>
  <si>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</si>
  <si>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</si>
  <si>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</si>
  <si>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</si>
  <si>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</si>
  <si>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</si>
  <si>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</si>
  <si>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</si>
  <si>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</si>
  <si>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</si>
  <si>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</si>
  <si>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</si>
  <si>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</si>
  <si>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</si>
  <si>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</si>
  <si>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</si>
  <si>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</si>
  <si>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</si>
  <si>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</si>
  <si>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</si>
  <si>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</si>
  <si>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</si>
  <si>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</si>
  <si>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</si>
  <si>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</si>
  <si>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</si>
  <si>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</si>
  <si>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</si>
  <si>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</si>
  <si>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</si>
  <si>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</si>
  <si>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</si>
  <si>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</si>
  <si>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</si>
  <si>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</si>
  <si>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</si>
  <si>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</si>
  <si>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</si>
  <si>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</si>
  <si>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</si>
  <si>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</si>
  <si>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</si>
  <si>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</si>
  <si>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</si>
  <si>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</si>
  <si>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</si>
  <si>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</si>
  <si>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</si>
  <si>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</si>
  <si>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</si>
  <si>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</si>
  <si>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</si>
  <si>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</si>
  <si>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</si>
  <si>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</si>
  <si>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</si>
  <si>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</si>
  <si>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</si>
  <si>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</si>
  <si>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</si>
  <si>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</si>
  <si>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</si>
  <si>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</si>
  <si>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</si>
  <si>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</si>
  <si>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</si>
  <si>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</si>
  <si>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</si>
  <si>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</si>
  <si>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</si>
  <si>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</si>
  <si>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</si>
  <si>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</si>
  <si>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</si>
  <si>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</si>
  <si>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</si>
  <si>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</si>
  <si>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</si>
  <si>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</si>
  <si>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</si>
  <si>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</si>
  <si>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</si>
  <si>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</si>
  <si>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</si>
  <si>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</si>
  <si>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</si>
  <si>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</si>
  <si>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</si>
  <si>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</si>
  <si>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</si>
  <si>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</si>
  <si>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</si>
  <si>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</si>
  <si>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</si>
  <si>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</si>
  <si>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</si>
  <si>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</si>
  <si>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</si>
  <si>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</si>
  <si>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</si>
  <si>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</si>
  <si>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</si>
  <si>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</si>
  <si>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</si>
  <si>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</si>
  <si>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</si>
  <si>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</si>
  <si>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</si>
  <si>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</si>
  <si>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</si>
  <si>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</si>
  <si>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</si>
  <si>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</si>
  <si>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</si>
  <si>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</si>
  <si>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</si>
  <si>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</si>
  <si>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</si>
  <si>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</si>
  <si>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</si>
  <si>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</si>
  <si>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</si>
  <si>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</si>
  <si>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</si>
  <si>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</si>
  <si>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</si>
  <si>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</si>
  <si>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</si>
  <si>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</si>
  <si>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</si>
  <si>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</si>
  <si>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</si>
  <si>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</si>
  <si>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</si>
  <si>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</si>
  <si>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</si>
  <si>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</si>
  <si>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</si>
  <si>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</si>
  <si>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</si>
  <si>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</si>
  <si>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</si>
  <si>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</si>
  <si>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</si>
  <si>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</si>
  <si>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</si>
  <si>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</si>
  <si>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</si>
  <si>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</si>
  <si>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</si>
  <si>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</si>
  <si>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</si>
  <si>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</si>
  <si>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</si>
  <si>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</si>
  <si>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</si>
  <si>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</si>
  <si>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</si>
  <si>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</si>
  <si>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</si>
  <si>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</si>
  <si>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</si>
  <si>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</si>
  <si>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</si>
  <si>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</si>
  <si>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</si>
  <si>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</si>
  <si>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</si>
  <si>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</si>
  <si>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</si>
  <si>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</si>
  <si>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</si>
  <si>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</si>
  <si>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</si>
  <si>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</si>
  <si>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</si>
  <si>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</si>
  <si>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</si>
  <si>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</si>
  <si>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</si>
  <si>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</si>
  <si>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</si>
  <si>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</si>
  <si>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</si>
  <si>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</si>
  <si>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</si>
  <si>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</si>
  <si>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</si>
  <si>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</si>
  <si>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</si>
  <si>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</si>
  <si>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</si>
  <si>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</si>
  <si>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</si>
  <si>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</si>
  <si>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</si>
  <si>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</si>
  <si>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</si>
  <si>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</si>
  <si>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</si>
  <si>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</si>
  <si>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</si>
  <si>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</si>
  <si>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</si>
  <si>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</si>
  <si>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</si>
  <si>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</si>
  <si>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</si>
  <si>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</si>
  <si>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</si>
  <si>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</si>
  <si>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</si>
  <si>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</si>
  <si>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</si>
  <si>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</si>
  <si>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</si>
  <si>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</si>
  <si>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</si>
  <si>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</si>
  <si>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</si>
  <si>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</si>
  <si>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</si>
  <si>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</si>
  <si>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</si>
  <si>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</si>
  <si>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</si>
  <si>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</si>
  <si>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</si>
  <si>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</si>
  <si>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</si>
  <si>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</si>
  <si>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</si>
  <si>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</si>
  <si>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</si>
  <si>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</si>
  <si>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</si>
  <si>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</si>
  <si>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</si>
  <si>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</si>
  <si>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</si>
  <si>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</si>
  <si>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</si>
  <si>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</si>
  <si>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</si>
  <si>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</si>
  <si>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</si>
  <si>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</si>
  <si>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</si>
  <si>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</si>
  <si>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</si>
  <si>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</si>
  <si>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</si>
  <si>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</si>
  <si>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</si>
  <si>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</si>
  <si>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</si>
  <si>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</si>
  <si>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</si>
  <si>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</si>
  <si>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</si>
  <si>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</si>
  <si>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</si>
  <si>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</si>
  <si>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</si>
  <si>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</si>
  <si>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</si>
  <si>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</si>
  <si>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</si>
  <si>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</si>
  <si>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</si>
  <si>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</si>
  <si>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</si>
  <si>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</si>
  <si>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</si>
  <si>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</si>
  <si>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</si>
  <si>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</si>
  <si>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</si>
  <si>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</si>
  <si>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</si>
  <si>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</si>
  <si>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</si>
  <si>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</si>
  <si>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</si>
  <si>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</si>
  <si>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</si>
  <si>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</si>
  <si>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</si>
  <si>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</si>
  <si>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</si>
  <si>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</si>
  <si>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</si>
  <si>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</si>
  <si>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</si>
  <si>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</si>
  <si>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</si>
  <si>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</si>
  <si>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</si>
  <si>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</si>
  <si>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</si>
  <si>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</si>
  <si>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</si>
  <si>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</si>
  <si>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</si>
  <si>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</si>
  <si>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</si>
  <si>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</si>
  <si>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</si>
  <si>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</si>
  <si>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</si>
  <si>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</si>
  <si>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</si>
  <si>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</si>
  <si>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</si>
  <si>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</si>
  <si>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</si>
  <si>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</si>
  <si>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</si>
  <si>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</si>
  <si>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</si>
  <si>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</si>
  <si>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</si>
  <si>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</si>
  <si>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</si>
  <si>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</si>
  <si>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</si>
  <si>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</si>
  <si>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</si>
  <si>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</si>
  <si>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</si>
  <si>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</si>
  <si>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</si>
  <si>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</si>
  <si>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</si>
  <si>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</si>
  <si>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</si>
  <si>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</si>
  <si>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</si>
  <si>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</si>
  <si>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</si>
  <si>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</si>
  <si>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</si>
  <si>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</si>
  <si>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</si>
  <si>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</si>
  <si>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</si>
  <si>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</si>
  <si>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</si>
  <si>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</si>
  <si>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</si>
  <si>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</si>
  <si>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</si>
  <si>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</si>
  <si>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</si>
  <si>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</si>
  <si>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</si>
  <si>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</si>
  <si>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</si>
  <si>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</si>
  <si>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</si>
  <si>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</si>
  <si>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</si>
  <si>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</si>
  <si>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</si>
  <si>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</si>
  <si>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</si>
  <si>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</si>
  <si>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</si>
  <si>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</si>
  <si>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</si>
  <si>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</si>
  <si>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</si>
  <si>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</si>
  <si>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</si>
  <si>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</si>
  <si>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</si>
  <si>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</si>
  <si>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</si>
  <si>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</si>
  <si>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</si>
  <si>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</si>
  <si>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</si>
  <si>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</si>
  <si>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</si>
  <si>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</si>
  <si>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</si>
  <si>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</si>
  <si>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</si>
  <si>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</si>
  <si>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</si>
  <si>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</si>
  <si>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</si>
  <si>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</si>
  <si>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</si>
  <si>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</si>
  <si>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</si>
  <si>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</si>
  <si>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</si>
  <si>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</si>
  <si>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</si>
  <si>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</si>
  <si>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</si>
  <si>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</si>
  <si>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</si>
  <si>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</si>
  <si>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</si>
  <si>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</si>
  <si>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</si>
  <si>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</si>
  <si>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</si>
  <si>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</si>
  <si>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</si>
  <si>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</si>
  <si>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</si>
  <si>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</si>
  <si>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</si>
  <si>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</si>
  <si>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</si>
  <si>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</si>
  <si>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</si>
  <si>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</si>
  <si>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</si>
  <si>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</si>
  <si>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</si>
  <si>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</si>
  <si>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</si>
  <si>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</si>
  <si>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</si>
  <si>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</si>
  <si>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</si>
  <si>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</si>
  <si>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</si>
  <si>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</si>
  <si>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</si>
  <si>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</si>
  <si>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</si>
  <si>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</si>
  <si>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</si>
  <si>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</si>
  <si>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</si>
  <si>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</si>
  <si>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</si>
  <si>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</si>
  <si>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</si>
  <si>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</si>
  <si>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</si>
  <si>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</si>
  <si>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</si>
  <si>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</si>
  <si>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</si>
  <si>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</si>
  <si>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</si>
  <si>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</si>
  <si>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</si>
  <si>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</si>
  <si>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</si>
  <si>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</si>
  <si>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</si>
  <si>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</si>
  <si>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</si>
  <si>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</si>
  <si>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</si>
  <si>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</si>
  <si>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</si>
  <si>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</si>
  <si>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</si>
  <si>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</si>
  <si>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</si>
  <si>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</si>
  <si>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</si>
  <si>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</si>
  <si>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</si>
  <si>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</si>
  <si>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</si>
  <si>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</si>
  <si>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</si>
  <si>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</si>
  <si>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</si>
  <si>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</si>
  <si>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</si>
  <si>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</si>
  <si>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</si>
  <si>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</si>
  <si>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</si>
  <si>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</si>
  <si>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</si>
  <si>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</si>
  <si>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</si>
  <si>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</si>
  <si>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</si>
  <si>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</si>
  <si>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</si>
  <si>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</si>
  <si>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</si>
  <si>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</si>
  <si>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</si>
  <si>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</si>
  <si>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</si>
  <si>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</si>
  <si>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</si>
  <si>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</si>
  <si>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</si>
  <si>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</si>
  <si>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</si>
  <si>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</si>
  <si>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</si>
  <si>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</si>
  <si>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</si>
  <si>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</si>
  <si>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</si>
  <si>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</si>
  <si>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</si>
  <si>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</si>
  <si>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</si>
  <si>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</si>
  <si>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</si>
  <si>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</si>
  <si>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</si>
  <si>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</si>
  <si>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</si>
  <si>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</si>
  <si>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</si>
  <si>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</si>
  <si>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</si>
  <si>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</si>
  <si>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</si>
  <si>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</si>
  <si>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</si>
  <si>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</si>
  <si>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</si>
  <si>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</si>
  <si>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</si>
  <si>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</si>
  <si>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</si>
  <si>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</si>
  <si>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</si>
  <si>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</si>
  <si>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</si>
  <si>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</si>
  <si>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</si>
  <si>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</si>
  <si>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</si>
  <si>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</si>
  <si>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</si>
  <si>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</si>
  <si>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</si>
  <si>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</si>
  <si>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</si>
  <si>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</si>
  <si>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</si>
  <si>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</si>
  <si>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</si>
  <si>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</si>
  <si>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</si>
  <si>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</si>
  <si>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</si>
  <si>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</si>
  <si>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</si>
  <si>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</si>
  <si>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</si>
  <si>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</si>
  <si>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</si>
  <si>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</si>
  <si>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</si>
  <si>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</si>
  <si>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</si>
  <si>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</si>
  <si>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</si>
  <si>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</si>
  <si>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</si>
  <si>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</si>
  <si>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</si>
  <si>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</si>
  <si>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</si>
  <si>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</si>
  <si>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</si>
  <si>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</si>
  <si>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</si>
  <si>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</si>
  <si>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</si>
  <si>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</si>
  <si>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</si>
  <si>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</si>
  <si>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</si>
  <si>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</si>
  <si>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</si>
  <si>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</si>
  <si>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</si>
  <si>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</si>
  <si>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</si>
  <si>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</si>
  <si>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</si>
  <si>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</si>
  <si>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</si>
  <si>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</si>
  <si>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</si>
  <si>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</si>
  <si>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</si>
  <si>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</si>
  <si>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</si>
  <si>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</si>
  <si>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</si>
  <si>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</si>
  <si>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</si>
  <si>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</si>
  <si>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</si>
  <si>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</si>
  <si>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</si>
  <si>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</si>
  <si>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</si>
  <si>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</si>
  <si>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</si>
  <si>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</si>
  <si>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</si>
  <si>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</si>
  <si>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</si>
  <si>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</si>
  <si>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</si>
  <si>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</si>
  <si>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</si>
  <si>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</si>
  <si>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</si>
  <si>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</si>
  <si>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</si>
  <si>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</si>
  <si>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</si>
  <si>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</si>
  <si>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</si>
  <si>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</si>
  <si>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</si>
  <si>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</si>
  <si>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</si>
  <si>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</si>
  <si>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</si>
  <si>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</si>
  <si>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</si>
  <si>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</si>
  <si>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</si>
  <si>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</si>
  <si>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</si>
  <si>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</si>
  <si>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</si>
  <si>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</si>
  <si>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</si>
  <si>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</si>
  <si>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</si>
  <si>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</si>
  <si>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</si>
  <si>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</si>
  <si>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</si>
  <si>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</si>
  <si>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</si>
  <si>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</si>
  <si>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</si>
  <si>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</si>
  <si>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</si>
  <si>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</si>
  <si>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</si>
  <si>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</si>
  <si>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</si>
  <si>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</si>
  <si>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</si>
  <si>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</si>
  <si>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</si>
  <si>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</si>
  <si>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</si>
  <si>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</si>
  <si>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</si>
  <si>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</si>
  <si>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</si>
  <si>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</si>
  <si>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</si>
  <si>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</si>
  <si>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</si>
  <si>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</si>
  <si>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</si>
  <si>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</si>
  <si>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</si>
  <si>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</si>
  <si>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</si>
  <si>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</si>
  <si>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</si>
  <si>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</si>
  <si>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</si>
  <si>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</si>
  <si>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</si>
  <si>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</si>
  <si>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</si>
  <si>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</si>
  <si>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</si>
  <si>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</si>
  <si>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</si>
  <si>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</si>
  <si>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</si>
  <si>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</si>
  <si>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</si>
  <si>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</si>
  <si>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</si>
  <si>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</si>
  <si>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</si>
  <si>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</si>
  <si>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</si>
  <si>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</si>
  <si>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</si>
  <si>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</si>
  <si>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</si>
  <si>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</si>
  <si>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</si>
  <si>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</si>
  <si>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</si>
  <si>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</si>
  <si>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</si>
  <si>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</si>
  <si>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</si>
  <si>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</si>
  <si>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</si>
  <si>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</si>
  <si>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</si>
  <si>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</si>
  <si>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</si>
  <si>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</si>
  <si>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</si>
  <si>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</si>
  <si>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</si>
  <si>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</si>
  <si>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</si>
  <si>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</si>
  <si>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</si>
  <si>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</si>
  <si>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</si>
  <si>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</si>
  <si>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</si>
  <si>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</si>
  <si>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</si>
  <si>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</si>
  <si>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</si>
  <si>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</si>
  <si>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</si>
  <si>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</si>
  <si>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</si>
  <si>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</si>
  <si>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</si>
  <si>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</si>
  <si>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</si>
  <si>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</si>
  <si>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</si>
  <si>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</si>
  <si>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</si>
  <si>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</si>
  <si>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</si>
  <si>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</si>
  <si>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</si>
  <si>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</si>
  <si>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</si>
  <si>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</si>
  <si>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</si>
  <si>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</si>
  <si>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</si>
  <si>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</si>
  <si>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</si>
  <si>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</si>
  <si>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</si>
  <si>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</si>
  <si>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</si>
  <si>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</si>
  <si>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</si>
  <si>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</si>
  <si>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</si>
  <si>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</si>
  <si>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</si>
  <si>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</si>
  <si>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</si>
  <si>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</si>
  <si>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</si>
  <si>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</si>
  <si>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</si>
  <si>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</si>
  <si>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</si>
  <si>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</si>
  <si>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</si>
  <si>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</si>
  <si>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</si>
  <si>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</si>
  <si>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</si>
  <si>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</si>
  <si>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</si>
  <si>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</si>
  <si>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</si>
  <si>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</si>
  <si>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</si>
  <si>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</si>
  <si>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</si>
  <si>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</si>
  <si>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</si>
  <si>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</si>
  <si>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</si>
  <si>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</si>
  <si>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</si>
  <si>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</si>
  <si>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</si>
  <si>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</si>
  <si>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</si>
  <si>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</si>
  <si>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</si>
  <si>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</si>
  <si>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</si>
  <si>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</si>
  <si>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</si>
  <si>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</si>
  <si>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</si>
  <si>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</si>
  <si>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</si>
  <si>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</si>
  <si>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</si>
  <si>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</si>
  <si>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</si>
  <si>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</si>
  <si>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</si>
  <si>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</si>
  <si>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</si>
  <si>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</si>
  <si>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</si>
  <si>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</si>
  <si>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</si>
  <si>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</si>
  <si>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</si>
  <si>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</si>
  <si>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</si>
  <si>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</si>
  <si>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</si>
  <si>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</si>
  <si>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</si>
  <si>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</si>
  <si>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</si>
  <si>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</si>
  <si>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</si>
  <si>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</si>
  <si>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</si>
  <si>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</si>
  <si>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</si>
  <si>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</si>
  <si>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</si>
  <si>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</si>
  <si>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</si>
  <si>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</si>
  <si>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</si>
  <si>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</si>
  <si>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</si>
  <si>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</si>
  <si>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</si>
  <si>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</si>
  <si>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</si>
  <si>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</si>
  <si>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</si>
  <si>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</si>
  <si>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</si>
  <si>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</si>
  <si>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</si>
  <si>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</si>
  <si>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</si>
  <si>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</si>
  <si>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</si>
  <si>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</si>
  <si>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</si>
  <si>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</si>
  <si>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</si>
  <si>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</si>
  <si>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</si>
  <si>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</si>
  <si>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</si>
  <si>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</si>
  <si>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</si>
  <si>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</si>
  <si>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</si>
  <si>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</si>
  <si>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</si>
  <si>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</si>
  <si>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</si>
  <si>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</si>
  <si>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</si>
  <si>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</si>
  <si>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</si>
  <si>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</si>
  <si>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</si>
  <si>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</si>
  <si>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</si>
  <si>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</si>
  <si>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</si>
  <si>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</si>
  <si>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</si>
  <si>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</si>
  <si>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</si>
  <si>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</si>
  <si>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</si>
  <si>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</si>
  <si>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</si>
  <si>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</si>
  <si>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</si>
  <si>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</si>
  <si>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</si>
  <si>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</si>
  <si>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</si>
  <si>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</si>
  <si>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</si>
  <si>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</si>
  <si>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</si>
  <si>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</si>
  <si>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</si>
  <si>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</si>
  <si>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</si>
  <si>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</si>
  <si>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</si>
  <si>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</si>
  <si>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</si>
  <si>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</si>
  <si>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</si>
  <si>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</si>
  <si>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</si>
  <si>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</si>
  <si>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</si>
  <si>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</si>
  <si>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</si>
  <si>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</si>
  <si>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</si>
  <si>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</si>
  <si>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</si>
  <si>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</si>
  <si>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</si>
  <si>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</si>
  <si>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</si>
  <si>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</si>
  <si>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</si>
  <si>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</si>
  <si>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</si>
  <si>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</si>
  <si>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</si>
  <si>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</si>
  <si>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</si>
  <si>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</si>
  <si>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</si>
  <si>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</si>
  <si>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</si>
  <si>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</si>
  <si>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</si>
  <si>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</si>
  <si>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</si>
  <si>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</si>
  <si>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</si>
  <si>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</si>
  <si>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</si>
  <si>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</si>
  <si>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</si>
  <si>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</si>
  <si>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</si>
  <si>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</si>
  <si>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</si>
  <si>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</si>
  <si>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</si>
  <si>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</si>
  <si>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</si>
  <si>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</si>
  <si>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</si>
  <si>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</si>
  <si>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</si>
  <si>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</si>
  <si>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</si>
  <si>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</si>
  <si>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</si>
  <si>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</si>
  <si>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</si>
  <si>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</si>
  <si>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</si>
  <si>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</si>
  <si>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</si>
  <si>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</si>
  <si>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</si>
  <si>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</si>
  <si>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</si>
  <si>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</si>
  <si>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</si>
  <si>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</si>
  <si>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</si>
  <si>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</si>
  <si>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</si>
  <si>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</si>
  <si>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</si>
  <si>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</si>
  <si>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</si>
  <si>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</si>
  <si>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</si>
  <si>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</si>
  <si>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</si>
  <si>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</si>
  <si>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</si>
  <si>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</si>
  <si>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</si>
  <si>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</si>
  <si>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</si>
  <si>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</si>
  <si>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</si>
  <si>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</si>
  <si>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</si>
  <si>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</si>
  <si>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</si>
  <si>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</si>
  <si>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</si>
  <si>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</si>
  <si>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</si>
  <si>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</si>
  <si>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</si>
  <si>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</si>
  <si>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</si>
  <si>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</si>
  <si>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</si>
  <si>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</si>
  <si>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</si>
  <si>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</si>
  <si>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</si>
  <si>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</si>
  <si>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</si>
  <si>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</si>
  <si>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</si>
  <si>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</si>
  <si>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</si>
  <si>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</si>
  <si>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</si>
  <si>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</si>
  <si>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</si>
  <si>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</si>
  <si>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</si>
  <si>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</si>
  <si>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</si>
  <si>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</si>
  <si>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</si>
  <si>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</si>
  <si>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</si>
  <si>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</si>
  <si>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</si>
  <si>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</si>
  <si>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</si>
  <si>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</si>
  <si>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</si>
  <si>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</si>
  <si>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</si>
  <si>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</si>
  <si>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</si>
  <si>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</si>
  <si>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</si>
  <si>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</si>
  <si>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</si>
  <si>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</si>
  <si>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</si>
  <si>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</si>
  <si>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</si>
  <si>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</si>
  <si>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</si>
  <si>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</si>
  <si>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</si>
  <si>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</si>
  <si>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</si>
  <si>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</si>
  <si>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</si>
  <si>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</si>
  <si>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</si>
  <si>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</si>
  <si>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</si>
  <si>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</si>
  <si>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</si>
  <si>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</si>
  <si>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</si>
  <si>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</si>
  <si>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</si>
  <si>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</si>
  <si>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</si>
  <si>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</si>
  <si>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</si>
  <si>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</si>
  <si>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</si>
  <si>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</si>
  <si>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</si>
  <si>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</si>
  <si>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</si>
  <si>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</si>
  <si>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</si>
  <si>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</si>
  <si>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</si>
  <si>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</si>
  <si>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</si>
  <si>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</si>
  <si>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</si>
  <si>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</si>
  <si>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</si>
  <si>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</si>
  <si>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</si>
  <si>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</si>
  <si>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</si>
  <si>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</si>
  <si>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</si>
  <si>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</si>
  <si>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</si>
  <si>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</si>
  <si>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</si>
  <si>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</si>
  <si>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</si>
  <si>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</si>
  <si>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</si>
  <si>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</si>
  <si>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</si>
  <si>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</si>
  <si>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</si>
  <si>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</si>
  <si>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</si>
  <si>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</si>
  <si>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</si>
  <si>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</si>
  <si>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</si>
  <si>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</si>
  <si>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</si>
  <si>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</si>
  <si>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</si>
  <si>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</si>
  <si>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</si>
  <si>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</si>
  <si>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</si>
  <si>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</si>
  <si>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</si>
  <si>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</si>
  <si>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</si>
  <si>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</si>
  <si>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</si>
  <si>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</si>
  <si>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</si>
  <si>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</si>
  <si>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</si>
  <si>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</si>
  <si>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</si>
  <si>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</si>
  <si>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</si>
  <si>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</si>
  <si>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</si>
  <si>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</si>
  <si>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</si>
  <si>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</si>
  <si>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</si>
  <si>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</si>
  <si>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</si>
  <si>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</si>
  <si>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</si>
  <si>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</si>
  <si>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</si>
  <si>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</si>
  <si>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</si>
  <si>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</si>
  <si>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</si>
  <si>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</si>
  <si>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</si>
  <si>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</si>
  <si>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</si>
  <si>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</si>
  <si>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</si>
  <si>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</si>
  <si>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</si>
  <si>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</si>
  <si>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</si>
  <si>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</si>
  <si>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</si>
  <si>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</si>
  <si>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</si>
  <si>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</si>
  <si>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</si>
  <si>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</si>
  <si>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</si>
  <si>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</si>
  <si>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</si>
  <si>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</si>
  <si>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</si>
  <si>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</si>
  <si>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</si>
  <si>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</si>
  <si>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</si>
  <si>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</si>
  <si>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</si>
  <si>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</si>
  <si>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</si>
  <si>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</si>
  <si>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</si>
  <si>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</si>
  <si>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</si>
  <si>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</si>
  <si>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</si>
  <si>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</si>
  <si>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</si>
  <si>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</si>
  <si>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</si>
  <si>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</si>
  <si>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</si>
  <si>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</si>
  <si>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</si>
  <si>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</si>
  <si>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</si>
  <si>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</si>
  <si>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</si>
  <si>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</si>
  <si>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</si>
  <si>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</si>
  <si>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</si>
  <si>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</si>
  <si>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</si>
  <si>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</si>
  <si>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</si>
  <si>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</si>
  <si>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</si>
  <si>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</si>
  <si>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</si>
  <si>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</si>
  <si>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</si>
  <si>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</si>
  <si>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</si>
  <si>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</si>
  <si>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</si>
  <si>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</si>
  <si>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</si>
  <si>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</si>
  <si>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</si>
  <si>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</si>
  <si>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</si>
  <si>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</si>
  <si>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</si>
  <si>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</si>
  <si>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</si>
  <si>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</si>
  <si>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</si>
  <si>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</si>
  <si>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</si>
  <si>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</si>
  <si>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</si>
  <si>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</si>
  <si>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</si>
  <si>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</si>
  <si>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</si>
  <si>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</si>
  <si>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</si>
  <si>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</si>
  <si>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</si>
  <si>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</si>
  <si>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</si>
  <si>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</si>
  <si>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</si>
  <si>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</si>
  <si>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</si>
  <si>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</si>
  <si>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</si>
  <si>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</si>
  <si>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</si>
  <si>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</si>
  <si>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</si>
  <si>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</si>
  <si>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</si>
  <si>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</si>
  <si>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</si>
  <si>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</si>
  <si>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</si>
  <si>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</si>
  <si>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</si>
  <si>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</si>
  <si>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</si>
  <si>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</si>
  <si>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</si>
  <si>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</si>
  <si>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</si>
  <si>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</si>
  <si>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</si>
  <si>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</si>
  <si>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</si>
  <si>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</si>
  <si>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</si>
  <si>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</si>
  <si>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</si>
  <si>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</si>
  <si>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</si>
  <si>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</si>
  <si>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</si>
  <si>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</si>
  <si>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</si>
  <si>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</si>
  <si>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</si>
  <si>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</si>
  <si>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</si>
  <si>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</si>
  <si>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</si>
  <si>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</si>
  <si>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</si>
  <si>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</si>
  <si>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</si>
  <si>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</si>
  <si>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</si>
  <si>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</si>
  <si>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</si>
  <si>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</si>
  <si>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</si>
  <si>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</si>
  <si>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</si>
  <si>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</si>
  <si>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</si>
  <si>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</si>
  <si>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</si>
  <si>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</si>
  <si>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</si>
  <si>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</si>
  <si>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</si>
  <si>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</si>
  <si>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</si>
  <si>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</si>
  <si>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</si>
  <si>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</si>
  <si>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</si>
  <si>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</si>
  <si>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</si>
  <si>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</si>
  <si>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</si>
  <si>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</si>
  <si>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</si>
  <si>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</si>
  <si>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</si>
  <si>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</si>
  <si>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</si>
  <si>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</si>
  <si>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</si>
  <si>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</si>
  <si>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</si>
  <si>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</si>
  <si>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</si>
  <si>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</si>
  <si>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</si>
  <si>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</si>
  <si>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</si>
  <si>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</si>
  <si>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</si>
  <si>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</si>
  <si>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</si>
  <si>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</si>
  <si>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</si>
  <si>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</si>
  <si>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</si>
  <si>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</si>
  <si>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</si>
  <si>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</si>
  <si>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</si>
  <si>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</si>
  <si>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</si>
  <si>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</si>
  <si>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</si>
  <si>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</si>
  <si>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</si>
  <si>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</si>
  <si>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</si>
  <si>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</si>
  <si>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</si>
  <si>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</si>
  <si>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</si>
  <si>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</si>
  <si>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</si>
  <si>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</si>
  <si>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</si>
  <si>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</si>
  <si>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</si>
  <si>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</si>
  <si>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</si>
  <si>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</si>
  <si>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</si>
  <si>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</si>
  <si>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</si>
  <si>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</si>
  <si>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</si>
  <si>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</si>
  <si>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</si>
  <si>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</si>
  <si>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</si>
  <si>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</si>
  <si>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</si>
  <si>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</si>
  <si>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</si>
  <si>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</si>
  <si>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</si>
  <si>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</si>
  <si>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</si>
  <si>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</si>
  <si>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</si>
  <si>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</si>
  <si>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</si>
  <si>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</si>
  <si>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</si>
  <si>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</si>
  <si>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</si>
  <si>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</si>
  <si>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</si>
  <si>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</si>
  <si>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</si>
  <si>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</si>
  <si>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</si>
  <si>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</si>
  <si>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</si>
  <si>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</si>
  <si>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</si>
  <si>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</si>
  <si>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</si>
  <si>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</si>
  <si>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</si>
  <si>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</si>
  <si>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</si>
  <si>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</si>
  <si>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</si>
  <si>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</si>
  <si>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</si>
  <si>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</si>
  <si>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</si>
  <si>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</si>
  <si>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</si>
  <si>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</si>
  <si>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</si>
  <si>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</si>
  <si>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</si>
  <si>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</si>
  <si>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</si>
  <si>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</si>
  <si>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</si>
  <si>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</si>
  <si>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</si>
  <si>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</si>
  <si>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</si>
  <si>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</si>
  <si>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</si>
  <si>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</si>
  <si>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</si>
  <si>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</si>
  <si>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</si>
  <si>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</si>
  <si>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</si>
  <si>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</si>
  <si>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</si>
  <si>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</si>
  <si>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</si>
  <si>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</si>
  <si>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</si>
  <si>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</si>
  <si>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</si>
  <si>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</si>
  <si>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</si>
  <si>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</si>
  <si>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</si>
  <si>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</si>
  <si>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</si>
  <si>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</si>
  <si>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</si>
  <si>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</si>
  <si>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</si>
  <si>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</si>
  <si>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</si>
  <si>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</si>
  <si>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</si>
  <si>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</si>
  <si>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</si>
  <si>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</si>
  <si>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</si>
  <si>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</si>
  <si>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</si>
  <si>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</si>
  <si>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</si>
  <si>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</si>
  <si>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</si>
  <si>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</si>
  <si>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</si>
  <si>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</si>
  <si>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</si>
  <si>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</si>
  <si>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</si>
  <si>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</si>
  <si>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</si>
  <si>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</si>
  <si>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</si>
  <si>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</si>
  <si>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</si>
  <si>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</si>
  <si>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</si>
  <si>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</si>
  <si>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</si>
  <si>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</si>
  <si>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</si>
  <si>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</si>
  <si>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</si>
  <si>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</si>
  <si>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</si>
  <si>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</si>
  <si>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</si>
  <si>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</si>
  <si>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</si>
  <si>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</si>
  <si>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</si>
  <si>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</si>
  <si>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</si>
  <si>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</si>
  <si>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</si>
  <si>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</si>
  <si>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</si>
  <si>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</si>
  <si>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</si>
  <si>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</si>
  <si>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</si>
  <si>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</si>
  <si>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</si>
  <si>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</si>
  <si>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</si>
  <si>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</si>
  <si>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</si>
  <si>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</si>
  <si>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</si>
  <si>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</si>
  <si>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</si>
  <si>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</si>
  <si>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</si>
  <si>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</si>
  <si>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</si>
  <si>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</si>
  <si>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</si>
  <si>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</si>
  <si>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</si>
  <si>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</si>
  <si>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</si>
  <si>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</si>
  <si>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</si>
  <si>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</si>
  <si>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</si>
  <si>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</si>
  <si>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</si>
  <si>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</si>
  <si>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</si>
  <si>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</si>
  <si>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</si>
  <si>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</si>
  <si>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</si>
  <si>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</si>
  <si>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</si>
  <si>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</si>
  <si>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</si>
  <si>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</si>
  <si>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</si>
  <si>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</si>
  <si>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</si>
  <si>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</si>
  <si>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</si>
  <si>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</si>
  <si>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</si>
  <si>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</si>
  <si>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</si>
  <si>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</si>
  <si>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</si>
  <si>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</si>
  <si>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</si>
  <si>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</si>
  <si>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</si>
  <si>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</si>
  <si>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</si>
  <si>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</si>
  <si>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</si>
  <si>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</si>
  <si>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</si>
  <si>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</si>
  <si>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</si>
  <si>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</si>
  <si>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</si>
  <si>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</si>
  <si>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</si>
  <si>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</si>
  <si>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</si>
  <si>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</si>
  <si>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</si>
  <si>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</si>
  <si>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</si>
  <si>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</si>
  <si>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</si>
  <si>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</si>
  <si>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</si>
  <si>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</si>
  <si>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</si>
  <si>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</si>
  <si>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</si>
  <si>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</si>
  <si>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</si>
  <si>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</si>
  <si>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</si>
  <si>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</si>
  <si>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</si>
  <si>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</si>
  <si>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</si>
  <si>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</si>
  <si>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</si>
  <si>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</si>
  <si>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</si>
  <si>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</si>
  <si>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</si>
  <si>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</si>
  <si>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</si>
  <si>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</si>
  <si>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</si>
  <si>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</si>
  <si>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</si>
  <si>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</si>
  <si>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</si>
  <si>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</si>
  <si>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</si>
  <si>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</si>
  <si>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</si>
  <si>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</si>
  <si>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</si>
  <si>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</si>
  <si>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</si>
  <si>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</si>
  <si>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</si>
  <si>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</si>
  <si>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</si>
  <si>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</si>
  <si>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</si>
  <si>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</si>
  <si>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</si>
  <si>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</si>
  <si>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</si>
  <si>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</si>
  <si>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</si>
  <si>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</si>
  <si>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</si>
  <si>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</si>
  <si>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</si>
  <si>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</si>
  <si>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</si>
  <si>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</si>
  <si>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</si>
  <si>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</si>
  <si>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</si>
  <si>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</si>
  <si>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</si>
  <si>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</si>
  <si>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</si>
  <si>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</si>
  <si>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</si>
  <si>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</si>
  <si>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</si>
  <si>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</si>
  <si>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</si>
  <si>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</si>
  <si>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</si>
  <si>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</si>
  <si>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</si>
  <si>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</si>
  <si>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</si>
  <si>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</si>
  <si>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</si>
  <si>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</si>
  <si>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</si>
  <si>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</si>
  <si>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</si>
  <si>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</si>
  <si>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</si>
  <si>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</si>
  <si>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</si>
  <si>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</si>
  <si>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</si>
  <si>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</si>
  <si>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</si>
  <si>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</si>
  <si>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</si>
  <si>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</si>
  <si>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</si>
  <si>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</si>
  <si>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</si>
  <si>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</si>
  <si>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</si>
  <si>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</si>
  <si>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</si>
  <si>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</si>
  <si>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</si>
  <si>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</si>
  <si>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</si>
  <si>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</si>
  <si>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</si>
  <si>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</si>
  <si>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</si>
  <si>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</si>
  <si>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</si>
  <si>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</si>
  <si>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</si>
  <si>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</si>
  <si>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</si>
  <si>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</si>
  <si>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</si>
  <si>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</si>
  <si>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</si>
  <si>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</si>
  <si>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</si>
  <si>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</si>
  <si>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</si>
  <si>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</si>
  <si>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</si>
  <si>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</si>
  <si>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</si>
  <si>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</si>
  <si>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</si>
  <si>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</si>
  <si>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</si>
  <si>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</si>
  <si>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</si>
  <si>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</si>
  <si>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</si>
  <si>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</si>
  <si>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</si>
  <si>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</si>
  <si>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</si>
  <si>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</si>
  <si>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</si>
  <si>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</si>
  <si>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</si>
  <si>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</si>
  <si>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</si>
  <si>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</si>
  <si>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</si>
  <si>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</si>
  <si>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</si>
  <si>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</si>
  <si>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</si>
  <si>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</si>
  <si>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</si>
  <si>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</si>
  <si>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</si>
  <si>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</si>
  <si>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</si>
  <si>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</si>
  <si>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</si>
  <si>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</si>
  <si>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</si>
  <si>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</si>
  <si>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</si>
  <si>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</si>
  <si>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</si>
  <si>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</si>
  <si>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</si>
  <si>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</si>
  <si>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</si>
  <si>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</si>
  <si>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</si>
  <si>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</si>
  <si>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</si>
  <si>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</si>
  <si>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</si>
  <si>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</si>
  <si>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</si>
  <si>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</si>
  <si>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</si>
  <si>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</si>
  <si>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</si>
  <si>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</si>
  <si>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</si>
  <si>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</si>
  <si>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</si>
  <si>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</si>
  <si>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</si>
  <si>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</si>
  <si>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</si>
  <si>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</si>
  <si>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</si>
  <si>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</si>
  <si>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</si>
  <si>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</si>
  <si>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</si>
  <si>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</si>
  <si>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</si>
  <si>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</si>
  <si>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</si>
  <si>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</si>
  <si>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</si>
  <si>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</si>
  <si>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</si>
  <si>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</si>
  <si>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</si>
  <si>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</si>
  <si>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</si>
  <si>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</si>
  <si>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</si>
  <si>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</si>
  <si>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</si>
  <si>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</si>
  <si>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</si>
  <si>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</si>
  <si>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</si>
  <si>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</si>
  <si>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</si>
  <si>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</si>
  <si>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</si>
  <si>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</si>
  <si>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</si>
  <si>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</si>
  <si>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</si>
  <si>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</si>
  <si>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</si>
  <si>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</si>
  <si>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Meadian Pledged</t>
  </si>
  <si>
    <t>Mean Backers Count</t>
  </si>
  <si>
    <t>Median Backers Count</t>
  </si>
  <si>
    <t>Mean Average Donation</t>
  </si>
  <si>
    <t>Meadian Average Donation</t>
  </si>
  <si>
    <t>Standard Deviation of Goal</t>
  </si>
  <si>
    <t>Upper Quartile of Goal</t>
  </si>
  <si>
    <t>Lower Quartile of goal</t>
  </si>
  <si>
    <t>IQR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</si>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</sst>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70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165" fontId="2" fillId="0" borderId="0" xfId="0" applyNumberFormat="1" applyFont="1"/>
    <xf numFmtId="165" fontId="0" fillId="0" borderId="0" xfId="0" applyNumberFormat="1"/>
    <xf numFmtId="1" fontId="2" fillId="0" borderId="0" xfId="0" applyNumberFormat="1" applyFont="1"/>
    <xf numFmtId="165" fontId="2" fillId="0" borderId="0" xfId="1" applyNumberFormat="1" applyFont="1"/>
    <xf numFmtId="170" fontId="0" fillId="0" borderId="0" xfId="2" applyNumberFormat="1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6-4433-A43E-EF937BA04A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6-4433-A43E-EF937BA04A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6-4433-A43E-EF937BA04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194911"/>
        <c:axId val="1462190335"/>
      </c:lineChart>
      <c:catAx>
        <c:axId val="146219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90335"/>
        <c:crosses val="autoZero"/>
        <c:auto val="1"/>
        <c:lblAlgn val="ctr"/>
        <c:lblOffset val="100"/>
        <c:noMultiLvlLbl val="0"/>
      </c:catAx>
      <c:valAx>
        <c:axId val="14621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Goals'!$D$5:$D$16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Goals'!$I$5:$I$16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0.70020533880903491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E-4695-9A70-CF5F1BE9190D}"/>
            </c:ext>
          </c:extLst>
        </c:ser>
        <c:ser>
          <c:idx val="1"/>
          <c:order val="1"/>
          <c:tx>
            <c:strRef>
              <c:f>'Outcomes Based on Goals'!$J$4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Goals'!$D$5:$D$16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Goals'!$J$5:$J$16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0.29979466119096509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E-4695-9A70-CF5F1BE9190D}"/>
            </c:ext>
          </c:extLst>
        </c:ser>
        <c:ser>
          <c:idx val="2"/>
          <c:order val="2"/>
          <c:tx>
            <c:strRef>
              <c:f>'Outcomes Based on Goals'!$K$4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Goals'!$D$5:$D$16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Goals'!$K$5:$K$16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E-4695-9A70-CF5F1BE91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643551"/>
        <c:axId val="1494647711"/>
      </c:lineChart>
      <c:catAx>
        <c:axId val="149464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47711"/>
        <c:crosses val="autoZero"/>
        <c:auto val="1"/>
        <c:lblAlgn val="ctr"/>
        <c:lblOffset val="100"/>
        <c:noMultiLvlLbl val="0"/>
      </c:catAx>
      <c:valAx>
        <c:axId val="149464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4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5-4D9F-BDFF-6666EE55FA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25-4D9F-BDFF-6666EE55FA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25-4D9F-BDFF-6666EE55FA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25-4D9F-BDFF-6666EE55F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796383"/>
        <c:axId val="141796799"/>
      </c:barChart>
      <c:catAx>
        <c:axId val="14179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6799"/>
        <c:crosses val="autoZero"/>
        <c:auto val="1"/>
        <c:lblAlgn val="ctr"/>
        <c:lblOffset val="100"/>
        <c:noMultiLvlLbl val="0"/>
      </c:catAx>
      <c:valAx>
        <c:axId val="1417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D-454D-83EB-5C274FDC42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D-454D-83EB-5C274FDC42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D-454D-83EB-5C274FDC42F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2-409F-BE0B-0A5214139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9946847"/>
        <c:axId val="1029943519"/>
      </c:barChart>
      <c:catAx>
        <c:axId val="102994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943519"/>
        <c:crosses val="autoZero"/>
        <c:auto val="1"/>
        <c:lblAlgn val="ctr"/>
        <c:lblOffset val="100"/>
        <c:noMultiLvlLbl val="0"/>
      </c:catAx>
      <c:valAx>
        <c:axId val="102994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94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4351967980050399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B-4629-8C33-DD8AAC100D8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6B-4629-8C33-DD8AAC100D8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6B-4629-8C33-DD8AAC100D8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6B-4629-8C33-DD8AAC100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980559"/>
        <c:axId val="1026980143"/>
      </c:lineChart>
      <c:catAx>
        <c:axId val="102698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80143"/>
        <c:crosses val="autoZero"/>
        <c:auto val="1"/>
        <c:lblAlgn val="ctr"/>
        <c:lblOffset val="100"/>
        <c:noMultiLvlLbl val="0"/>
      </c:catAx>
      <c:valAx>
        <c:axId val="102698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8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452437</xdr:colOff>
      <xdr:row>3</xdr:row>
      <xdr:rowOff>104775</xdr:rowOff>
    </xdr:from>
    <xdr:to>
      <xdr:col>13</xdr:col>
      <xdr:colOff>4762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790574</xdr:colOff>
      <xdr:row>18</xdr:row>
      <xdr:rowOff>57150</xdr:rowOff>
    </xdr:from>
    <xdr:to>
      <xdr:col>9</xdr:col>
      <xdr:colOff>466725</xdr:colOff>
      <xdr:row>32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2</xdr:row>
      <xdr:rowOff>0</xdr:rowOff>
    </xdr:from>
    <xdr:to>
      <xdr:col>14</xdr:col>
      <xdr:colOff>4762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28575</xdr:rowOff>
    </xdr:from>
    <xdr:to>
      <xdr:col>14</xdr:col>
      <xdr:colOff>66675</xdr:colOff>
      <xdr:row>15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76200</xdr:rowOff>
    </xdr:from>
    <xdr:to>
      <xdr:col>14</xdr:col>
      <xdr:colOff>180975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phens, Carson W." refreshedDate="44171.742048611108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ephens, Carson W." refreshedDate="44171.81599791666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tephens, Carson W." refreshedDate="44178.705828703707" createdVersion="6" refreshedVersion="6" minRefreshableVersion="3" recordCount="4114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K17"/>
  <sheetViews>
    <sheetView workbookViewId="0">
      <selection activeCell="H17" sqref="H17"/>
    </sheetView>
  </sheetViews>
  <sheetFormatPr defaultRowHeight="15" x14ac:dyDescent="0.25"/>
  <cols>
    <col min="3" max="3" width="6.140625" customWidth="1"/>
    <col min="4" max="4" width="17.85546875" bestFit="1" customWidth="1"/>
    <col min="5" max="5" width="18.140625" bestFit="1" customWidth="1"/>
    <col min="6" max="6" width="14.28515625" bestFit="1" customWidth="1"/>
    <col min="7" max="7" width="17" bestFit="1" customWidth="1"/>
    <col min="8" max="8" width="13.140625" bestFit="1" customWidth="1"/>
    <col min="9" max="9" width="20.85546875" bestFit="1" customWidth="1"/>
    <col min="10" max="10" width="17" bestFit="1" customWidth="1"/>
    <col min="11" max="11" width="19.85546875" bestFit="1" customWidth="1"/>
  </cols>
  <sheetData>
    <row r="4" spans="4:11" x14ac:dyDescent="0.25">
      <c r="D4" t="s">
        <v>8399</v>
      </c>
      <c r="E4" t="s">
        <v>8400</v>
      </c>
      <c r="F4" t="s">
        <v>8401</v>
      </c>
      <c r="G4" t="s">
        <v>8402</v>
      </c>
      <c r="H4" t="s">
        <v>8403</v>
      </c>
      <c r="I4" t="s">
        <v>8404</v>
      </c>
      <c r="J4" t="s">
        <v>8405</v>
      </c>
      <c r="K4" t="s">
        <v>8406</v>
      </c>
    </row>
    <row r="5" spans="4:11" x14ac:dyDescent="0.25">
      <c r="D5" t="s">
        <v>8407</v>
      </c>
      <c r="E5">
        <f>COUNTIFS(Kickstarter!$F:$F,"successful",Kickstarter!$D:$D,"&lt;1000",Kickstarter!$R:$R,"plays")</f>
        <v>141</v>
      </c>
      <c r="F5">
        <f>COUNTIFS(Kickstarter!$F:$F,"failed",Kickstarter!$D:$D,"&lt;1000",Kickstarter!$R:$R,"plays")</f>
        <v>45</v>
      </c>
      <c r="G5">
        <f>COUNTIFS(Kickstarter!$F:$F,"canceled",Kickstarter!$D:$D,"&lt;1000",Kickstarter!$R:$R,"plays")</f>
        <v>0</v>
      </c>
      <c r="H5">
        <f>SUM(E5:G5)</f>
        <v>186</v>
      </c>
      <c r="I5" s="22">
        <f>IFERROR(E5/$H5,"N/A")</f>
        <v>0.75806451612903225</v>
      </c>
      <c r="J5" s="22">
        <f t="shared" ref="J5:K16" si="0">IFERROR(F5/$H5,"N/A")</f>
        <v>0.24193548387096775</v>
      </c>
      <c r="K5" s="22">
        <f t="shared" si="0"/>
        <v>0</v>
      </c>
    </row>
    <row r="6" spans="4:11" x14ac:dyDescent="0.25">
      <c r="D6" t="s">
        <v>8408</v>
      </c>
      <c r="E6">
        <f>COUNTIFS(Kickstarter!$F:$F,"successful",Kickstarter!$D:$D,"&gt;1000",Kickstarter!$R:$R,"plays",Kickstarter!$D:$D,"&lt;5000")</f>
        <v>341</v>
      </c>
      <c r="F6">
        <f>COUNTIFS(Kickstarter!$F:$F,"failed",Kickstarter!$D:$D,"&gt;=1000",Kickstarter!$R:$R,"plays",Kickstarter!$D:$D,"&lt;5000")</f>
        <v>146</v>
      </c>
      <c r="G6">
        <f>COUNTIFS(Kickstarter!$F:$F,"canceled",Kickstarter!$D:$D,"&gt;1000",Kickstarter!$R:$R,"plays",Kickstarter!$D:$D,"&lt;5000")</f>
        <v>0</v>
      </c>
      <c r="H6">
        <f t="shared" ref="H6:H16" si="1">SUM(E6:G6)</f>
        <v>487</v>
      </c>
      <c r="I6" s="22">
        <f t="shared" ref="I6:I16" si="2">IFERROR(E6/$H6,"N/A")</f>
        <v>0.70020533880903491</v>
      </c>
      <c r="J6" s="22">
        <f t="shared" si="0"/>
        <v>0.29979466119096509</v>
      </c>
      <c r="K6" s="22">
        <f t="shared" si="0"/>
        <v>0</v>
      </c>
    </row>
    <row r="7" spans="4:11" x14ac:dyDescent="0.25">
      <c r="D7" t="s">
        <v>8409</v>
      </c>
      <c r="E7">
        <f>COUNTIFS(Kickstarter!$F:$F,"successful",Kickstarter!$D:$D,"&gt;=5000",Kickstarter!$R:$R,"plays",Kickstarter!$D:$D,"&lt;10000")</f>
        <v>93</v>
      </c>
      <c r="F7">
        <f>COUNTIFS(Kickstarter!$F:$F,"failed",Kickstarter!$D:$D,"&gt;=5000",Kickstarter!$R:$R,"plays",Kickstarter!$D:$D,"&lt;10000")</f>
        <v>76</v>
      </c>
      <c r="G7">
        <f>COUNTIFS(Kickstarter!$F:$F,"canceled",Kickstarter!$D:$D,"&gt;5000",Kickstarter!$R:$R,"plays",Kickstarter!$D:$D,"&lt;10000")</f>
        <v>0</v>
      </c>
      <c r="H7">
        <f t="shared" si="1"/>
        <v>169</v>
      </c>
      <c r="I7" s="22">
        <f t="shared" si="2"/>
        <v>0.55029585798816572</v>
      </c>
      <c r="J7" s="22">
        <f t="shared" si="0"/>
        <v>0.44970414201183434</v>
      </c>
      <c r="K7" s="22">
        <f t="shared" si="0"/>
        <v>0</v>
      </c>
    </row>
    <row r="8" spans="4:11" x14ac:dyDescent="0.25">
      <c r="D8" t="s">
        <v>8410</v>
      </c>
      <c r="E8">
        <f>COUNTIFS(Kickstarter!$F:$F,"successful",Kickstarter!$D:$D,"&gt;=10000",Kickstarter!$R:$R,"plays",Kickstarter!$D:$D,"&lt;15000")</f>
        <v>39</v>
      </c>
      <c r="F8">
        <f>COUNTIFS(Kickstarter!$F:$F,"failed",Kickstarter!$D:$D,"&gt;=10000",Kickstarter!$R:$R,"plays",Kickstarter!$D:$D,"&lt;15000")</f>
        <v>33</v>
      </c>
      <c r="G8">
        <f>COUNTIFS(Kickstarter!$F:$F,"canceled",Kickstarter!$D:$D,"&gt;10000",Kickstarter!$R:$R,"plays",Kickstarter!$D:$D,"&lt;15000")</f>
        <v>0</v>
      </c>
      <c r="H8">
        <f t="shared" si="1"/>
        <v>72</v>
      </c>
      <c r="I8" s="22">
        <f t="shared" si="2"/>
        <v>0.54166666666666663</v>
      </c>
      <c r="J8" s="22">
        <f t="shared" si="0"/>
        <v>0.45833333333333331</v>
      </c>
      <c r="K8" s="22">
        <f t="shared" si="0"/>
        <v>0</v>
      </c>
    </row>
    <row r="9" spans="4:11" x14ac:dyDescent="0.25">
      <c r="D9" t="s">
        <v>8411</v>
      </c>
      <c r="E9">
        <f>COUNTIFS(Kickstarter!$F:$F,"successful",Kickstarter!$D:$D,"&gt;=15000",Kickstarter!$R:$R,"plays",Kickstarter!$D:$D,"&lt;20000")</f>
        <v>12</v>
      </c>
      <c r="F9">
        <f>COUNTIFS(Kickstarter!$F:$F,"failed",Kickstarter!$D:$D,"&gt;=15000",Kickstarter!$R:$R,"plays",Kickstarter!$D:$D,"&lt;20000")</f>
        <v>12</v>
      </c>
      <c r="G9">
        <f>COUNTIFS(Kickstarter!$F:$F,"canceled",Kickstarter!$D:$D,"&gt;15000",Kickstarter!$R:$R,"plays",Kickstarter!$D:$D,"&lt;20000")</f>
        <v>0</v>
      </c>
      <c r="H9">
        <f t="shared" si="1"/>
        <v>24</v>
      </c>
      <c r="I9" s="22">
        <f t="shared" si="2"/>
        <v>0.5</v>
      </c>
      <c r="J9" s="22">
        <f t="shared" si="0"/>
        <v>0.5</v>
      </c>
      <c r="K9" s="22">
        <f t="shared" si="0"/>
        <v>0</v>
      </c>
    </row>
    <row r="10" spans="4:11" x14ac:dyDescent="0.25">
      <c r="D10" t="s">
        <v>8412</v>
      </c>
      <c r="E10">
        <f>COUNTIFS(Kickstarter!$F:$F,"successful",Kickstarter!$D:$D,"&gt;=20000",Kickstarter!$R:$R,"plays",Kickstarter!$D:$D,"&lt;25000")</f>
        <v>9</v>
      </c>
      <c r="F10">
        <f>COUNTIFS(Kickstarter!$F:$F,"failed",Kickstarter!$D:$D,"&gt;=20000",Kickstarter!$R:$R,"plays",Kickstarter!$D:$D,"&lt;25000")</f>
        <v>11</v>
      </c>
      <c r="G10">
        <f>COUNTIFS(Kickstarter!$F:$F,"canceled",Kickstarter!$D:$D,"&gt;20000",Kickstarter!$R:$R,"plays",Kickstarter!$D:$D,"&lt;25000")</f>
        <v>0</v>
      </c>
      <c r="H10">
        <f t="shared" si="1"/>
        <v>20</v>
      </c>
      <c r="I10" s="22">
        <f t="shared" si="2"/>
        <v>0.45</v>
      </c>
      <c r="J10" s="22">
        <f t="shared" si="0"/>
        <v>0.55000000000000004</v>
      </c>
      <c r="K10" s="22">
        <f t="shared" si="0"/>
        <v>0</v>
      </c>
    </row>
    <row r="11" spans="4:11" x14ac:dyDescent="0.25">
      <c r="D11" t="s">
        <v>8413</v>
      </c>
      <c r="E11">
        <f>COUNTIFS(Kickstarter!$F:$F,"successful",Kickstarter!$D:$D,"&gt;=25000",Kickstarter!$R:$R,"plays",Kickstarter!$D:$D,"&lt;30000")</f>
        <v>1</v>
      </c>
      <c r="F11">
        <f>COUNTIFS(Kickstarter!$F:$F,"failed",Kickstarter!$D:$D,"&gt;=25000",Kickstarter!$R:$R,"plays",Kickstarter!$D:$D,"&lt;30000")</f>
        <v>4</v>
      </c>
      <c r="G11">
        <f>COUNTIFS(Kickstarter!$F:$F,"canceled",Kickstarter!$D:$D,"&gt;25000",Kickstarter!$R:$R,"plays",Kickstarter!$D:$D,"&lt;30000")</f>
        <v>0</v>
      </c>
      <c r="H11">
        <f t="shared" si="1"/>
        <v>5</v>
      </c>
      <c r="I11" s="22">
        <f t="shared" si="2"/>
        <v>0.2</v>
      </c>
      <c r="J11" s="22">
        <f t="shared" si="0"/>
        <v>0.8</v>
      </c>
      <c r="K11" s="22">
        <f t="shared" si="0"/>
        <v>0</v>
      </c>
    </row>
    <row r="12" spans="4:11" x14ac:dyDescent="0.25">
      <c r="D12" t="s">
        <v>8414</v>
      </c>
      <c r="E12">
        <f>COUNTIFS(Kickstarter!$F:$F,"successful",Kickstarter!$D:$D,"&gt;=30000",Kickstarter!$R:$R,"plays",Kickstarter!$D:$D,"&lt;35000")</f>
        <v>3</v>
      </c>
      <c r="F12">
        <f>COUNTIFS(Kickstarter!$F:$F,"failed",Kickstarter!$D:$D,"&gt;=30000",Kickstarter!$R:$R,"plays",Kickstarter!$D:$D,"&lt;35000")</f>
        <v>8</v>
      </c>
      <c r="G12">
        <f>COUNTIFS(Kickstarter!$F:$F,"canceled",Kickstarter!$D:$D,"&gt;30000",Kickstarter!$R:$R,"plays",Kickstarter!$D:$D,"&lt;35000")</f>
        <v>0</v>
      </c>
      <c r="H12">
        <f t="shared" si="1"/>
        <v>11</v>
      </c>
      <c r="I12" s="22">
        <f t="shared" si="2"/>
        <v>0.27272727272727271</v>
      </c>
      <c r="J12" s="22">
        <f t="shared" si="0"/>
        <v>0.72727272727272729</v>
      </c>
      <c r="K12" s="22">
        <f t="shared" si="0"/>
        <v>0</v>
      </c>
    </row>
    <row r="13" spans="4:11" x14ac:dyDescent="0.25">
      <c r="D13" t="s">
        <v>8415</v>
      </c>
      <c r="E13">
        <f>COUNTIFS(Kickstarter!$F:$F,"successful",Kickstarter!$D:$D,"&gt;=35000",Kickstarter!$R:$R,"plays",Kickstarter!$D:$D,"&lt;40000")</f>
        <v>4</v>
      </c>
      <c r="F13">
        <f>COUNTIFS(Kickstarter!$F:$F,"failed",Kickstarter!$D:$D,"&gt;=35000",Kickstarter!$R:$R,"plays",Kickstarter!$D:$D,"&lt;40000")</f>
        <v>2</v>
      </c>
      <c r="G13">
        <f>COUNTIFS(Kickstarter!$F:$F,"canceled",Kickstarter!$D:$D,"&gt;35000",Kickstarter!$R:$R,"plays",Kickstarter!$D:$D,"&lt;40000")</f>
        <v>0</v>
      </c>
      <c r="H13">
        <f t="shared" si="1"/>
        <v>6</v>
      </c>
      <c r="I13" s="22">
        <f t="shared" si="2"/>
        <v>0.66666666666666663</v>
      </c>
      <c r="J13" s="22">
        <f t="shared" si="0"/>
        <v>0.33333333333333331</v>
      </c>
      <c r="K13" s="22">
        <f t="shared" si="0"/>
        <v>0</v>
      </c>
    </row>
    <row r="14" spans="4:11" x14ac:dyDescent="0.25">
      <c r="D14" t="s">
        <v>8416</v>
      </c>
      <c r="E14">
        <f>COUNTIFS(Kickstarter!$F:$F,"successful",Kickstarter!$D:$D,"&gt;=40000",Kickstarter!$R:$R,"plays",Kickstarter!$D:$D,"&lt;45000")</f>
        <v>2</v>
      </c>
      <c r="F14">
        <f>COUNTIFS(Kickstarter!$F:$F,"failed",Kickstarter!$D:$D,"&gt;=40000",Kickstarter!$R:$R,"plays",Kickstarter!$D:$D,"&lt;45000")</f>
        <v>1</v>
      </c>
      <c r="G14">
        <f>COUNTIFS(Kickstarter!$F:$F,"canceled",Kickstarter!$D:$D,"&gt;40000",Kickstarter!$R:$R,"plays",Kickstarter!$D:$D,"&lt;45000")</f>
        <v>0</v>
      </c>
      <c r="H14">
        <f t="shared" si="1"/>
        <v>3</v>
      </c>
      <c r="I14" s="22">
        <f t="shared" si="2"/>
        <v>0.66666666666666663</v>
      </c>
      <c r="J14" s="22">
        <f t="shared" si="0"/>
        <v>0.33333333333333331</v>
      </c>
      <c r="K14" s="22">
        <f t="shared" si="0"/>
        <v>0</v>
      </c>
    </row>
    <row r="15" spans="4:11" x14ac:dyDescent="0.25">
      <c r="D15" t="s">
        <v>8417</v>
      </c>
      <c r="E15">
        <f>COUNTIFS(Kickstarter!$F:$F,"successful",Kickstarter!$D:$D,"&gt;=45000",Kickstarter!$R:$R,"plays",Kickstarter!$D:$D,"&lt;50000")</f>
        <v>0</v>
      </c>
      <c r="F15">
        <f>COUNTIFS(Kickstarter!$F:$F,"failed",Kickstarter!$D:$D,"&gt;=45000",Kickstarter!$R:$R,"plays",Kickstarter!$D:$D,"&lt;50000")</f>
        <v>1</v>
      </c>
      <c r="G15">
        <f>COUNTIFS(Kickstarter!$F:$F,"canceled",Kickstarter!$D:$D,"&gt;45000",Kickstarter!$R:$R,"plays",Kickstarter!$D:$D,"&lt;50000")</f>
        <v>0</v>
      </c>
      <c r="H15">
        <f t="shared" si="1"/>
        <v>1</v>
      </c>
      <c r="I15" s="22">
        <f t="shared" si="2"/>
        <v>0</v>
      </c>
      <c r="J15" s="22">
        <f t="shared" si="0"/>
        <v>1</v>
      </c>
      <c r="K15" s="22">
        <f t="shared" si="0"/>
        <v>0</v>
      </c>
    </row>
    <row r="16" spans="4:11" x14ac:dyDescent="0.25">
      <c r="D16" t="s">
        <v>8418</v>
      </c>
      <c r="E16">
        <f>COUNTIFS(Kickstarter!$F:$F,"successful",Kickstarter!$D:$D,"&gt;=50000",Kickstarter!$R:$R,"plays")</f>
        <v>2</v>
      </c>
      <c r="F16">
        <f>COUNTIFS(Kickstarter!$F:$F,"failed",Kickstarter!$D:$D,"&gt;=50000",Kickstarter!$R:$R,"plays")</f>
        <v>14</v>
      </c>
      <c r="G16">
        <f>COUNTIFS(Kickstarter!$F:$F,"canceled",Kickstarter!$D:$D,"&gt;50000",Kickstarter!$R:$R,"plays")</f>
        <v>0</v>
      </c>
      <c r="H16">
        <f t="shared" si="1"/>
        <v>16</v>
      </c>
      <c r="I16" s="22">
        <f t="shared" si="2"/>
        <v>0.125</v>
      </c>
      <c r="J16" s="22">
        <f t="shared" si="0"/>
        <v>0.875</v>
      </c>
      <c r="K16" s="22">
        <f t="shared" si="0"/>
        <v>0</v>
      </c>
    </row>
    <row r="17" spans="5:8" x14ac:dyDescent="0.25">
      <c r="E17">
        <f>SUM(E5:E16)</f>
        <v>647</v>
      </c>
      <c r="F17">
        <f t="shared" ref="F17:G17" si="3">SUM(F5:F16)</f>
        <v>353</v>
      </c>
      <c r="G17">
        <f t="shared" si="3"/>
        <v>0</v>
      </c>
      <c r="H17">
        <f>SUM(H5:H16)</f>
        <v>1000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A121" zoomScale="70" zoomScaleNormal="70" workbookViewId="0">
      <selection activeCell="F127" sqref="F12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IFERROR(ROUND(E67/D67*100,0),0)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IFERROR(ROUND(E131/D131*100,0),0)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IFERROR(ROUND(E195/D195*100,0),0)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IFERROR(ROUND(E259/D259*100,0),0)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IFERROR(ROUND(E323/D323*100,0),0)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IFERROR(ROUND(E387/D387*100,0),0)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IFERROR(ROUND(E451/D451*100,0),0)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IFERROR(ROUND(E515/D515*100,0),0)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IFERROR(ROUND(E579/D579*100,0),0)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IFERROR(ROUND(E643/D643*100,0),0)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IFERROR(ROUND(E707/D707*100,0),0)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IFERROR(ROUND(E771/D771*100,0),0)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IFERROR(ROUND(E835/D835*100,0),0)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IFERROR(ROUND(E899/D899*100,0),0)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IFERROR(ROUND(E963/D963*100,0),0)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IFERROR(ROUND(E1027/D1027*100,0),0)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IFERROR(ROUND(E1091/D1091*100,0),0)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IFERROR(ROUND(E1155/D1155*100,0),0)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IFERROR(ROUND(E1219/D1219*100,0),0)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IFERROR(ROUND(E1283/D1283*100,0),0)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IFERROR(ROUND(E1347/D1347*100,0),0)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IFERROR(ROUND(E1411/D1411*100,0),0)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IFERROR(ROUND(E1475/D1475*100,0),0)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IFERROR(ROUND(E1539/D1539*100,0),0)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IFERROR(ROUND(E1603/D1603*100,0),0)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IFERROR(ROUND(E1667/D1667*100,0),0)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IFERROR(ROUND(E1731/D1731*100,0),0)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IFERROR(ROUND(E1795/D1795*100,0),0)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IFERROR(ROUND(E1859/D1859*100,0),0)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IFERROR(ROUND(E1923/D1923*100,0),0)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IFERROR(ROUND(E1987/D1987*100,0),0)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IFERROR(ROUND(E2051/D2051*100,0),0)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IFERROR(ROUND(E2115/D2115*100,0),0)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IFERROR(ROUND(E2179/D2179*100,0),0)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IFERROR(ROUND(E2243/D2243*100,0),0)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IFERROR(ROUND(E2307/D2307*100,0),0)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IFERROR(ROUND(E2371/D2371*100,0),0)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IFERROR(ROUND(E2435/D2435*100,0),0)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IFERROR(ROUND(E2499/D2499*100,0),0)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IFERROR(ROUND(E2563/D2563*100,0),0)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IFERROR(ROUND(E2627/D2627*100,0),0)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IFERROR(ROUND(E2691/D2691*100,0),0)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IFERROR(ROUND(E2755/D2755*100,0),0)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IFERROR(ROUND(E2819/D2819*100,0),0)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IFERROR(ROUND(E2883/D2883*100,0),0)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IFERROR(ROUND(E2947/D2947*100,0),0)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IFERROR(ROUND(E3011/D3011*100,0),0)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IFERROR(ROUND(E3075/D3075*100,0),0)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IFERROR(ROUND(E3139/D3139*100,0),0)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IFERROR(ROUND(E3203/D3203*100,0),0)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IFERROR(ROUND(E3267/D3267*100,0),0)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IFERROR(ROUND(E3331/D3331*100,0),0)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IFERROR(ROUND(E3395/D3395*100,0),0)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IFERROR(ROUND(E3459/D3459*100,0),0)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IFERROR(ROUND(E3523/D3523*100,0),0)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IFERROR(ROUND(E3587/D3587*100,0),0)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IFERROR(ROUND(E3651/D3651*100,0),0)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IFERROR(ROUND(E3715/D3715*100,0),0)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IFERROR(ROUND(E3779/D3779*100,0),0)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IFERROR(ROUND(E3843/D3843*100,0),0)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IFERROR(ROUND(E3907/D3907*100,0),0)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IFERROR(ROUND(E3971/D3971*100,0),0)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IFERROR(ROUND(E4035/D4035*100,0),0)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IFERROR(ROUND(E4099/D4099*100,0),0)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ref="A2:N4115">
    <sortCondition descending="1" ref="D2:D4115"/>
  </sortState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1" sqref="B11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7"/>
  <sheetViews>
    <sheetView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C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A4" workbookViewId="0">
      <selection activeCell="A2" sqref="A2"/>
    </sheetView>
  </sheetViews>
  <sheetFormatPr defaultRowHeight="15" x14ac:dyDescent="0.25"/>
  <cols>
    <col min="1" max="1" width="33.5703125" bestFit="1" customWidth="1"/>
    <col min="2" max="2" width="40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87" customHeight="1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Kickstarter!B:T, 15, FALSE)</f>
        <v>51.79</v>
      </c>
      <c r="F2" s="17">
        <f>VLOOKUP(A2, Kickstarter!B:T, 11, FALSE)</f>
        <v>39</v>
      </c>
    </row>
    <row r="3" spans="1:6" ht="78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Kickstarter!B:T, 15, FALSE)</f>
        <v>36.07</v>
      </c>
      <c r="F3" s="17">
        <f>VLOOKUP(A3, Kickstarter!B:T, 11, FALSE)</f>
        <v>56</v>
      </c>
    </row>
    <row r="4" spans="1:6" ht="94.5" x14ac:dyDescent="0.25">
      <c r="A4" t="s">
        <v>8381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Kickstarter!B:T, 15, FALSE)</f>
        <v>33.03</v>
      </c>
      <c r="F4" s="17">
        <f>VLOOKUP(A4, Kickstarter!B:T, 11, FALSE)</f>
        <v>78</v>
      </c>
    </row>
    <row r="5" spans="1:6" ht="63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Kickstarter!B:T, 15, FALSE)</f>
        <v>44.92</v>
      </c>
      <c r="F5" s="17">
        <f>VLOOKUP(A5, Kickstarter!B:T, 11, FALSE)</f>
        <v>26</v>
      </c>
    </row>
    <row r="6" spans="1:6" ht="78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Kickstarter!B:T, 15, FALSE)</f>
        <v>36.61</v>
      </c>
      <c r="F6" s="17">
        <f>VLOOKUP(A6, Kickstarter!B:T,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opLeftCell="A7" workbookViewId="0">
      <selection activeCell="B9" sqref="B9"/>
    </sheetView>
  </sheetViews>
  <sheetFormatPr defaultRowHeight="15" x14ac:dyDescent="0.25"/>
  <cols>
    <col min="1" max="1" width="25.5703125" bestFit="1" customWidth="1"/>
    <col min="2" max="2" width="16.85546875" bestFit="1" customWidth="1"/>
    <col min="3" max="3" width="17" bestFit="1" customWidth="1"/>
  </cols>
  <sheetData>
    <row r="1" spans="1:3" x14ac:dyDescent="0.25">
      <c r="B1" t="s">
        <v>8385</v>
      </c>
      <c r="C1" t="s">
        <v>8386</v>
      </c>
    </row>
    <row r="2" spans="1:3" ht="15.75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ht="15.75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ht="15.75" x14ac:dyDescent="0.25">
      <c r="A4" t="s">
        <v>8395</v>
      </c>
      <c r="B4" s="18" t="e">
        <f>_xlfn.STDEV.P(#REF!)</f>
        <v>#REF!</v>
      </c>
      <c r="C4" s="18" t="e">
        <f>_xlfn.STDEV.P(#REF!)</f>
        <v>#REF!</v>
      </c>
    </row>
    <row r="5" spans="1:3" ht="15.75" x14ac:dyDescent="0.25">
      <c r="A5" t="s">
        <v>8396</v>
      </c>
      <c r="B5" s="21" t="e">
        <f>_xlfn.QUARTILE.EXC(#REF!, 3)</f>
        <v>#REF!</v>
      </c>
      <c r="C5" s="21" t="e">
        <f>_xlfn.QUARTILE.EXC(#REF!, 3)</f>
        <v>#REF!</v>
      </c>
    </row>
    <row r="6" spans="1:3" ht="15.75" x14ac:dyDescent="0.25">
      <c r="A6" t="s">
        <v>8397</v>
      </c>
      <c r="B6" s="21" t="e">
        <f>_xlfn.QUARTILE.EXC(#REF!, 1)</f>
        <v>#REF!</v>
      </c>
      <c r="C6" s="21" t="e">
        <f>_xlfn.QUARTILE.EXC(#REF!, 1)</f>
        <v>#REF!</v>
      </c>
    </row>
    <row r="7" spans="1:3" ht="15.75" x14ac:dyDescent="0.25">
      <c r="A7" t="s">
        <v>8398</v>
      </c>
      <c r="B7" s="18" t="e">
        <f>B5-B6</f>
        <v>#REF!</v>
      </c>
      <c r="C7" s="18" t="e">
        <f>C5-C6</f>
        <v>#REF!</v>
      </c>
    </row>
    <row r="8" spans="1:3" x14ac:dyDescent="0.25">
      <c r="B8" s="19"/>
      <c r="C8" s="19"/>
    </row>
    <row r="9" spans="1:3" ht="15.75" x14ac:dyDescent="0.2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ht="15.75" x14ac:dyDescent="0.2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ht="15.75" x14ac:dyDescent="0.2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ht="15.75" x14ac:dyDescent="0.25">
      <c r="A12" t="s">
        <v>8396</v>
      </c>
      <c r="B12" s="21" t="e">
        <f>_xlfn.QUARTILE.EXC(#REF!, 3)</f>
        <v>#REF!</v>
      </c>
      <c r="C12" s="21" t="e">
        <f>_xlfn.QUARTILE.EXC(#REF!, 3)</f>
        <v>#REF!</v>
      </c>
    </row>
    <row r="13" spans="1:3" ht="15.75" x14ac:dyDescent="0.25">
      <c r="A13" t="s">
        <v>8397</v>
      </c>
      <c r="B13" s="21" t="e">
        <f>_xlfn.QUARTILE.EXC(#REF!, 1)</f>
        <v>#REF!</v>
      </c>
      <c r="C13" s="21" t="e">
        <f>_xlfn.QUARTILE.EXC(#REF!, 1)</f>
        <v>#REF!</v>
      </c>
    </row>
    <row r="14" spans="1:3" ht="15.75" x14ac:dyDescent="0.25">
      <c r="A14" t="s">
        <v>8398</v>
      </c>
      <c r="B14" s="18" t="e">
        <f>B12-B13</f>
        <v>#REF!</v>
      </c>
      <c r="C14" s="18" t="e">
        <f>C12-C13</f>
        <v>#REF!</v>
      </c>
    </row>
    <row r="17" spans="1:3" x14ac:dyDescent="0.25">
      <c r="B17" t="s">
        <v>8385</v>
      </c>
      <c r="C17" t="s">
        <v>8386</v>
      </c>
    </row>
    <row r="18" spans="1:3" ht="15.75" x14ac:dyDescent="0.25">
      <c r="A18" t="s">
        <v>8391</v>
      </c>
      <c r="B18" s="20" t="e">
        <f>AVERAGE(#REF!)</f>
        <v>#REF!</v>
      </c>
      <c r="C18" s="20" t="e">
        <f>AVERAGE(#REF!)</f>
        <v>#REF!</v>
      </c>
    </row>
    <row r="19" spans="1:3" ht="15.75" x14ac:dyDescent="0.25">
      <c r="A19" t="s">
        <v>8392</v>
      </c>
      <c r="B19" s="20" t="e">
        <f>MEDIAN(#REF!)</f>
        <v>#REF!</v>
      </c>
      <c r="C19" s="20" t="e">
        <f>MEDIAN(#REF!)</f>
        <v>#REF!</v>
      </c>
    </row>
    <row r="20" spans="1:3" x14ac:dyDescent="0.25">
      <c r="B20" s="19"/>
      <c r="C20" s="19"/>
    </row>
    <row r="21" spans="1:3" ht="15.75" x14ac:dyDescent="0.25">
      <c r="A21" t="s">
        <v>8393</v>
      </c>
      <c r="B21" s="18" t="e">
        <f>AVERAGE(#REF!)</f>
        <v>#REF!</v>
      </c>
      <c r="C21" s="18" t="e">
        <f>AVERAGE(#REF!)</f>
        <v>#REF!</v>
      </c>
    </row>
    <row r="22" spans="1:3" ht="15.75" x14ac:dyDescent="0.25">
      <c r="A22" t="s">
        <v>8394</v>
      </c>
      <c r="B22" s="18" t="e">
        <f>MEDIAN(#REF!)</f>
        <v>#REF!</v>
      </c>
      <c r="C22" s="18" t="e">
        <f>MEDIAN(#REF!)</f>
        <v>#REF!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Stephens, Carson W.</cp:lastModifiedBy>
  <dcterms:created xsi:type="dcterms:W3CDTF">2017-04-20T15:17:24Z</dcterms:created>
  <dcterms:modified xsi:type="dcterms:W3CDTF">2020-12-13T23:53:40Z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S Version">
    <vt:lpwstr>14.13</vt:lpwstr>
  </property>
</Properties>
</file>