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externalLink+xml" PartName="/xl/externalLinks/externalLink1.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70" windowHeight="9060"/>
  </bookViews>
  <sheets>
    <sheet name="八边形" sheetId="1" r:id="rId1"/>
    <sheet name="毛坯库1.2" sheetId="2" r:id="rId2"/>
    <sheet name="毛坯库2.2" sheetId="3" r:id="rId3"/>
    <sheet name="3.2" sheetId="4" r:id="rId4"/>
  </sheets>
  <externalReferences>
    <externalReference r:id="rId5"/>
  </externalReferences>
  <definedNames>
    <definedName name="_xlnm.Print_Area" localSheetId="0">八边形!$A$1:$M$42</definedName>
    <definedName name="H">八边形!$B$6</definedName>
    <definedName name="L">八边形!$B$4</definedName>
    <definedName name="LI">八边形!$B$7</definedName>
    <definedName name="LO">八边形!$B$9</definedName>
    <definedName name="_xlnm.Print_Area">八边形!$A$2:$M$42</definedName>
    <definedName name="Quantity">八边形!$B$16</definedName>
    <definedName name="Radius">八边形!$B$11</definedName>
    <definedName name="Surface">八边形!$B$12</definedName>
    <definedName name="Unit_weight">八边形!$B$14</definedName>
    <definedName name="V">八边形!$B$13</definedName>
    <definedName name="W">八边形!$B$5</definedName>
    <definedName name="WI">八边形!$B$8</definedName>
    <definedName name="WO">八边形!$B$10</definedName>
  </definedNames>
  <calcPr calcId="144525"/>
</workbook>
</file>

<file path=xl/sharedStrings.xml><?xml version="1.0" encoding="utf-8"?>
<sst xmlns="http://schemas.openxmlformats.org/spreadsheetml/2006/main" count="65">
  <si>
    <t>产品类</t>
  </si>
  <si>
    <t>在粗线框中输入数据，输入数据后颜色改变的说明产品不属于此分类。</t>
  </si>
  <si>
    <t>规格</t>
  </si>
  <si>
    <t>限定条件</t>
  </si>
  <si>
    <t>成品公差</t>
  </si>
  <si>
    <t>上偏差</t>
  </si>
  <si>
    <t>下偏差</t>
  </si>
  <si>
    <t>黑片公差</t>
  </si>
  <si>
    <t>L/mm</t>
  </si>
  <si>
    <t>L&gt;=9&amp;L&lt;=18</t>
  </si>
  <si>
    <t>T≥0.03</t>
  </si>
  <si>
    <t>W/mm</t>
  </si>
  <si>
    <t>W&gt;=6&amp;W&lt;=13</t>
  </si>
  <si>
    <t>H/mm</t>
  </si>
  <si>
    <t>H&gt;=0.6</t>
  </si>
  <si>
    <t>LI/mm</t>
  </si>
  <si>
    <t>WI/mm</t>
  </si>
  <si>
    <t>LO/mm</t>
  </si>
  <si>
    <t>WO/mm</t>
  </si>
  <si>
    <t>R/mm</t>
  </si>
  <si>
    <t>表面积S/mm^2</t>
  </si>
  <si>
    <t>对角线</t>
  </si>
  <si>
    <t>体积V/mm^3</t>
  </si>
  <si>
    <t>重量/g</t>
  </si>
  <si>
    <t>选择毛坯</t>
  </si>
  <si>
    <t>收得率</t>
  </si>
  <si>
    <t>推荐毛坯</t>
  </si>
  <si>
    <t>数量/pcs</t>
  </si>
  <si>
    <t>调转</t>
  </si>
  <si>
    <t>刀数</t>
  </si>
  <si>
    <t>出片数</t>
  </si>
  <si>
    <t>总面积/dm^2</t>
  </si>
  <si>
    <r>
      <rPr>
        <sz val="11"/>
        <color indexed="8"/>
        <rFont val="宋体"/>
        <charset val="134"/>
      </rPr>
      <t>L</t>
    </r>
    <r>
      <rPr>
        <vertAlign val="subscript"/>
        <sz val="11"/>
        <color indexed="8"/>
        <rFont val="宋体"/>
        <charset val="134"/>
      </rPr>
      <t>0</t>
    </r>
  </si>
  <si>
    <t>·</t>
  </si>
  <si>
    <t>总重量/kg</t>
  </si>
  <si>
    <r>
      <rPr>
        <sz val="11"/>
        <color indexed="8"/>
        <rFont val="宋体"/>
        <charset val="134"/>
      </rPr>
      <t>W</t>
    </r>
    <r>
      <rPr>
        <vertAlign val="subscript"/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</si>
  <si>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H</t>
    </r>
    <r>
      <rPr>
        <vertAlign val="subscript"/>
        <sz val="11"/>
        <color indexed="8"/>
        <rFont val="宋体"/>
        <charset val="134"/>
      </rPr>
      <t>0</t>
    </r>
  </si>
  <si>
    <t>镀层种类</t>
  </si>
  <si>
    <t>环保彩锌</t>
  </si>
  <si>
    <t>镀层厚度</t>
  </si>
  <si>
    <t>5-10μm</t>
  </si>
  <si>
    <t>盐雾要求</t>
  </si>
  <si>
    <t>48h，7级</t>
  </si>
  <si>
    <t>结合力</t>
  </si>
  <si>
    <t>有要求</t>
  </si>
  <si>
    <t>对称度</t>
  </si>
  <si>
    <t>加工步骤</t>
  </si>
  <si>
    <t>切磨条：</t>
  </si>
  <si>
    <t>打孔：</t>
  </si>
  <si>
    <t>穿丝孔</t>
  </si>
  <si>
    <t>＜φ2</t>
  </si>
  <si>
    <t>成型磨：</t>
  </si>
  <si>
    <t>线切割：</t>
  </si>
  <si>
    <t>切片:</t>
  </si>
  <si>
    <t>备注：（本表格对应pdf尺寸代号）L→L1，LI→L2，LO→L3，W→W1，WI→W2，WO→W3，R→R</t>
  </si>
  <si>
    <t>此方向不磨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</si>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</sst>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0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color indexed="17"/>
      <name val="黑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8"/>
      <color indexed="8"/>
      <name val="宋体"/>
      <charset val="134"/>
    </font>
    <font>
      <sz val="8"/>
      <color indexed="10"/>
      <name val="宋体"/>
      <charset val="134"/>
    </font>
    <font>
      <sz val="8"/>
      <name val="宋体"/>
      <charset val="134"/>
    </font>
    <font>
      <sz val="12"/>
      <name val="宋体"/>
      <charset val="134"/>
    </font>
    <font>
      <vertAlign val="subscript"/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ont="1">
      <alignment vertical="center"/>
    </xf>
    <xf numFmtId="40" fontId="0" fillId="0" borderId="3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0" fillId="0" borderId="7" xfId="0" applyFill="1" applyBorder="1" applyAlignment="1">
      <alignment horizontal="center" vertical="center"/>
    </xf>
    <xf numFmtId="10" fontId="0" fillId="0" borderId="7" xfId="4" applyNumberFormat="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5" fillId="0" borderId="14" xfId="0" applyFont="1" applyBorder="1" applyAlignment="1">
      <alignment horizontal="right" vertical="top"/>
    </xf>
    <xf numFmtId="0" fontId="5" fillId="0" borderId="15" xfId="0" applyFont="1" applyBorder="1" applyAlignment="1">
      <alignment horizontal="left" vertical="top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right" vertical="top"/>
    </xf>
    <xf numFmtId="0" fontId="5" fillId="0" borderId="9" xfId="0" applyFont="1" applyBorder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6" fillId="0" borderId="18" xfId="0" applyFont="1" applyBorder="1" applyAlignment="1">
      <alignment horizontal="right" vertical="top"/>
    </xf>
    <xf numFmtId="0" fontId="6" fillId="0" borderId="19" xfId="0" applyFont="1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0" fontId="7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9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20" xfId="0" applyBorder="1">
      <alignment vertical="center"/>
    </xf>
    <xf numFmtId="0" fontId="3" fillId="0" borderId="7" xfId="0" applyFont="1" applyBorder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Border="1">
      <alignment vertical="center"/>
    </xf>
    <xf numFmtId="10" fontId="0" fillId="0" borderId="7" xfId="4" applyNumberFormat="1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1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\Documents and Settings\l\Application Data\Foxmail7\Temp-2588-20150609080446\&#20135;&#21697;&#24402;&#31867;1&#20462;&#2591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毛坯库1"/>
      <sheetName val="毛坯库2"/>
      <sheetName val="Sheet4"/>
      <sheetName val="Sheet2"/>
      <sheetName val="八边形"/>
      <sheetName val="八边形 (2)"/>
      <sheetName val="凸台 "/>
      <sheetName val="毛坯库1.3"/>
      <sheetName val="毛坯库2.3"/>
      <sheetName val="3.3"/>
      <sheetName val="凸台（略）"/>
      <sheetName val="毛坯库1.1"/>
      <sheetName val="毛坯库2.1"/>
      <sheetName val="3.1"/>
    </sheetNames>
    <sheetDataSet>
      <sheetData sheetId="0"/>
      <sheetData sheetId="1">
        <row r="1">
          <cell r="A1" t="str">
            <v>S1</v>
          </cell>
          <cell r="B1">
            <v>54</v>
          </cell>
          <cell r="C1">
            <v>54</v>
          </cell>
          <cell r="D1">
            <v>33</v>
          </cell>
        </row>
        <row r="2">
          <cell r="A2" t="str">
            <v>S2</v>
          </cell>
          <cell r="B2">
            <v>53</v>
          </cell>
          <cell r="C2">
            <v>25</v>
          </cell>
          <cell r="D2">
            <v>18</v>
          </cell>
        </row>
        <row r="3">
          <cell r="A3" t="str">
            <v>S3</v>
          </cell>
          <cell r="B3">
            <v>33</v>
          </cell>
          <cell r="C3">
            <v>23</v>
          </cell>
          <cell r="D3">
            <v>24</v>
          </cell>
        </row>
        <row r="4">
          <cell r="A4" t="str">
            <v>S4</v>
          </cell>
          <cell r="B4">
            <v>46</v>
          </cell>
          <cell r="C4">
            <v>25</v>
          </cell>
          <cell r="D4">
            <v>14</v>
          </cell>
        </row>
        <row r="5">
          <cell r="A5" t="str">
            <v>S5</v>
          </cell>
          <cell r="B5">
            <v>25</v>
          </cell>
          <cell r="C5">
            <v>32</v>
          </cell>
          <cell r="D5">
            <v>23</v>
          </cell>
        </row>
        <row r="6">
          <cell r="A6" t="str">
            <v>S6</v>
          </cell>
          <cell r="B6">
            <v>26</v>
          </cell>
          <cell r="C6">
            <v>44</v>
          </cell>
          <cell r="D6">
            <v>22</v>
          </cell>
        </row>
        <row r="7">
          <cell r="A7" t="str">
            <v>S7</v>
          </cell>
          <cell r="B7">
            <v>19</v>
          </cell>
          <cell r="C7">
            <v>12</v>
          </cell>
          <cell r="D7">
            <v>26</v>
          </cell>
        </row>
        <row r="8">
          <cell r="A8" t="str">
            <v>S8</v>
          </cell>
          <cell r="B8">
            <v>44</v>
          </cell>
          <cell r="C8">
            <v>33</v>
          </cell>
          <cell r="D8">
            <v>16</v>
          </cell>
        </row>
        <row r="9">
          <cell r="A9" t="str">
            <v>S9</v>
          </cell>
          <cell r="B9">
            <v>37</v>
          </cell>
          <cell r="C9">
            <v>18</v>
          </cell>
          <cell r="D9">
            <v>15</v>
          </cell>
        </row>
      </sheetData>
      <sheetData sheetId="2"/>
      <sheetData sheetId="3"/>
      <sheetData sheetId="4"/>
      <sheetData sheetId="5">
        <row r="4">
          <cell r="B4">
            <v>14.32</v>
          </cell>
        </row>
        <row r="5">
          <cell r="B5">
            <v>10.4</v>
          </cell>
        </row>
        <row r="6">
          <cell r="B6">
            <v>0.82</v>
          </cell>
        </row>
        <row r="16">
          <cell r="B16">
            <v>2000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42"/>
  <sheetViews>
    <sheetView tabSelected="1" view="pageBreakPreview" zoomScaleNormal="100" zoomScaleSheetLayoutView="100" topLeftCell="A13" workbookViewId="0">
      <selection activeCell="G39" sqref="G39:M42"/>
    </sheetView>
  </sheetViews>
  <sheetFormatPr defaultColWidth="9" defaultRowHeight="13.5"/>
  <cols>
    <col min="1" max="1" width="12.375" customWidth="1"/>
    <col min="2" max="2" width="12.75" customWidth="1"/>
    <col min="3" max="3" width="28.25" customWidth="1"/>
    <col min="4" max="4" width="6.625" customWidth="1"/>
    <col min="5" max="5" width="1.625" customWidth="1"/>
    <col min="6" max="6" width="7.125" customWidth="1"/>
    <col min="8" max="8" width="7.5" customWidth="1"/>
    <col min="9" max="9" width="7.125" customWidth="1"/>
    <col min="12" max="13" width="7.125" customWidth="1"/>
  </cols>
  <sheetData>
    <row r="2" ht="14.25" spans="1:3">
      <c r="A2" t="s">
        <v>0</v>
      </c>
      <c r="B2">
        <v>1</v>
      </c>
      <c r="C2" s="3" t="s">
        <v>1</v>
      </c>
    </row>
    <row r="3" ht="14.25" spans="1:13">
      <c r="A3" t="s">
        <v>2</v>
      </c>
      <c r="C3" s="4" t="s">
        <v>3</v>
      </c>
      <c r="D3" s="4"/>
      <c r="E3" s="4"/>
      <c r="G3" t="s">
        <v>4</v>
      </c>
      <c r="H3" t="s">
        <v>5</v>
      </c>
      <c r="I3" t="s">
        <v>6</v>
      </c>
      <c r="J3" s="4" t="s">
        <v>3</v>
      </c>
      <c r="K3" t="s">
        <v>7</v>
      </c>
      <c r="L3" s="62" t="s">
        <v>5</v>
      </c>
      <c r="M3" s="62" t="s">
        <v>6</v>
      </c>
    </row>
    <row r="4" spans="1:13">
      <c r="A4" t="s">
        <v>8</v>
      </c>
      <c r="B4" s="5">
        <v>14.32</v>
      </c>
      <c r="C4" s="4" t="s">
        <v>9</v>
      </c>
      <c r="D4" s="4"/>
      <c r="E4" s="4"/>
      <c r="H4" s="6">
        <v>0</v>
      </c>
      <c r="I4" s="63">
        <v>-0.08</v>
      </c>
      <c r="J4" s="4" t="s">
        <v>10</v>
      </c>
      <c r="L4" s="64">
        <f t="shared" ref="L4:L6" si="0">H4</f>
        <v>0</v>
      </c>
      <c r="M4" s="64">
        <f>L4-0.03</f>
        <v>-0.03</v>
      </c>
    </row>
    <row r="5" spans="1:13">
      <c r="A5" t="s">
        <v>11</v>
      </c>
      <c r="B5" s="7">
        <v>10.4</v>
      </c>
      <c r="C5" s="4" t="s">
        <v>12</v>
      </c>
      <c r="D5" s="4"/>
      <c r="E5" s="4"/>
      <c r="H5" s="8">
        <v>0</v>
      </c>
      <c r="I5" s="65">
        <v>-0.08</v>
      </c>
      <c r="J5" s="4" t="s">
        <v>10</v>
      </c>
      <c r="L5" s="64">
        <f>H5</f>
        <v>0</v>
      </c>
      <c r="M5" s="64">
        <f>L5-0.03</f>
        <v>-0.03</v>
      </c>
    </row>
    <row r="6" spans="1:13">
      <c r="A6" t="s">
        <v>13</v>
      </c>
      <c r="B6" s="7">
        <v>0.82</v>
      </c>
      <c r="C6" s="4" t="s">
        <v>14</v>
      </c>
      <c r="D6" s="4"/>
      <c r="E6" s="4"/>
      <c r="H6" s="8">
        <v>0</v>
      </c>
      <c r="I6" s="65">
        <v>-0.07</v>
      </c>
      <c r="J6" s="4" t="s">
        <v>10</v>
      </c>
      <c r="L6" s="64">
        <f>H6</f>
        <v>0</v>
      </c>
      <c r="M6" s="64">
        <f>ROUNDUP(L6-(H6-I6)/2,2)</f>
        <v>-0.04</v>
      </c>
    </row>
    <row r="7" spans="1:13">
      <c r="A7" t="s">
        <v>15</v>
      </c>
      <c r="B7" s="9">
        <v>10.64</v>
      </c>
      <c r="C7" s="4"/>
      <c r="D7" s="4"/>
      <c r="E7" s="4"/>
      <c r="H7" s="8">
        <v>0.08</v>
      </c>
      <c r="I7" s="66">
        <v>0</v>
      </c>
      <c r="J7" s="4" t="s">
        <v>10</v>
      </c>
      <c r="L7" s="64">
        <f>M7+0.04</f>
        <v>0.03</v>
      </c>
      <c r="M7" s="64">
        <f>I7-0.01</f>
        <v>-0.01</v>
      </c>
    </row>
    <row r="8" spans="1:13">
      <c r="A8" t="s">
        <v>16</v>
      </c>
      <c r="B8" s="9">
        <v>7.4</v>
      </c>
      <c r="C8" s="4"/>
      <c r="D8" s="4"/>
      <c r="E8" s="4"/>
      <c r="H8" s="8">
        <v>0.08</v>
      </c>
      <c r="I8" s="66">
        <v>0</v>
      </c>
      <c r="J8" s="4" t="s">
        <v>10</v>
      </c>
      <c r="L8" s="64">
        <f>M8+0.04</f>
        <v>0.03</v>
      </c>
      <c r="M8" s="64">
        <f>I8-0.01</f>
        <v>-0.01</v>
      </c>
    </row>
    <row r="9" spans="1:13">
      <c r="A9" s="10" t="s">
        <v>17</v>
      </c>
      <c r="B9" s="11">
        <v>2.77</v>
      </c>
      <c r="C9" s="4"/>
      <c r="D9" s="4"/>
      <c r="E9" s="4"/>
      <c r="H9" s="8">
        <v>0.1</v>
      </c>
      <c r="I9" s="66">
        <v>0</v>
      </c>
      <c r="J9" s="4" t="s">
        <v>10</v>
      </c>
      <c r="L9" s="64">
        <f>H9-0.02</f>
        <v>0.08</v>
      </c>
      <c r="M9" s="64">
        <f>I9+0.02</f>
        <v>0.02</v>
      </c>
    </row>
    <row r="10" spans="1:13">
      <c r="A10" t="s">
        <v>18</v>
      </c>
      <c r="B10" s="9">
        <v>2.65</v>
      </c>
      <c r="C10" s="4"/>
      <c r="D10" s="4"/>
      <c r="E10" s="4"/>
      <c r="H10" s="8">
        <v>0.1</v>
      </c>
      <c r="I10" s="66">
        <v>0</v>
      </c>
      <c r="J10" s="4" t="s">
        <v>10</v>
      </c>
      <c r="L10" s="64">
        <f>H10-0.02</f>
        <v>0.08</v>
      </c>
      <c r="M10" s="64">
        <f>I10+0.02</f>
        <v>0.02</v>
      </c>
    </row>
    <row r="11" ht="14.25" spans="1:13">
      <c r="A11" t="s">
        <v>19</v>
      </c>
      <c r="B11" s="12">
        <v>1.7</v>
      </c>
      <c r="C11" s="4"/>
      <c r="D11" s="4"/>
      <c r="E11" s="4"/>
      <c r="H11" s="13">
        <v>0</v>
      </c>
      <c r="I11" s="67">
        <v>-0.35</v>
      </c>
      <c r="J11" s="4" t="s">
        <v>10</v>
      </c>
      <c r="L11" s="64">
        <f>H11-0.05</f>
        <v>-0.05</v>
      </c>
      <c r="M11" s="64">
        <f>I11+0.05</f>
        <v>-0.3</v>
      </c>
    </row>
    <row r="12" spans="1:13">
      <c r="A12" t="s">
        <v>20</v>
      </c>
      <c r="B12">
        <f ca="1">H*((L-2*LO)*2+(W-2*WO)*2+POWER(LO^2+WO^2,1/2)*4+PI()*2*Radius+(LI-2*Radius)*2+(WI-2*Radius)*2)+(W*L-2*LO*WO-LI*WI+(4*Radius^2-PI()*Radius^2))*2</f>
        <v>178.512896918741</v>
      </c>
      <c r="K12" t="s">
        <v>21</v>
      </c>
      <c r="L12" s="62"/>
      <c r="M12" s="62"/>
    </row>
    <row r="13" spans="1:2">
      <c r="A13" t="s">
        <v>22</v>
      </c>
      <c r="B13">
        <f ca="1">(W*L-2*LO*WO-LI*WI+(4*Radius^2-PI()*Radius^2))*H</f>
        <v>47.5532737295229</v>
      </c>
    </row>
    <row r="14" spans="1:2">
      <c r="A14" t="s">
        <v>23</v>
      </c>
      <c r="B14">
        <f ca="1">V*7.5/1000</f>
        <v>0.356649552971422</v>
      </c>
    </row>
    <row r="15" ht="14.25" spans="7:11">
      <c r="G15" s="14" t="s">
        <v>24</v>
      </c>
      <c r="H15" s="14" t="str">
        <f ca="1">VLOOKUP(H20,'3.2'!I1:O9,2,FALSE)</f>
        <v>S3</v>
      </c>
      <c r="I15" s="14" t="s">
        <v>25</v>
      </c>
      <c r="J15" s="68"/>
      <c r="K15" s="62" t="s">
        <v>26</v>
      </c>
    </row>
    <row r="16" spans="1:11">
      <c r="A16" t="s">
        <v>27</v>
      </c>
      <c r="B16" s="15">
        <v>2000</v>
      </c>
      <c r="G16" s="14" t="s">
        <v>28</v>
      </c>
      <c r="H16" s="14">
        <f ca="1">VLOOKUP(H15,'3.2'!J1:K9,2)</f>
        <v>1</v>
      </c>
      <c r="I16" s="14" t="s">
        <v>29</v>
      </c>
      <c r="J16" s="14" t="s">
        <v>30</v>
      </c>
      <c r="K16" s="19"/>
    </row>
    <row r="17" ht="16.5" spans="1:13">
      <c r="A17" s="16" t="s">
        <v>31</v>
      </c>
      <c r="B17">
        <f ca="1">Surface*Quantity/10^4</f>
        <v>35.7025793837482</v>
      </c>
      <c r="G17" s="14" t="s">
        <v>32</v>
      </c>
      <c r="H17" s="14">
        <f ca="1">VLOOKUP(H15,'3.2'!A1:D9,IF(H16=0,3,2))</f>
        <v>33</v>
      </c>
      <c r="I17" s="14">
        <f ca="1">INT((H17-1.4)/(B4+0.4))</f>
        <v>2</v>
      </c>
      <c r="J17" s="14">
        <f ca="1">I17*I18*I19</f>
        <v>80</v>
      </c>
      <c r="K17" s="62">
        <f ca="1">ROUNDUP((B4+0.4)*I17+1.4,1)</f>
        <v>30.9</v>
      </c>
      <c r="M17" t="s">
        <v>33</v>
      </c>
    </row>
    <row r="18" ht="16.5" spans="1:11">
      <c r="A18" t="s">
        <v>34</v>
      </c>
      <c r="B18">
        <f ca="1">Unit_weight*Quantity/1000</f>
        <v>0.713299105942843</v>
      </c>
      <c r="G18" s="14" t="s">
        <v>35</v>
      </c>
      <c r="H18" s="14">
        <f ca="1">VLOOKUP(H15,'3.2'!A1:D9,IF(H16=0,2,3))</f>
        <v>23</v>
      </c>
      <c r="I18" s="14">
        <f ca="1">INT((H18-1.4)/(B5+0.4))</f>
        <v>2</v>
      </c>
      <c r="J18" s="14"/>
      <c r="K18" s="62">
        <f ca="1">ROUNDUP((B5+0.4)*I18+1.4,1)</f>
        <v>23</v>
      </c>
    </row>
    <row r="19" ht="16.5" spans="7:11">
      <c r="G19" s="14" t="s">
        <v>36</v>
      </c>
      <c r="H19" s="14">
        <f ca="1">VLOOKUP(H15,'3.2'!A1:D9,4)</f>
        <v>24</v>
      </c>
      <c r="I19" s="14">
        <f ca="1">INT((H19-1.3)/(B6+0.3))</f>
        <v>20</v>
      </c>
      <c r="J19" s="14"/>
      <c r="K19" s="62">
        <f ca="1">ROUNDUP((B6+0.3)*I19+1.3,1)</f>
        <v>23.7</v>
      </c>
    </row>
    <row r="20" spans="1:11">
      <c r="A20" t="s">
        <v>37</v>
      </c>
      <c r="B20" s="17" t="s">
        <v>38</v>
      </c>
      <c r="G20" s="18" t="s">
        <v>25</v>
      </c>
      <c r="H20" s="19">
        <f ca="1">MAX('3.2'!I:I)</f>
        <v>0.536323935002196</v>
      </c>
      <c r="I20" s="62"/>
      <c r="J20" s="62"/>
      <c r="K20" s="19">
        <f ca="1">IF(B16&gt;J17,B4*B5*B6*J17/K17/K18/K19,B4*B5*B6*B16/K17/K18/K19)</f>
        <v>0.580023427309736</v>
      </c>
    </row>
    <row r="21" spans="1:2">
      <c r="A21" t="s">
        <v>39</v>
      </c>
      <c r="B21" s="17" t="s">
        <v>40</v>
      </c>
    </row>
    <row r="22" spans="1:2">
      <c r="A22" t="s">
        <v>41</v>
      </c>
      <c r="B22" s="17" t="s">
        <v>42</v>
      </c>
    </row>
    <row r="23" spans="1:2">
      <c r="A23" t="s">
        <v>43</v>
      </c>
      <c r="B23" s="17" t="s">
        <v>44</v>
      </c>
    </row>
    <row r="24" spans="1:2">
      <c r="A24" s="16" t="s">
        <v>45</v>
      </c>
      <c r="B24" s="20">
        <v>0.05</v>
      </c>
    </row>
    <row r="25" spans="1:1">
      <c r="A25" t="s">
        <v>46</v>
      </c>
    </row>
    <row r="26" spans="2:6">
      <c r="B26" s="21" t="s">
        <v>47</v>
      </c>
      <c r="C26" s="22" t="str">
        <f ca="1">CONCATENATE(H17,"切出",I17,"片")</f>
        <v>33切出2片</v>
      </c>
      <c r="D26" s="23">
        <f ca="1">L</f>
        <v>14.32</v>
      </c>
      <c r="E26" s="24" t="str">
        <f>IF(L4&gt;0,"+",IF(L4&lt;0,"-",""))</f>
        <v/>
      </c>
      <c r="F26" s="25">
        <f>ABS(L4)</f>
        <v>0</v>
      </c>
    </row>
    <row r="27" ht="11.25" customHeight="1" spans="2:6">
      <c r="B27" s="21"/>
      <c r="C27" s="26"/>
      <c r="D27" s="27"/>
      <c r="E27" s="28" t="str">
        <f>IF(M4&gt;0,"+",IF(M4&lt;0,"-",""))</f>
        <v>-</v>
      </c>
      <c r="F27" s="29">
        <f>ABS(M4)</f>
        <v>0.03</v>
      </c>
    </row>
    <row r="28" spans="2:6">
      <c r="B28" s="21"/>
      <c r="C28" s="22" t="str">
        <f ca="1">CONCATENATE(H18,"切出",I18,"片")</f>
        <v>23切出2片</v>
      </c>
      <c r="D28" s="23">
        <f ca="1">W</f>
        <v>10.4</v>
      </c>
      <c r="E28" s="24" t="str">
        <f>IF(L5&gt;0,"+",IF(L5&lt;0,"-",""))</f>
        <v/>
      </c>
      <c r="F28" s="25">
        <f>ABS(L5)</f>
        <v>0</v>
      </c>
    </row>
    <row r="29" ht="10.5" customHeight="1" spans="2:6">
      <c r="B29" s="21"/>
      <c r="C29" s="30"/>
      <c r="D29" s="31"/>
      <c r="E29" s="32" t="str">
        <f>IF(M5&gt;0,"+",IF(M5&lt;0,"-",""))</f>
        <v>-</v>
      </c>
      <c r="F29" s="33">
        <f>ABS(M5)</f>
        <v>0.03</v>
      </c>
    </row>
    <row r="30" spans="2:6">
      <c r="B30" s="34" t="s">
        <v>48</v>
      </c>
      <c r="C30" s="35" t="s">
        <v>49</v>
      </c>
      <c r="D30" s="36" t="s">
        <v>50</v>
      </c>
      <c r="E30" s="37"/>
      <c r="F30" s="38"/>
    </row>
    <row r="31" spans="2:6">
      <c r="B31" s="21" t="s">
        <v>51</v>
      </c>
      <c r="C31" s="30" t="str">
        <f ca="1">CONCATENATE("磨LO",LO,"公差",L9,"/",M9)</f>
        <v>磨LO2.77公差0.08/0.02</v>
      </c>
      <c r="D31" s="39">
        <f ca="1">LO</f>
        <v>2.77</v>
      </c>
      <c r="E31" s="40" t="str">
        <f>IF(L9&gt;0,"+",IF(L9&lt;0,"-",""))</f>
        <v>+</v>
      </c>
      <c r="F31" s="41">
        <f>ABS(L9)</f>
        <v>0.08</v>
      </c>
    </row>
    <row r="32" ht="10.5" customHeight="1" spans="2:6">
      <c r="B32" s="21"/>
      <c r="C32" s="30"/>
      <c r="D32" s="42"/>
      <c r="E32" s="32" t="str">
        <f>IF(M11&gt;0,"+",IF(M11&lt;0,"-",""))</f>
        <v>-</v>
      </c>
      <c r="F32" s="33">
        <f>ABS(M9)</f>
        <v>0.02</v>
      </c>
    </row>
    <row r="33" spans="2:6">
      <c r="B33" s="21"/>
      <c r="C33" s="22" t="str">
        <f ca="1">CONCATENATE("磨WO",WO,"公差",L10,"/",M10)</f>
        <v>磨WO2.65公差0.08/0.02</v>
      </c>
      <c r="D33" s="43">
        <f ca="1">WO</f>
        <v>2.65</v>
      </c>
      <c r="E33" s="24" t="str">
        <f>IF(L10&gt;0,"+",IF(L10&lt;0,"-",""))</f>
        <v>+</v>
      </c>
      <c r="F33" s="25">
        <f>ABS(L10)</f>
        <v>0.08</v>
      </c>
    </row>
    <row r="34" ht="9.75" customHeight="1" spans="2:6">
      <c r="B34" s="21"/>
      <c r="C34" s="30"/>
      <c r="D34" s="42"/>
      <c r="E34" s="32" t="str">
        <f>IF(M10&gt;0,"+",IF(M10&lt;0,"-",""))</f>
        <v>+</v>
      </c>
      <c r="F34" s="33">
        <f>ABS(M10)</f>
        <v>0.02</v>
      </c>
    </row>
    <row r="35" ht="12.75" customHeight="1" spans="2:6">
      <c r="B35" s="44" t="s">
        <v>52</v>
      </c>
      <c r="C35" s="45" t="str">
        <f ca="1">CONCATENATE("线切",LI,"公差",L7,"/",M7)</f>
        <v>线切10.64公差0.03/-0.01</v>
      </c>
      <c r="D35" s="46">
        <f ca="1">LI</f>
        <v>10.64</v>
      </c>
      <c r="E35" s="47" t="str">
        <f>IF(L7&gt;0,"+",IF(L7&lt;0,"-",""))</f>
        <v>+</v>
      </c>
      <c r="F35" s="48">
        <f>ABS(L7)</f>
        <v>0.03</v>
      </c>
    </row>
    <row r="36" ht="9.75" customHeight="1" spans="2:6">
      <c r="B36" s="44"/>
      <c r="C36" s="49"/>
      <c r="D36" s="50"/>
      <c r="E36" s="51" t="str">
        <f>IF(M7&gt;0,"+",IF(M7&lt;0,"-",""))</f>
        <v>-</v>
      </c>
      <c r="F36" s="52">
        <f>ABS(M7)</f>
        <v>0.01</v>
      </c>
    </row>
    <row r="37" ht="10.5" customHeight="1" spans="2:6">
      <c r="B37" s="44"/>
      <c r="C37" s="53" t="str">
        <f ca="1">CONCATENATE("线切",WI,"公差",L8,"/",M8)</f>
        <v>线切7.4公差0.03/-0.01</v>
      </c>
      <c r="D37" s="54">
        <f ca="1">WI</f>
        <v>7.4</v>
      </c>
      <c r="E37" s="55" t="str">
        <f>IF(L8&gt;0,"+",IF(L8&lt;0,"-",""))</f>
        <v>+</v>
      </c>
      <c r="F37" s="56">
        <f>ABS(L8)</f>
        <v>0.03</v>
      </c>
    </row>
    <row r="38" ht="9.75" customHeight="1" spans="2:6">
      <c r="B38" s="44"/>
      <c r="C38" s="49"/>
      <c r="D38" s="50"/>
      <c r="E38" s="51" t="str">
        <f>IF(M8&gt;0,"+",IF(M8&lt;0,"-",""))</f>
        <v>-</v>
      </c>
      <c r="F38" s="52">
        <f>ABS(M8)</f>
        <v>0.01</v>
      </c>
    </row>
    <row r="39" spans="2:13">
      <c r="B39" s="21" t="s">
        <v>53</v>
      </c>
      <c r="C39" s="30" t="str">
        <f ca="1">CONCATENATE(H19,"切出",I19,"片")</f>
        <v>24切出20片</v>
      </c>
      <c r="D39" s="57">
        <f ca="1">H</f>
        <v>0.82</v>
      </c>
      <c r="E39" s="40" t="str">
        <f>IF(L6&gt;0,"+",IF(L6&lt;0,"-",""))</f>
        <v/>
      </c>
      <c r="F39" s="41">
        <f>ABS(L6)</f>
        <v>0</v>
      </c>
      <c r="G39" s="58" t="s">
        <v>54</v>
      </c>
      <c r="H39" s="58"/>
      <c r="I39" s="58"/>
      <c r="J39" s="58"/>
      <c r="K39" s="58"/>
      <c r="L39" s="58"/>
      <c r="M39" s="58"/>
    </row>
    <row r="40" spans="2:13">
      <c r="B40" s="21"/>
      <c r="C40" s="30"/>
      <c r="D40" s="31"/>
      <c r="E40" s="32" t="str">
        <f>IF(M6&gt;0,"+",IF(M6&lt;0,"-",""))</f>
        <v>-</v>
      </c>
      <c r="F40" s="33">
        <f>ABS(M6)</f>
        <v>0.04</v>
      </c>
      <c r="G40" s="58"/>
      <c r="H40" s="58"/>
      <c r="I40" s="58"/>
      <c r="J40" s="58"/>
      <c r="K40" s="58"/>
      <c r="L40" s="58"/>
      <c r="M40" s="58"/>
    </row>
    <row r="41" spans="3:13">
      <c r="C41" s="59" t="s">
        <v>55</v>
      </c>
      <c r="D41" s="60"/>
      <c r="E41" s="60"/>
      <c r="F41" s="61"/>
      <c r="G41" s="58"/>
      <c r="H41" s="58"/>
      <c r="I41" s="58"/>
      <c r="J41" s="58"/>
      <c r="K41" s="58"/>
      <c r="L41" s="58"/>
      <c r="M41" s="58"/>
    </row>
    <row r="42" spans="7:13">
      <c r="G42" s="58"/>
      <c r="H42" s="58"/>
      <c r="I42" s="58"/>
      <c r="J42" s="58"/>
      <c r="K42" s="58"/>
      <c r="L42" s="58"/>
      <c r="M42" s="58"/>
    </row>
  </sheetData>
  <protectedRanges>
    <protectedRange sqref="B16 B4:B11 H4:I11" name="区域1" securityDescriptor=""/>
  </protectedRanges>
  <mergeCells count="20">
    <mergeCell ref="C41:D41"/>
    <mergeCell ref="B26:B29"/>
    <mergeCell ref="B31:B34"/>
    <mergeCell ref="B35:B38"/>
    <mergeCell ref="B39:B40"/>
    <mergeCell ref="C26:C27"/>
    <mergeCell ref="C28:C29"/>
    <mergeCell ref="C31:C32"/>
    <mergeCell ref="C33:C34"/>
    <mergeCell ref="C35:C36"/>
    <mergeCell ref="C37:C38"/>
    <mergeCell ref="C39:C40"/>
    <mergeCell ref="D26:D27"/>
    <mergeCell ref="D28:D29"/>
    <mergeCell ref="D31:D32"/>
    <mergeCell ref="D33:D34"/>
    <mergeCell ref="D35:D36"/>
    <mergeCell ref="D37:D38"/>
    <mergeCell ref="D39:D40"/>
    <mergeCell ref="G39:M42"/>
  </mergeCells>
  <conditionalFormatting sqref="B11">
    <cfRule type="cellIs" dxfId="0" priority="1" stopIfTrue="1" operator="greaterThan">
      <formula>($B$5-0.7)/2</formula>
    </cfRule>
    <cfRule type="cellIs" dxfId="1" priority="2" stopIfTrue="1" operator="greaterThan">
      <formula>2</formula>
    </cfRule>
    <cfRule type="cellIs" dxfId="2" priority="3" stopIfTrue="1" operator="lessThan">
      <formula>0.35</formula>
    </cfRule>
  </conditionalFormatting>
  <conditionalFormatting sqref="I6">
    <cfRule type="cellIs" dxfId="3" priority="4" stopIfTrue="1" operator="greaterThan">
      <formula>$H$6-0.03</formula>
    </cfRule>
  </conditionalFormatting>
  <conditionalFormatting sqref="B5">
    <cfRule type="cellIs" dxfId="4" priority="5" stopIfTrue="1" operator="lessThan">
      <formula>$B$6</formula>
    </cfRule>
    <cfRule type="cellIs" dxfId="5" priority="6" stopIfTrue="1" operator="greaterThan">
      <formula>$B$4</formula>
    </cfRule>
  </conditionalFormatting>
  <conditionalFormatting sqref="I4">
    <cfRule type="cellIs" dxfId="6" priority="7" stopIfTrue="1" operator="greaterThan">
      <formula>$H$4-0.03</formula>
    </cfRule>
  </conditionalFormatting>
  <conditionalFormatting sqref="I5">
    <cfRule type="cellIs" dxfId="7" priority="8" stopIfTrue="1" operator="greaterThan">
      <formula>$H$5-0.03</formula>
    </cfRule>
  </conditionalFormatting>
  <conditionalFormatting sqref="B6">
    <cfRule type="cellIs" dxfId="8" priority="9" stopIfTrue="1" operator="lessThan">
      <formula>0.6</formula>
    </cfRule>
  </conditionalFormatting>
  <conditionalFormatting sqref="B4">
    <cfRule type="cellIs" dxfId="9" priority="10" stopIfTrue="1" operator="lessThan">
      <formula>9</formula>
    </cfRule>
    <cfRule type="cellIs" dxfId="10" priority="11" stopIfTrue="1" operator="greaterThan">
      <formula>18</formula>
    </cfRule>
  </conditionalFormatting>
  <pageMargins left="0.699305555555556" right="0.699305555555556" top="0.75" bottom="0.75" header="0.3" footer="0.3"/>
  <pageSetup paperSize="9" scale="87" orientation="landscape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L6" sqref="L6"/>
    </sheetView>
  </sheetViews>
  <sheetFormatPr defaultColWidth="9" defaultRowHeight="13.5"/>
  <sheetData>
    <row r="1" spans="1:12">
      <c r="A1" t="s">
        <v>56</v>
      </c>
      <c r="B1">
        <v>54</v>
      </c>
      <c r="C1">
        <v>54</v>
      </c>
      <c r="D1">
        <v>33</v>
      </c>
      <c r="F1">
        <f>INT((B1-1.4)/([1]八边形!B4+0.4))</f>
        <v>3</v>
      </c>
      <c r="G1">
        <f>INT((C1-1.4)/([1]八边形!B5+0.4))</f>
        <v>4</v>
      </c>
      <c r="H1">
        <f>INT((D1-1.3)/([1]八边形!B6+0.3))</f>
        <v>28</v>
      </c>
      <c r="J1">
        <f>F1*G1*H1</f>
        <v>336</v>
      </c>
      <c r="L1">
        <f>IF(J1&gt;[1]八边形!B16,[1]八边形!B16*[1]八边形!B4*[1]八边形!B5*[1]八边形!B6/B1/C1/D1,J1*[1]八边形!B4*[1]八边形!B5*[1]八边形!B6/B1/C1/D1)</f>
        <v>0.426410634742487</v>
      </c>
    </row>
    <row r="2" spans="1:12">
      <c r="A2" t="s">
        <v>57</v>
      </c>
      <c r="B2">
        <v>53</v>
      </c>
      <c r="C2">
        <v>25</v>
      </c>
      <c r="D2">
        <v>18</v>
      </c>
      <c r="F2">
        <f>INT((B2-1.4)/([1]八边形!B4+0.4))</f>
        <v>3</v>
      </c>
      <c r="G2">
        <f>INT((C2-1.4)/([1]八边形!B5+0.4))</f>
        <v>2</v>
      </c>
      <c r="H2">
        <f>INT((D2-1.3)/([1]八边形!B6+0.3))</f>
        <v>14</v>
      </c>
      <c r="J2">
        <f t="shared" ref="J2:J9" si="0">F2*G2*H2</f>
        <v>84</v>
      </c>
      <c r="L2">
        <f>IF(J2&gt;[1]八边形!B16,[1]八边形!B16*[1]八边形!B4*[1]八边形!B5*[1]八边形!B6/B2/C2/D2,J2*[1]八边形!B4*[1]八边形!B5*[1]八边形!B6/B2/C2/D2)</f>
        <v>0.430111557232704</v>
      </c>
    </row>
    <row r="3" spans="1:12">
      <c r="A3" t="s">
        <v>58</v>
      </c>
      <c r="B3">
        <v>33</v>
      </c>
      <c r="C3">
        <v>23</v>
      </c>
      <c r="D3">
        <v>24</v>
      </c>
      <c r="F3">
        <f>INT((B3-1.4)/([1]八边形!B4+0.4))</f>
        <v>2</v>
      </c>
      <c r="G3">
        <f>INT((C3-1.4)/([1]八边形!B5+0.4))</f>
        <v>2</v>
      </c>
      <c r="H3">
        <f>INT((D3-1.3)/([1]八边形!B6+0.3))</f>
        <v>20</v>
      </c>
      <c r="J3">
        <f>F3*G3*H3</f>
        <v>80</v>
      </c>
      <c r="L3">
        <f>IF(J3&gt;[1]八边形!B16,[1]八边形!B16*[1]八边形!B4*[1]八边形!B5*[1]八边形!B6/B3/C3/D3,J3*[1]八边形!B4*[1]八边形!B5*[1]八边形!B6/B3/C3/D3)</f>
        <v>0.536323935002196</v>
      </c>
    </row>
    <row r="4" spans="1:12">
      <c r="A4" t="s">
        <v>59</v>
      </c>
      <c r="B4">
        <v>46</v>
      </c>
      <c r="C4">
        <v>25</v>
      </c>
      <c r="D4">
        <v>14</v>
      </c>
      <c r="F4">
        <f>INT((B4-1.4)/([1]八边形!B4+0.4))</f>
        <v>3</v>
      </c>
      <c r="G4">
        <f>INT((C4-1.4)/([1]八边形!B5+0.4))</f>
        <v>2</v>
      </c>
      <c r="H4">
        <f>INT((D4-1.3)/([1]八边形!B6+0.3))</f>
        <v>11</v>
      </c>
      <c r="J4">
        <f>F4*G4*H4</f>
        <v>66</v>
      </c>
      <c r="L4">
        <f>IF(J4&gt;[1]八边形!B16,[1]八边形!B16*[1]八边形!B4*[1]八边形!B5*[1]八边形!B6/B4/C4/D4,J4*[1]八边形!B4*[1]八边形!B5*[1]八边形!B6/B4/C4/D4)</f>
        <v>0.50062008447205</v>
      </c>
    </row>
    <row r="5" spans="1:12">
      <c r="A5" t="s">
        <v>60</v>
      </c>
      <c r="B5">
        <v>25</v>
      </c>
      <c r="C5">
        <v>32</v>
      </c>
      <c r="D5">
        <v>23</v>
      </c>
      <c r="F5">
        <f>INT((B5-1.4)/([1]八边形!B4+0.4))</f>
        <v>1</v>
      </c>
      <c r="G5">
        <f>INT((C5-1.4)/([1]八边形!B5+0.4))</f>
        <v>2</v>
      </c>
      <c r="H5">
        <f>INT((D5-1.3)/([1]八边形!B6+0.3))</f>
        <v>19</v>
      </c>
      <c r="J5">
        <f>F5*G5*H5</f>
        <v>38</v>
      </c>
      <c r="L5">
        <f>IF(J5&gt;[1]八边形!B16,[1]八边形!B16*[1]八边形!B4*[1]八边形!B5*[1]八边形!B6/B5/C5/D5,J5*[1]八边形!B4*[1]八边形!B5*[1]八边形!B6/B5/C5/D5)</f>
        <v>0.252206330434783</v>
      </c>
    </row>
    <row r="6" spans="1:12">
      <c r="A6" t="s">
        <v>61</v>
      </c>
      <c r="B6">
        <v>26</v>
      </c>
      <c r="C6">
        <v>44</v>
      </c>
      <c r="D6">
        <v>22</v>
      </c>
      <c r="F6">
        <f>INT((B6-1.4)/([1]八边形!B4+0.4))</f>
        <v>1</v>
      </c>
      <c r="G6">
        <f>INT((C6-1.4)/([1]八边形!B5+0.4))</f>
        <v>3</v>
      </c>
      <c r="H6">
        <f>INT((D6-1.3)/([1]八边形!B6+0.3))</f>
        <v>18</v>
      </c>
      <c r="J6">
        <f>F6*G6*H6</f>
        <v>54</v>
      </c>
      <c r="L6">
        <f>IF(J6&gt;[1]八边形!B16,[1]八边形!B16*[1]八边形!B4*[1]八边形!B5*[1]八边形!B6/B6/C6/D6,J6*[1]八边形!B4*[1]八边形!B5*[1]八边形!B6/B6/C6/D6)</f>
        <v>0.262020495867769</v>
      </c>
    </row>
    <row r="7" spans="1:12">
      <c r="A7" t="s">
        <v>62</v>
      </c>
      <c r="B7">
        <v>19</v>
      </c>
      <c r="C7">
        <v>12</v>
      </c>
      <c r="D7">
        <v>26</v>
      </c>
      <c r="F7">
        <f>INT((B7-1.4)/([1]八边形!B4+0.4))</f>
        <v>1</v>
      </c>
      <c r="G7">
        <f>INT((C7-1.4)/([1]八边形!B5+0.4))</f>
        <v>0</v>
      </c>
      <c r="H7">
        <f>INT((D7-1.3)/([1]八边形!B6+0.3))</f>
        <v>22</v>
      </c>
      <c r="J7">
        <f>F7*G7*H7</f>
        <v>0</v>
      </c>
      <c r="L7">
        <f>IF(J7&gt;[1]八边形!B16,[1]八边形!B16*[1]八边形!B4*[1]八边形!B5*[1]八边形!B6/B7/C7/D7,J7*[1]八边形!B4*[1]八边形!B5*[1]八边形!B6/B7/C7/D7)</f>
        <v>0</v>
      </c>
    </row>
    <row r="8" spans="1:12">
      <c r="A8" t="s">
        <v>63</v>
      </c>
      <c r="B8">
        <v>44</v>
      </c>
      <c r="C8">
        <v>33</v>
      </c>
      <c r="D8">
        <v>16</v>
      </c>
      <c r="F8">
        <f>INT((B8-1.4)/([1]八边形!B4+0.4))</f>
        <v>2</v>
      </c>
      <c r="G8">
        <f>INT((C8-1.4)/([1]八边形!B5+0.4))</f>
        <v>2</v>
      </c>
      <c r="H8">
        <f>INT((D8-1.3)/([1]八边形!B6+0.3))</f>
        <v>13</v>
      </c>
      <c r="J8">
        <f>F8*G8*H8</f>
        <v>52</v>
      </c>
      <c r="L8">
        <f>IF(J8&gt;[1]八边形!B16,[1]八边形!B16*[1]八边形!B4*[1]八边形!B5*[1]八边形!B6/B8/C8/D8,J8*[1]八边形!B4*[1]八边形!B5*[1]八边形!B6/B8/C8/D8)</f>
        <v>0.273342369146006</v>
      </c>
    </row>
    <row r="9" spans="1:12">
      <c r="A9" t="s">
        <v>64</v>
      </c>
      <c r="B9">
        <v>37</v>
      </c>
      <c r="C9">
        <v>18</v>
      </c>
      <c r="D9">
        <v>15</v>
      </c>
      <c r="F9">
        <f>INT((B9-1.4)/([1]八边形!B4+0.4))</f>
        <v>2</v>
      </c>
      <c r="G9">
        <f>INT((C9-1.4)/([1]八边形!B5+0.4))</f>
        <v>1</v>
      </c>
      <c r="H9">
        <f>INT((D9-1.3)/([1]八边形!B6+0.3))</f>
        <v>12</v>
      </c>
      <c r="J9">
        <f>F9*G9*H9</f>
        <v>24</v>
      </c>
      <c r="L9">
        <f>IF(J9&gt;[1]八边形!B16,[1]八边形!B16*[1]八边形!B4*[1]八边形!B5*[1]八边形!B6/B9/C9/D9,J9*[1]八边形!B4*[1]八边形!B5*[1]八边形!B6/B9/C9/D9)</f>
        <v>0.293383687687688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J25" sqref="J25"/>
    </sheetView>
  </sheetViews>
  <sheetFormatPr defaultColWidth="9" defaultRowHeight="13.5"/>
  <sheetData>
    <row r="1" spans="1:12">
      <c r="A1" t="str">
        <f>[1]毛坯库1!A1</f>
        <v>S1</v>
      </c>
      <c r="B1">
        <f>[1]毛坯库1!C1</f>
        <v>54</v>
      </c>
      <c r="C1">
        <f>[1]毛坯库1!B1</f>
        <v>54</v>
      </c>
      <c r="D1">
        <f>[1]毛坯库1!D1</f>
        <v>33</v>
      </c>
      <c r="F1">
        <f>INT((B1-1.4)/([1]八边形!B4+0.4))</f>
        <v>3</v>
      </c>
      <c r="G1">
        <f>INT((C1-1.4)/([1]八边形!B5+0.4))</f>
        <v>4</v>
      </c>
      <c r="H1">
        <f>INT((D1-1.3)/([1]八边形!B6+0.3))</f>
        <v>28</v>
      </c>
      <c r="J1">
        <f>F1*G1*H1</f>
        <v>336</v>
      </c>
      <c r="L1">
        <f>IF(J1&gt;[1]八边形!B16,[1]八边形!B16*[1]八边形!B4*[1]八边形!B5*[1]八边形!B6/B1/C1/D1,J1*[1]八边形!B4*[1]八边形!B5*[1]八边形!B6/B1/C1/D1)</f>
        <v>0.426410634742487</v>
      </c>
    </row>
    <row r="2" spans="1:12">
      <c r="A2" t="str">
        <f>[1]毛坯库1!A2</f>
        <v>S2</v>
      </c>
      <c r="B2">
        <f>[1]毛坯库1!C2</f>
        <v>25</v>
      </c>
      <c r="C2">
        <f>[1]毛坯库1!B2</f>
        <v>53</v>
      </c>
      <c r="D2">
        <f>[1]毛坯库1!D2</f>
        <v>18</v>
      </c>
      <c r="F2">
        <f>INT((B2-1.4)/([1]八边形!B4+0.4))</f>
        <v>1</v>
      </c>
      <c r="G2">
        <f>INT((C2-1.4)/([1]八边形!B5+0.4))</f>
        <v>4</v>
      </c>
      <c r="H2">
        <f>INT((D2-1.3)/([1]八边形!B6+0.3))</f>
        <v>14</v>
      </c>
      <c r="J2">
        <f t="shared" ref="J2:J9" si="0">F2*G2*H2</f>
        <v>56</v>
      </c>
      <c r="L2">
        <f>IF(J2&gt;[1]八边形!B16,[1]八边形!B16*[1]八边形!B4*[1]八边形!B5*[1]八边形!B6/B2/C2/D2,J2*[1]八边形!B4*[1]八边形!B5*[1]八边形!B6/B2/C2/D2)</f>
        <v>0.286741038155136</v>
      </c>
    </row>
    <row r="3" spans="1:12">
      <c r="A3" t="str">
        <f>[1]毛坯库1!A3</f>
        <v>S3</v>
      </c>
      <c r="B3">
        <f>[1]毛坯库1!C3</f>
        <v>23</v>
      </c>
      <c r="C3">
        <f>[1]毛坯库1!B3</f>
        <v>33</v>
      </c>
      <c r="D3">
        <f>[1]毛坯库1!D3</f>
        <v>24</v>
      </c>
      <c r="F3">
        <f>INT((B3-1.4)/([1]八边形!B4+0.4))</f>
        <v>1</v>
      </c>
      <c r="G3">
        <f>INT((C3-1.4)/([1]八边形!B5+0.4))</f>
        <v>2</v>
      </c>
      <c r="H3">
        <f>INT((D3-1.3)/([1]八边形!B6+0.3))</f>
        <v>20</v>
      </c>
      <c r="J3">
        <f>F3*G3*H3</f>
        <v>40</v>
      </c>
      <c r="L3">
        <f>IF(J3&gt;[1]八边形!B16,[1]八边形!B16*[1]八边形!B4*[1]八边形!B5*[1]八边形!B6/B3/C3/D3,J3*[1]八边形!B4*[1]八边形!B5*[1]八边形!B6/B3/C3/D3)</f>
        <v>0.268161967501098</v>
      </c>
    </row>
    <row r="4" spans="1:12">
      <c r="A4" t="str">
        <f>[1]毛坯库1!A4</f>
        <v>S4</v>
      </c>
      <c r="B4">
        <f>[1]毛坯库1!C4</f>
        <v>25</v>
      </c>
      <c r="C4">
        <f>[1]毛坯库1!B4</f>
        <v>46</v>
      </c>
      <c r="D4">
        <f>[1]毛坯库1!D4</f>
        <v>14</v>
      </c>
      <c r="F4">
        <f>INT((B4-1.4)/([1]八边形!B4+0.4))</f>
        <v>1</v>
      </c>
      <c r="G4">
        <f>INT((C4-1.4)/([1]八边形!B5+0.4))</f>
        <v>4</v>
      </c>
      <c r="H4">
        <f>INT((D4-1.3)/([1]八边形!B6+0.3))</f>
        <v>11</v>
      </c>
      <c r="J4">
        <f>F4*G4*H4</f>
        <v>44</v>
      </c>
      <c r="L4">
        <f>IF(J4&gt;[1]八边形!B16,[1]八边形!B16*[1]八边形!B4*[1]八边形!B5*[1]八边形!B6/B4/C4/D4,J4*[1]八边形!B4*[1]八边形!B5*[1]八边形!B6/B4/C4/D4)</f>
        <v>0.333746722981366</v>
      </c>
    </row>
    <row r="5" spans="1:12">
      <c r="A5" t="str">
        <f>[1]毛坯库1!A5</f>
        <v>S5</v>
      </c>
      <c r="B5">
        <f>[1]毛坯库1!C5</f>
        <v>32</v>
      </c>
      <c r="C5">
        <f>[1]毛坯库1!B5</f>
        <v>25</v>
      </c>
      <c r="D5">
        <f>[1]毛坯库1!D5</f>
        <v>23</v>
      </c>
      <c r="F5">
        <f>INT((B5-1.4)/([1]八边形!B4+0.4))</f>
        <v>2</v>
      </c>
      <c r="G5">
        <f>INT((C5-1.4)/([1]八边形!B5+0.4))</f>
        <v>2</v>
      </c>
      <c r="H5">
        <f>INT((D5-1.3)/([1]八边形!B6+0.3))</f>
        <v>19</v>
      </c>
      <c r="J5">
        <f>F5*G5*H5</f>
        <v>76</v>
      </c>
      <c r="L5">
        <f>IF(J5&gt;[1]八边形!B16,[1]八边形!B16*[1]八边形!B4*[1]八边形!B5*[1]八边形!B6/B5/C5/D5,J5*[1]八边形!B4*[1]八边形!B5*[1]八边形!B6/B5/C5/D5)</f>
        <v>0.504412660869565</v>
      </c>
    </row>
    <row r="6" spans="1:12">
      <c r="A6" t="str">
        <f>[1]毛坯库1!A6</f>
        <v>S6</v>
      </c>
      <c r="B6">
        <f>[1]毛坯库1!C6</f>
        <v>44</v>
      </c>
      <c r="C6">
        <f>[1]毛坯库1!B6</f>
        <v>26</v>
      </c>
      <c r="D6">
        <f>[1]毛坯库1!D6</f>
        <v>22</v>
      </c>
      <c r="F6">
        <f>INT((B6-1.4)/([1]八边形!B4+0.4))</f>
        <v>2</v>
      </c>
      <c r="G6">
        <f>INT((C6-1.4)/([1]八边形!B5+0.4))</f>
        <v>2</v>
      </c>
      <c r="H6">
        <f>INT((D6-1.3)/([1]八边形!B6+0.3))</f>
        <v>18</v>
      </c>
      <c r="J6">
        <f>F6*G6*H6</f>
        <v>72</v>
      </c>
      <c r="L6">
        <f>IF(J6&gt;[1]八边形!B16,[1]八边形!B16*[1]八边形!B4*[1]八边形!B5*[1]八边形!B6/B6/C6/D6,J6*[1]八边形!B4*[1]八边形!B5*[1]八边形!B6/B6/C6/D6)</f>
        <v>0.349360661157025</v>
      </c>
    </row>
    <row r="7" spans="1:12">
      <c r="A7" t="str">
        <f>[1]毛坯库1!A7</f>
        <v>S7</v>
      </c>
      <c r="B7">
        <f>[1]毛坯库1!C7</f>
        <v>12</v>
      </c>
      <c r="C7">
        <f>[1]毛坯库1!B7</f>
        <v>19</v>
      </c>
      <c r="D7">
        <f>[1]毛坯库1!D7</f>
        <v>26</v>
      </c>
      <c r="F7">
        <f>INT((B7-1.4)/([1]八边形!B4+0.4))</f>
        <v>0</v>
      </c>
      <c r="G7">
        <f>INT((C7-1.4)/([1]八边形!B5+0.4))</f>
        <v>1</v>
      </c>
      <c r="H7">
        <f>INT((D7-1.3)/([1]八边形!B6+0.3))</f>
        <v>22</v>
      </c>
      <c r="J7">
        <f>F7*G7*H7</f>
        <v>0</v>
      </c>
      <c r="L7" s="2">
        <f>IF(J7&gt;[1]八边形!B16,[1]八边形!B16*[1]八边形!B4*[1]八边形!B5*[1]八边形!B6/B7/C7/D7,J7*[1]八边形!B4*[1]八边形!B5*[1]八边形!B6/B7/C7/D7)</f>
        <v>0</v>
      </c>
    </row>
    <row r="8" spans="1:12">
      <c r="A8" t="str">
        <f>[1]毛坯库1!A8</f>
        <v>S8</v>
      </c>
      <c r="B8">
        <f>[1]毛坯库1!C8</f>
        <v>33</v>
      </c>
      <c r="C8">
        <f>[1]毛坯库1!B8</f>
        <v>44</v>
      </c>
      <c r="D8">
        <f>[1]毛坯库1!D8</f>
        <v>16</v>
      </c>
      <c r="F8">
        <f>INT((B8-1.4)/([1]八边形!B4+0.4))</f>
        <v>2</v>
      </c>
      <c r="G8">
        <f>INT((C8-1.4)/([1]八边形!B5+0.4))</f>
        <v>3</v>
      </c>
      <c r="H8">
        <f>INT((D8-1.3)/([1]八边形!B6+0.3))</f>
        <v>13</v>
      </c>
      <c r="J8">
        <f>F8*G8*H8</f>
        <v>78</v>
      </c>
      <c r="L8">
        <f>IF(J8&gt;[1]八边形!B16,[1]八边形!B16*[1]八边形!B4*[1]八边形!B5*[1]八边形!B6/B8/C8/D8,J8*[1]八边形!B4*[1]八边形!B5*[1]八边形!B6/B8/C8/D8)</f>
        <v>0.410013553719008</v>
      </c>
    </row>
    <row r="9" spans="1:12">
      <c r="A9" t="str">
        <f>[1]毛坯库1!A9</f>
        <v>S9</v>
      </c>
      <c r="B9">
        <f>[1]毛坯库1!C9</f>
        <v>18</v>
      </c>
      <c r="C9">
        <f>[1]毛坯库1!B9</f>
        <v>37</v>
      </c>
      <c r="D9">
        <f>[1]毛坯库1!D9</f>
        <v>15</v>
      </c>
      <c r="F9">
        <f>INT((B9-1.4)/([1]八边形!B4+0.4))</f>
        <v>1</v>
      </c>
      <c r="G9">
        <f>INT((C9-1.4)/([1]八边形!B5+0.4))</f>
        <v>3</v>
      </c>
      <c r="H9">
        <f>INT((D9-1.3)/([1]八边形!B6+0.3))</f>
        <v>12</v>
      </c>
      <c r="J9">
        <f>F9*G9*H9</f>
        <v>36</v>
      </c>
      <c r="L9">
        <f>IF(J9&gt;[1]八边形!B16,[1]八边形!B16*[1]八边形!B4*[1]八边形!B5*[1]八边形!B6/B9/C9/D9,J9*[1]八边形!B4*[1]八边形!B5*[1]八边形!B6/B9/C9/D9)</f>
        <v>0.440075531531532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F4" sqref="F4"/>
    </sheetView>
  </sheetViews>
  <sheetFormatPr defaultColWidth="9" defaultRowHeight="13.5"/>
  <sheetData>
    <row r="1" spans="1:11">
      <c r="A1" t="str">
        <f>[1]毛坯库1!A1</f>
        <v>S1</v>
      </c>
      <c r="B1">
        <f>[1]毛坯库1!B1</f>
        <v>54</v>
      </c>
      <c r="C1">
        <f>[1]毛坯库1!C1</f>
        <v>54</v>
      </c>
      <c r="D1">
        <f>[1]毛坯库1!D1</f>
        <v>33</v>
      </c>
      <c r="F1">
        <f ca="1">毛坯库1.2!L1</f>
        <v>0.426410634742487</v>
      </c>
      <c r="G1">
        <f ca="1">毛坯库2.2!L1</f>
        <v>0.426410634742487</v>
      </c>
      <c r="I1">
        <f ca="1">MAX(F1:G1)</f>
        <v>0.426410634742487</v>
      </c>
      <c r="J1" t="str">
        <f>A1</f>
        <v>S1</v>
      </c>
      <c r="K1">
        <f ca="1">IF(F1&gt;G1,1,0)</f>
        <v>0</v>
      </c>
    </row>
    <row r="2" spans="1:11">
      <c r="A2" t="str">
        <f>[1]毛坯库1!A2</f>
        <v>S2</v>
      </c>
      <c r="B2">
        <f>[1]毛坯库1!B2</f>
        <v>53</v>
      </c>
      <c r="C2">
        <f>[1]毛坯库1!C2</f>
        <v>25</v>
      </c>
      <c r="D2">
        <f>[1]毛坯库1!D2</f>
        <v>18</v>
      </c>
      <c r="F2">
        <f ca="1">毛坯库1.2!L2</f>
        <v>0.430111557232704</v>
      </c>
      <c r="G2">
        <f ca="1">毛坯库2.2!L2</f>
        <v>0.286741038155136</v>
      </c>
      <c r="I2">
        <f ca="1" t="shared" ref="I2:I9" si="0">MAX(F2:G2)</f>
        <v>0.430111557232704</v>
      </c>
      <c r="J2" t="str">
        <f t="shared" ref="J2:J9" si="1">A2</f>
        <v>S2</v>
      </c>
      <c r="K2">
        <f ca="1" t="shared" ref="K2:K9" si="2">IF(F2&gt;G2,1,0)</f>
        <v>1</v>
      </c>
    </row>
    <row r="3" s="1" customFormat="1" spans="1:11">
      <c r="A3" s="1" t="str">
        <f>[1]毛坯库1!A3</f>
        <v>S3</v>
      </c>
      <c r="B3" s="1">
        <f>[1]毛坯库1!B3</f>
        <v>33</v>
      </c>
      <c r="C3" s="1">
        <f>[1]毛坯库1!C3</f>
        <v>23</v>
      </c>
      <c r="D3" s="1">
        <f>[1]毛坯库1!D3</f>
        <v>24</v>
      </c>
      <c r="F3" s="1">
        <f ca="1">毛坯库1.2!L3</f>
        <v>0.536323935002196</v>
      </c>
      <c r="G3" s="1">
        <f ca="1">毛坯库2.2!L3</f>
        <v>0.268161967501098</v>
      </c>
      <c r="I3" s="1">
        <f ca="1">MAX(F3:G3)</f>
        <v>0.536323935002196</v>
      </c>
      <c r="J3" s="1" t="str">
        <f>A3</f>
        <v>S3</v>
      </c>
      <c r="K3" s="1">
        <f ca="1">IF(F3&gt;G3,1,0)</f>
        <v>1</v>
      </c>
    </row>
    <row r="4" spans="1:11">
      <c r="A4" t="str">
        <f>[1]毛坯库1!A4</f>
        <v>S4</v>
      </c>
      <c r="B4">
        <f>[1]毛坯库1!B4</f>
        <v>46</v>
      </c>
      <c r="C4">
        <f>[1]毛坯库1!C4</f>
        <v>25</v>
      </c>
      <c r="D4">
        <f>[1]毛坯库1!D4</f>
        <v>14</v>
      </c>
      <c r="F4">
        <f ca="1">毛坯库1.2!L4</f>
        <v>0.50062008447205</v>
      </c>
      <c r="G4">
        <f ca="1">毛坯库2.2!L4</f>
        <v>0.333746722981366</v>
      </c>
      <c r="I4">
        <f ca="1">MAX(F4:G4)</f>
        <v>0.50062008447205</v>
      </c>
      <c r="J4" t="str">
        <f>A4</f>
        <v>S4</v>
      </c>
      <c r="K4">
        <f ca="1">IF(F4&gt;G4,1,0)</f>
        <v>1</v>
      </c>
    </row>
    <row r="5" spans="1:11">
      <c r="A5" t="str">
        <f>[1]毛坯库1!A5</f>
        <v>S5</v>
      </c>
      <c r="B5">
        <f>[1]毛坯库1!B5</f>
        <v>25</v>
      </c>
      <c r="C5">
        <f>[1]毛坯库1!C5</f>
        <v>32</v>
      </c>
      <c r="D5">
        <f>[1]毛坯库1!D5</f>
        <v>23</v>
      </c>
      <c r="F5">
        <f ca="1">毛坯库1.2!L5</f>
        <v>0.252206330434783</v>
      </c>
      <c r="G5">
        <f ca="1">毛坯库2.2!L5</f>
        <v>0.504412660869565</v>
      </c>
      <c r="I5">
        <f ca="1">MAX(F5:G5)</f>
        <v>0.504412660869565</v>
      </c>
      <c r="J5" t="str">
        <f>A5</f>
        <v>S5</v>
      </c>
      <c r="K5">
        <f ca="1">IF(F5&gt;G5,1,0)</f>
        <v>0</v>
      </c>
    </row>
    <row r="6" spans="1:11">
      <c r="A6" t="str">
        <f>[1]毛坯库1!A6</f>
        <v>S6</v>
      </c>
      <c r="B6">
        <f>[1]毛坯库1!B6</f>
        <v>26</v>
      </c>
      <c r="C6">
        <f>[1]毛坯库1!C6</f>
        <v>44</v>
      </c>
      <c r="D6">
        <f>[1]毛坯库1!D6</f>
        <v>22</v>
      </c>
      <c r="F6">
        <f ca="1">毛坯库1.2!L6</f>
        <v>0.262020495867769</v>
      </c>
      <c r="G6">
        <f ca="1">毛坯库2.2!L6</f>
        <v>0.349360661157025</v>
      </c>
      <c r="I6">
        <f ca="1">MAX(F6:G6)</f>
        <v>0.349360661157025</v>
      </c>
      <c r="J6" t="str">
        <f>A6</f>
        <v>S6</v>
      </c>
      <c r="K6">
        <f ca="1">IF(F6&gt;G6,1,0)</f>
        <v>0</v>
      </c>
    </row>
    <row r="7" spans="1:11">
      <c r="A7" t="str">
        <f>[1]毛坯库1!A7</f>
        <v>S7</v>
      </c>
      <c r="B7">
        <f>[1]毛坯库1!B7</f>
        <v>19</v>
      </c>
      <c r="C7">
        <f>[1]毛坯库1!C7</f>
        <v>12</v>
      </c>
      <c r="D7">
        <f>[1]毛坯库1!D7</f>
        <v>26</v>
      </c>
      <c r="F7">
        <f ca="1">毛坯库1.2!L7</f>
        <v>0</v>
      </c>
      <c r="G7">
        <f ca="1">毛坯库2.2!L7</f>
        <v>0</v>
      </c>
      <c r="I7">
        <f ca="1">MAX(F7:G7)</f>
        <v>0</v>
      </c>
      <c r="J7" t="str">
        <f>A7</f>
        <v>S7</v>
      </c>
      <c r="K7">
        <f ca="1">IF(F7&gt;G7,1,0)</f>
        <v>0</v>
      </c>
    </row>
    <row r="8" spans="1:11">
      <c r="A8" t="str">
        <f>[1]毛坯库1!A8</f>
        <v>S8</v>
      </c>
      <c r="B8">
        <f>[1]毛坯库1!B8</f>
        <v>44</v>
      </c>
      <c r="C8">
        <f>[1]毛坯库1!C8</f>
        <v>33</v>
      </c>
      <c r="D8">
        <f>[1]毛坯库1!D8</f>
        <v>16</v>
      </c>
      <c r="F8">
        <f ca="1">毛坯库1.2!L8</f>
        <v>0.273342369146006</v>
      </c>
      <c r="G8">
        <f ca="1">毛坯库2.2!L8</f>
        <v>0.410013553719008</v>
      </c>
      <c r="I8">
        <f ca="1">MAX(F8:G8)</f>
        <v>0.410013553719008</v>
      </c>
      <c r="J8" t="str">
        <f>A8</f>
        <v>S8</v>
      </c>
      <c r="K8">
        <f ca="1">IF(F8&gt;G8,1,0)</f>
        <v>0</v>
      </c>
    </row>
    <row r="9" spans="1:11">
      <c r="A9" t="str">
        <f>[1]毛坯库1!A9</f>
        <v>S9</v>
      </c>
      <c r="B9">
        <f>[1]毛坯库1!B9</f>
        <v>37</v>
      </c>
      <c r="C9">
        <f>[1]毛坯库1!C9</f>
        <v>18</v>
      </c>
      <c r="D9">
        <f>[1]毛坯库1!D9</f>
        <v>15</v>
      </c>
      <c r="F9">
        <f ca="1">毛坯库1.2!L9</f>
        <v>0.293383687687688</v>
      </c>
      <c r="G9">
        <f ca="1">毛坯库2.2!L9</f>
        <v>0.440075531531532</v>
      </c>
      <c r="I9">
        <f ca="1">MAX(F9:G9)</f>
        <v>0.440075531531532</v>
      </c>
      <c r="J9" t="str">
        <f>A9</f>
        <v>S9</v>
      </c>
      <c r="K9">
        <f ca="1">IF(F9&gt;G9,1,0)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八边形</vt:lpstr>
      <vt:lpstr>毛坯库1.2</vt:lpstr>
      <vt:lpstr>毛坯库2.2</vt:lpstr>
      <vt:lpstr>3.2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Fjc</cp:lastModifiedBy>
  <dcterms:created xsi:type="dcterms:W3CDTF">2015-06-07T10:54:00Z</dcterms:created>
  <dcterms:modified xsi:type="dcterms:W3CDTF">2015-06-09T03:28:12Z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