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Sheet1" sheetId="1" r:id="rId1"/>
    <sheet name="毛坯库" sheetId="2" r:id="rId2"/>
    <sheet name="毛坯库转向" sheetId="3" r:id="rId3"/>
    <sheet name="Sheet4" sheetId="4" r:id="rId4"/>
    <sheet name="Sheet2" sheetId="5" r:id="rId5"/>
  </sheets>
  <definedNames>
    <definedName name="_xlnm.Print_Area" localSheetId="0">Sheet1!$A$2:$M$31</definedName>
    <definedName name="H">Sheet1!$B$6</definedName>
    <definedName name="L">Sheet1!$B$4</definedName>
    <definedName name="Quantity">Sheet1!$B$12</definedName>
    <definedName name="Radius">Sheet1!$B$7</definedName>
    <definedName name="W">Sheet1!$B$5</definedName>
  </definedNames>
  <calcPr calcId="144525"/>
</workbook>
</file>

<file path=xl/sharedStrings.xml><?xml version="1.0" encoding="utf-8"?>
<sst xmlns="http://schemas.openxmlformats.org/spreadsheetml/2006/main" count="86">
  <si>
    <t>产品类</t>
  </si>
  <si>
    <t>在粗线框中输入数据，输入数据后颜色改变的说明产品不属于此分类。</t>
  </si>
  <si>
    <t>规格</t>
  </si>
  <si>
    <t>限定条件</t>
  </si>
  <si>
    <t>成品公差</t>
  </si>
  <si>
    <t>上偏差</t>
  </si>
  <si>
    <t>下偏差</t>
  </si>
  <si>
    <t>黑片公差</t>
  </si>
  <si>
    <t>L/mm</t>
  </si>
  <si>
    <t>L&gt;=3&amp;L&lt;=20</t>
  </si>
  <si>
    <t>T≥0.03</t>
  </si>
  <si>
    <t>W/mm</t>
  </si>
  <si>
    <t>W&gt;=H&amp;W&lt;=L</t>
  </si>
  <si>
    <t>H/mm</t>
  </si>
  <si>
    <t>H&gt;=0.6&amp;H&lt;=0.8</t>
  </si>
  <si>
    <t>R/mm</t>
  </si>
  <si>
    <t>R&gt;=0.35&amp;&lt;R=2&amp;R&lt;=(W-0.7)/2</t>
  </si>
  <si>
    <t>表面积/mm^2</t>
  </si>
  <si>
    <t>对角线</t>
  </si>
  <si>
    <t>体积/mm^3</t>
  </si>
  <si>
    <t>重量/g</t>
  </si>
  <si>
    <t>选择毛坯</t>
  </si>
  <si>
    <t>收得率</t>
  </si>
  <si>
    <t>推荐毛坯</t>
  </si>
  <si>
    <t>数量/pcs</t>
  </si>
  <si>
    <t>调转</t>
  </si>
  <si>
    <t>刀数</t>
  </si>
  <si>
    <t>出片数</t>
  </si>
  <si>
    <t>总面积/dm^2</t>
  </si>
  <si>
    <r>
      <rPr>
        <sz val="11"/>
        <color indexed="8"/>
        <rFont val="宋体"/>
        <charset val="134"/>
      </rPr>
      <t>L</t>
    </r>
    <r>
      <rPr>
        <vertAlign val="subscript"/>
        <sz val="11"/>
        <color indexed="8"/>
        <rFont val="宋体"/>
        <charset val="134"/>
      </rPr>
      <t>0</t>
    </r>
  </si>
  <si>
    <t>·</t>
  </si>
  <si>
    <t>总重量/kg</t>
  </si>
  <si>
    <r>
      <rPr>
        <sz val="11"/>
        <color indexed="8"/>
        <rFont val="宋体"/>
        <charset val="134"/>
      </rPr>
      <t>W</t>
    </r>
    <r>
      <rPr>
        <vertAlign val="subscript"/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</si>
  <si>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H</t>
    </r>
    <r>
      <rPr>
        <vertAlign val="subscript"/>
        <sz val="11"/>
        <color indexed="8"/>
        <rFont val="宋体"/>
        <charset val="134"/>
      </rPr>
      <t>0</t>
    </r>
  </si>
  <si>
    <t>镀层种类</t>
  </si>
  <si>
    <t>环保彩锌</t>
  </si>
  <si>
    <t>镀层厚度</t>
  </si>
  <si>
    <t>5-10μm</t>
  </si>
  <si>
    <t>烟雾要求</t>
  </si>
  <si>
    <t>48h，7级</t>
  </si>
  <si>
    <t>结合力</t>
  </si>
  <si>
    <t>有要求</t>
  </si>
  <si>
    <t>加工步骤</t>
  </si>
  <si>
    <t>切磨条：</t>
  </si>
  <si>
    <t>切片机主轴跳动</t>
  </si>
  <si>
    <t>切片刀片轴向跳动</t>
  </si>
  <si>
    <t>切片刀片径向跳动</t>
  </si>
  <si>
    <t>磨片主轴跳动</t>
  </si>
  <si>
    <t>磨片砂轮轴向跳动</t>
  </si>
  <si>
    <t>0.01mm</t>
  </si>
  <si>
    <t>0.03mm</t>
  </si>
  <si>
    <t>0.05mm</t>
  </si>
  <si>
    <t>0.1mm</t>
  </si>
  <si>
    <t>成型磨：</t>
  </si>
  <si>
    <t>成型磨主轴跳动</t>
  </si>
  <si>
    <t>成型砂轮轴向跳动</t>
  </si>
  <si>
    <t>切片:</t>
  </si>
  <si>
    <t>切片刀头轴向跳动</t>
  </si>
  <si>
    <t>切片刀头径向跳动</t>
  </si>
  <si>
    <t>此方向不磨</t>
  </si>
  <si>
    <t>编号</t>
  </si>
  <si>
    <t>L0</t>
  </si>
  <si>
    <t>W0</t>
  </si>
  <si>
    <t>H0</t>
  </si>
  <si>
    <t>L方向出片数</t>
  </si>
  <si>
    <t>W方向出片数</t>
  </si>
  <si>
    <t>H方向出片数</t>
  </si>
  <si>
    <t>总出片</t>
  </si>
  <si>
    <t>利用率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</si>
  <si>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</si>
  <si>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</si>
  <si>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</si>
  <si>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</si>
  <si>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</si>
  <si>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</si>
  <si>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</si>
  <si>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</si>
  <si>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</si>
  <si>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转向或调转，是指将L和W方向对调</t>
  </si>
  <si>
    <t>不转向利用率</t>
  </si>
  <si>
    <t>转向利用率</t>
  </si>
  <si>
    <t>优选利用率</t>
  </si>
  <si>
    <t>是否转向</t>
  </si>
  <si>
    <t>公差设计标准</t>
  </si>
  <si>
    <t>黑片</t>
  </si>
  <si>
    <t>成品公差带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</si>
</sst>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sz val="12"/>
      <color indexed="17"/>
      <name val="黑体"/>
      <charset val="134"/>
    </font>
    <font>
      <sz val="11"/>
      <color indexed="10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vertAlign val="subscript"/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7" xfId="0" applyFill="1" applyBorder="1" applyAlignment="1">
      <alignment horizontal="center" vertical="center"/>
    </xf>
    <xf numFmtId="10" fontId="0" fillId="0" borderId="7" xfId="4" applyNumberFormat="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right" vertical="top"/>
    </xf>
    <xf numFmtId="0" fontId="3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16" xfId="0" applyFont="1" applyBorder="1" applyAlignment="1">
      <alignment horizontal="left" vertical="top"/>
    </xf>
    <xf numFmtId="0" fontId="0" fillId="0" borderId="1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0" fontId="0" fillId="0" borderId="7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xVal>
            <c:numRef>
              <c:f>Sheet2!$A$4:$A$11</c:f>
              <c:numCach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Sheet2!$B$4:$B$11</c:f>
              <c:numCache>
                <c:ptCount val="8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xVal>
            <c:numRef>
              <c:f>Sheet2!$A$4:$A$11</c:f>
              <c:numCach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Sheet2!$C$4:$C$11</c:f>
              <c:numCache>
                <c:ptCount val="8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1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2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3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>
                <a:noFill/>
              </a:ln>
            </c:spPr>
          </c:dPt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"/>
            <c:backward val="0"/>
            <c:dispRSqr val="0"/>
            <c:dispEq val="1"/>
            <c:trendlineLbl>
              <c:layout>
                <c:manualLayout>
                  <c:x val="-0.0142857142857143"/>
                  <c:y val="-0.024271844660194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</c:trendlineLbl>
          </c:trendline>
          <c:xVal>
            <c:numRef>
              <c:f>Sheet2!$A$5:$A$8</c:f>
              <c:numCache>
                <c:ptCount val="4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</c:numCache>
            </c:numRef>
          </c:xVal>
          <c:yVal>
            <c:numRef>
              <c:f>Sheet2!$B$5:$B$8</c:f>
              <c:numCach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6</xdr:col>
      <xdr:colOff>161925</xdr:colOff>
      <xdr:row>7</xdr:row>
      <xdr:rowOff>0</xdr:rowOff>
    </xdr:from>
    <xdr:to>
      <xdr:col>12</xdr:col>
      <xdr:colOff>619125</xdr:colOff>
      <xdr:row>23</xdr:row>
      <xdr:rowOff>0</xdr:rowOff>
    </xdr:to>
    <xdr:graphicFrame>
      <xdr:nvGraphicFramePr>
        <xdr:cNvPr id="5121" name="图表 1"/>
        <xdr:cNvGraphicFramePr/>
      </xdr:nvGraphicFramePr>
      <xdr:xfrm>
        <a:off x="4143375" y="1200150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6</xdr:col>
      <xdr:colOff>161925</xdr:colOff>
      <xdr:row>7</xdr:row>
      <xdr:rowOff>0</xdr:rowOff>
    </xdr:from>
    <xdr:to>
      <xdr:col>12</xdr:col>
      <xdr:colOff>619125</xdr:colOff>
      <xdr:row>23</xdr:row>
      <xdr:rowOff>0</xdr:rowOff>
    </xdr:to>
    <xdr:graphicFrame>
      <xdr:nvGraphicFramePr>
        <xdr:cNvPr id="5122" name="图表 2"/>
        <xdr:cNvGraphicFramePr/>
      </xdr:nvGraphicFramePr>
      <xdr:xfrm>
        <a:off x="4143375" y="1200150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31"/>
  <sheetViews>
    <sheetView tabSelected="1" topLeftCell="A3" workbookViewId="0">
      <selection activeCell="M31" sqref="M31"/>
    </sheetView>
  </sheetViews>
  <sheetFormatPr defaultColWidth="9" defaultRowHeight="13.5"/>
  <cols>
    <col min="1" max="1" width="12.375" customWidth="1"/>
    <col min="2" max="2" width="12.75" customWidth="1"/>
    <col min="3" max="3" width="28.25" customWidth="1"/>
    <col min="4" max="4" width="6.625" customWidth="1"/>
    <col min="5" max="5" width="1.625" customWidth="1"/>
    <col min="6" max="6" width="7.125" customWidth="1"/>
    <col min="8" max="8" width="15" customWidth="1"/>
    <col min="9" max="10" width="17.125" customWidth="1"/>
    <col min="11" max="11" width="12.875" customWidth="1"/>
    <col min="12" max="13" width="17.125" customWidth="1"/>
  </cols>
  <sheetData>
    <row r="2" ht="14.25" spans="1:3">
      <c r="A2" t="s">
        <v>0</v>
      </c>
      <c r="B2">
        <v>1</v>
      </c>
      <c r="C2" s="2" t="s">
        <v>1</v>
      </c>
    </row>
    <row r="3" ht="14.25" spans="1:13">
      <c r="A3" t="s">
        <v>2</v>
      </c>
      <c r="C3" s="3" t="s">
        <v>3</v>
      </c>
      <c r="D3" s="3"/>
      <c r="E3" s="3"/>
      <c r="G3" t="s">
        <v>4</v>
      </c>
      <c r="H3" t="s">
        <v>5</v>
      </c>
      <c r="I3" t="s">
        <v>6</v>
      </c>
      <c r="J3" s="3" t="s">
        <v>3</v>
      </c>
      <c r="K3" t="s">
        <v>7</v>
      </c>
      <c r="L3" s="34" t="s">
        <v>5</v>
      </c>
      <c r="M3" s="34" t="s">
        <v>6</v>
      </c>
    </row>
    <row r="4" spans="1:13">
      <c r="A4" t="s">
        <v>8</v>
      </c>
      <c r="B4" s="4">
        <v>5.54</v>
      </c>
      <c r="C4" s="3" t="s">
        <v>9</v>
      </c>
      <c r="D4" s="3"/>
      <c r="E4" s="3"/>
      <c r="H4" s="5">
        <v>0.01</v>
      </c>
      <c r="I4" s="35">
        <v>-0.03</v>
      </c>
      <c r="J4" s="3" t="s">
        <v>10</v>
      </c>
      <c r="L4" s="34">
        <f>ROUNDUP((H4+I4)/2+0.04,2)</f>
        <v>0.03</v>
      </c>
      <c r="M4" s="34">
        <f>L4-0.03</f>
        <v>0</v>
      </c>
    </row>
    <row r="5" spans="1:13">
      <c r="A5" t="s">
        <v>11</v>
      </c>
      <c r="B5" s="6">
        <v>4.17</v>
      </c>
      <c r="C5" s="3" t="s">
        <v>12</v>
      </c>
      <c r="D5" s="3"/>
      <c r="E5" s="3"/>
      <c r="H5" s="7">
        <v>0.01</v>
      </c>
      <c r="I5" s="36">
        <v>-0.03</v>
      </c>
      <c r="J5" s="3" t="s">
        <v>10</v>
      </c>
      <c r="L5" s="34">
        <f>ROUNDUP((H5+I5)/2+0.04,2)</f>
        <v>0.03</v>
      </c>
      <c r="M5" s="34">
        <f t="shared" ref="M5" si="0">L5-0.03</f>
        <v>0</v>
      </c>
    </row>
    <row r="6" spans="1:13">
      <c r="A6" t="s">
        <v>13</v>
      </c>
      <c r="B6" s="6">
        <v>0.75</v>
      </c>
      <c r="C6" s="3" t="s">
        <v>14</v>
      </c>
      <c r="D6" s="3"/>
      <c r="E6" s="3"/>
      <c r="H6" s="7">
        <v>0.02</v>
      </c>
      <c r="I6" s="36">
        <v>-0.03</v>
      </c>
      <c r="J6" s="3" t="s">
        <v>10</v>
      </c>
      <c r="L6" s="34">
        <f>ROUNDUP(IF(H6-I6&lt;0.08,H6+0.02,(H6+I6)/2+0.06),2)</f>
        <v>0.04</v>
      </c>
      <c r="M6" s="34">
        <f>ROUND(IF(L6-0.04&gt;I6+0.06,L6-0.04,IF(L6-I6&gt;=0.07,L6-0.03,I6+0.03)),2)</f>
        <v>0.01</v>
      </c>
    </row>
    <row r="7" ht="14.25" spans="1:13">
      <c r="A7" t="s">
        <v>15</v>
      </c>
      <c r="B7" s="8">
        <v>1.2</v>
      </c>
      <c r="C7" s="3" t="s">
        <v>16</v>
      </c>
      <c r="D7" s="3"/>
      <c r="E7" s="3"/>
      <c r="H7" s="9">
        <v>0.3</v>
      </c>
      <c r="I7" s="37">
        <v>0</v>
      </c>
      <c r="L7" s="34">
        <f>H7-0.05</f>
        <v>0.25</v>
      </c>
      <c r="M7" s="34">
        <f>I7+0.05</f>
        <v>0.05</v>
      </c>
    </row>
    <row r="8" spans="1:13">
      <c r="A8" t="s">
        <v>17</v>
      </c>
      <c r="B8">
        <f>(L*W-(2*Radius)^2+PI()*Radius^2)*2+(L+W-4*Radius+PI()*Radius)*2*H</f>
        <v>56.7512536188002</v>
      </c>
      <c r="K8" t="s">
        <v>18</v>
      </c>
      <c r="L8" s="34">
        <f>ROUND(((L+(L4+M4)/2-2*(Radius+L7))^2+(W+(L5+M5)/2-2*(Radius+L7))^2)^0.5+2*(Radius+L7),2)</f>
        <v>5.85</v>
      </c>
      <c r="M8" s="34">
        <f>ROUND(((L+(L4+M4)/2-2*(Radius+M7))^2+(W+(L5+M5)/2-2*(Radius+M7))^2)^0.5+2*(Radius+M7),2)</f>
        <v>5.99</v>
      </c>
    </row>
    <row r="9" spans="1:2">
      <c r="A9" t="s">
        <v>19</v>
      </c>
      <c r="B9">
        <f>(L*W-(2*Radius)^2+PI()*Radius^2)*H</f>
        <v>16.399270065877</v>
      </c>
    </row>
    <row r="10" spans="1:2">
      <c r="A10" t="s">
        <v>20</v>
      </c>
      <c r="B10">
        <f>B9*7.5/1000</f>
        <v>0.122994525494077</v>
      </c>
    </row>
    <row r="11" ht="14.25" spans="7:11">
      <c r="G11" s="10" t="s">
        <v>21</v>
      </c>
      <c r="H11" s="10" t="str">
        <f>VLOOKUP(H16,Sheet4!I2:O10,2,FALSE)</f>
        <v>S6</v>
      </c>
      <c r="I11" s="10" t="s">
        <v>22</v>
      </c>
      <c r="J11" s="38"/>
      <c r="K11" s="34" t="s">
        <v>23</v>
      </c>
    </row>
    <row r="12" ht="14.25" spans="1:11">
      <c r="A12" t="s">
        <v>24</v>
      </c>
      <c r="B12" s="11">
        <v>2000</v>
      </c>
      <c r="G12" s="10" t="s">
        <v>25</v>
      </c>
      <c r="H12" s="10">
        <f>VLOOKUP(H11,Sheet4!J2:K10,2)</f>
        <v>1</v>
      </c>
      <c r="I12" s="10" t="s">
        <v>26</v>
      </c>
      <c r="J12" s="10" t="s">
        <v>27</v>
      </c>
      <c r="K12" s="14"/>
    </row>
    <row r="13" ht="16.5" spans="1:13">
      <c r="A13" t="s">
        <v>28</v>
      </c>
      <c r="B13">
        <f>Quantity*B8/10^4</f>
        <v>11.35025072376</v>
      </c>
      <c r="G13" s="10" t="s">
        <v>29</v>
      </c>
      <c r="H13" s="10">
        <f>VLOOKUP(H11,Sheet4!A2:D10,IF(H12=0,3,2))</f>
        <v>26</v>
      </c>
      <c r="I13" s="10">
        <f>INT((H13-1.4)/(L+0.4))</f>
        <v>4</v>
      </c>
      <c r="J13" s="10">
        <f>I13*I14*I15</f>
        <v>684</v>
      </c>
      <c r="K13" s="34">
        <f>ROUNDUP((L+0.4)*I13+1.4,1)</f>
        <v>25.2</v>
      </c>
      <c r="M13" t="s">
        <v>30</v>
      </c>
    </row>
    <row r="14" ht="16.5" spans="1:11">
      <c r="A14" t="s">
        <v>31</v>
      </c>
      <c r="B14">
        <f>Quantity*B10/1000</f>
        <v>0.245989050988155</v>
      </c>
      <c r="G14" s="10" t="s">
        <v>32</v>
      </c>
      <c r="H14" s="10">
        <f>VLOOKUP(H11,Sheet4!A2:D10,IF(H12=0,2,3))</f>
        <v>44</v>
      </c>
      <c r="I14" s="10">
        <f>INT((H14-1.4)/(W+0.4))</f>
        <v>9</v>
      </c>
      <c r="J14" s="10"/>
      <c r="K14" s="34">
        <f>ROUNDUP((W+0.4)*I14+1.4,1)</f>
        <v>42.6</v>
      </c>
    </row>
    <row r="15" ht="16.5" spans="7:11">
      <c r="G15" s="10" t="s">
        <v>33</v>
      </c>
      <c r="H15" s="10">
        <f>VLOOKUP(H11,Sheet4!A2:D10,4)</f>
        <v>22</v>
      </c>
      <c r="I15" s="10">
        <f>INT((H15-1.3)/(H+0.3))</f>
        <v>19</v>
      </c>
      <c r="J15" s="10"/>
      <c r="K15" s="34">
        <f>ROUNDUP((H+0.3)*I15+1.3,1)</f>
        <v>21.3</v>
      </c>
    </row>
    <row r="16" spans="1:11">
      <c r="A16" t="s">
        <v>34</v>
      </c>
      <c r="B16" s="12" t="s">
        <v>35</v>
      </c>
      <c r="G16" s="13" t="s">
        <v>22</v>
      </c>
      <c r="H16" s="14">
        <f>MAX(Sheet4!I:I)</f>
        <v>0.470884591544819</v>
      </c>
      <c r="I16" s="34"/>
      <c r="J16" s="34"/>
      <c r="K16" s="14">
        <f>IF(Quantity&gt;J13,L*W*H*J13/K13/K14/K15,L*W*H*Quantity/K13/K14/K15)</f>
        <v>0.518290730297277</v>
      </c>
    </row>
    <row r="17" spans="1:2">
      <c r="A17" t="s">
        <v>36</v>
      </c>
      <c r="B17" s="12" t="s">
        <v>37</v>
      </c>
    </row>
    <row r="18" spans="1:2">
      <c r="A18" t="s">
        <v>38</v>
      </c>
      <c r="B18" s="12" t="s">
        <v>39</v>
      </c>
    </row>
    <row r="19" spans="1:2">
      <c r="A19" t="s">
        <v>40</v>
      </c>
      <c r="B19" s="12" t="s">
        <v>41</v>
      </c>
    </row>
    <row r="21" spans="1:1">
      <c r="A21" t="s">
        <v>42</v>
      </c>
    </row>
    <row r="22" spans="2:12">
      <c r="B22" s="15" t="s">
        <v>43</v>
      </c>
      <c r="C22" s="16" t="str">
        <f>CONCATENATE(H13,"切出",I13,"片")</f>
        <v>26切出4片</v>
      </c>
      <c r="D22" s="17">
        <f>L</f>
        <v>5.54</v>
      </c>
      <c r="E22" s="18" t="str">
        <f>IF(L4&gt;0,"+",IF(L4&lt;0,"-",""))</f>
        <v>+</v>
      </c>
      <c r="F22" s="19">
        <f>ABS(L4)</f>
        <v>0.03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</row>
    <row r="23" spans="2:12">
      <c r="B23" s="15"/>
      <c r="C23" s="20"/>
      <c r="D23" s="21"/>
      <c r="E23" s="22" t="str">
        <f>IF(M4&gt;0,"+",IF(M4&lt;0,"-",""))</f>
        <v/>
      </c>
      <c r="F23" s="23">
        <f>ABS(M4)</f>
        <v>0</v>
      </c>
      <c r="H23" t="s">
        <v>49</v>
      </c>
      <c r="I23" t="s">
        <v>50</v>
      </c>
      <c r="J23" t="s">
        <v>51</v>
      </c>
      <c r="K23" t="s">
        <v>49</v>
      </c>
      <c r="L23" s="39" t="s">
        <v>52</v>
      </c>
    </row>
    <row r="24" spans="3:6">
      <c r="C24" s="16" t="str">
        <f>CONCATENATE(H14,"切出",I14,"片")</f>
        <v>44切出9片</v>
      </c>
      <c r="D24" s="17">
        <f>W</f>
        <v>4.17</v>
      </c>
      <c r="E24" s="18" t="str">
        <f>IF(L5&gt;0,"+",IF(L5&lt;0,"-",""))</f>
        <v>+</v>
      </c>
      <c r="F24" s="19">
        <f>ABS(L5)</f>
        <v>0.03</v>
      </c>
    </row>
    <row r="25" spans="3:6">
      <c r="C25" s="24"/>
      <c r="D25" s="25"/>
      <c r="E25" s="26" t="str">
        <f>IF(M5&gt;0,"+",IF(M5&lt;0,"-",""))</f>
        <v/>
      </c>
      <c r="F25" s="27">
        <f>ABS(M5)</f>
        <v>0</v>
      </c>
    </row>
    <row r="26" spans="2:9">
      <c r="B26" t="s">
        <v>53</v>
      </c>
      <c r="C26" s="16" t="str">
        <f>CONCATENATE("磨R",Radius,"公差",L7,"/",M7)</f>
        <v>磨R1.2公差0.25/0.05</v>
      </c>
      <c r="D26" s="28">
        <f>Radius</f>
        <v>1.2</v>
      </c>
      <c r="E26" s="18" t="str">
        <f>IF(L7&gt;0,"+",IF(L7&lt;0,"-",""))</f>
        <v>+</v>
      </c>
      <c r="F26" s="19">
        <f>ABS(L7)</f>
        <v>0.25</v>
      </c>
      <c r="H26" t="s">
        <v>54</v>
      </c>
      <c r="I26" t="s">
        <v>55</v>
      </c>
    </row>
    <row r="27" spans="3:9">
      <c r="C27" s="24"/>
      <c r="D27" s="29"/>
      <c r="E27" s="26" t="str">
        <f>IF(M7&gt;0,"+",IF(M7&lt;0,"-",""))</f>
        <v>+</v>
      </c>
      <c r="F27" s="27">
        <f>ABS(M7)</f>
        <v>0.05</v>
      </c>
      <c r="H27" t="s">
        <v>49</v>
      </c>
      <c r="I27" s="39" t="s">
        <v>50</v>
      </c>
    </row>
    <row r="28" spans="3:6">
      <c r="C28" s="30" t="str">
        <f>CONCATENATE("磨后对角线",L8,"～",M8)</f>
        <v>磨后对角线5.85～5.99</v>
      </c>
      <c r="D28" s="31"/>
      <c r="E28" s="29"/>
      <c r="F28" s="32"/>
    </row>
    <row r="29" spans="2:10">
      <c r="B29" t="s">
        <v>56</v>
      </c>
      <c r="C29" s="16" t="str">
        <f>CONCATENATE(H15,"切出",I15,"片")</f>
        <v>22切出19片</v>
      </c>
      <c r="D29" s="17">
        <f>H</f>
        <v>0.75</v>
      </c>
      <c r="E29" s="18" t="str">
        <f>IF(L6&gt;0,"+",IF(L6&lt;0,"-",""))</f>
        <v>+</v>
      </c>
      <c r="F29" s="19">
        <f>ABS(L6)</f>
        <v>0.04</v>
      </c>
      <c r="H29" t="s">
        <v>44</v>
      </c>
      <c r="I29" t="s">
        <v>57</v>
      </c>
      <c r="J29" t="s">
        <v>58</v>
      </c>
    </row>
    <row r="30" spans="3:10">
      <c r="C30" s="24"/>
      <c r="D30" s="25"/>
      <c r="E30" s="26" t="str">
        <f>IF(M6&gt;0,"+",IF(M6&lt;0,"-",""))</f>
        <v>+</v>
      </c>
      <c r="F30" s="27">
        <f>ABS(M6)</f>
        <v>0.01</v>
      </c>
      <c r="H30" t="s">
        <v>49</v>
      </c>
      <c r="I30" t="s">
        <v>50</v>
      </c>
      <c r="J30" t="s">
        <v>51</v>
      </c>
    </row>
    <row r="31" spans="3:6">
      <c r="C31" s="30" t="s">
        <v>59</v>
      </c>
      <c r="D31" s="31"/>
      <c r="E31" s="31"/>
      <c r="F31" s="33"/>
    </row>
  </sheetData>
  <protectedRanges>
    <protectedRange sqref="B4:B7 B12 H4:I7" name="区域1" securityDescriptor=""/>
  </protectedRanges>
  <mergeCells count="10">
    <mergeCell ref="C28:D28"/>
    <mergeCell ref="C31:D31"/>
    <mergeCell ref="C22:C23"/>
    <mergeCell ref="C24:C25"/>
    <mergeCell ref="C26:C27"/>
    <mergeCell ref="C29:C30"/>
    <mergeCell ref="D22:D23"/>
    <mergeCell ref="D24:D25"/>
    <mergeCell ref="D26:D27"/>
    <mergeCell ref="D29:D30"/>
  </mergeCells>
  <conditionalFormatting sqref="B4">
    <cfRule type="cellIs" dxfId="0" priority="1" stopIfTrue="1" operator="lessThan">
      <formula>3</formula>
    </cfRule>
    <cfRule type="cellIs" dxfId="1" priority="2" stopIfTrue="1" operator="greaterThan">
      <formula>20</formula>
    </cfRule>
  </conditionalFormatting>
  <conditionalFormatting sqref="B5">
    <cfRule type="cellIs" dxfId="2" priority="3" stopIfTrue="1" operator="lessThan">
      <formula>$B$6</formula>
    </cfRule>
    <cfRule type="cellIs" dxfId="3" priority="4" stopIfTrue="1" operator="greaterThan">
      <formula>$B$4</formula>
    </cfRule>
  </conditionalFormatting>
  <conditionalFormatting sqref="B6">
    <cfRule type="cellIs" dxfId="4" priority="5" stopIfTrue="1" operator="greaterThan">
      <formula>0.8</formula>
    </cfRule>
    <cfRule type="cellIs" dxfId="5" priority="6" stopIfTrue="1" operator="lessThan">
      <formula>0.6</formula>
    </cfRule>
  </conditionalFormatting>
  <conditionalFormatting sqref="B7">
    <cfRule type="cellIs" dxfId="6" priority="7" stopIfTrue="1" operator="greaterThan">
      <formula>($B$5-0.7)/2</formula>
    </cfRule>
    <cfRule type="cellIs" dxfId="7" priority="8" stopIfTrue="1" operator="greaterThan">
      <formula>2</formula>
    </cfRule>
    <cfRule type="cellIs" dxfId="8" priority="9" stopIfTrue="1" operator="lessThan">
      <formula>0.35</formula>
    </cfRule>
  </conditionalFormatting>
  <conditionalFormatting sqref="I4">
    <cfRule type="cellIs" dxfId="9" priority="10" stopIfTrue="1" operator="greaterThan">
      <formula>$H$4-0.03</formula>
    </cfRule>
  </conditionalFormatting>
  <conditionalFormatting sqref="I5">
    <cfRule type="cellIs" dxfId="10" priority="11" stopIfTrue="1" operator="greaterThan">
      <formula>$H$5-0.03</formula>
    </cfRule>
  </conditionalFormatting>
  <conditionalFormatting sqref="I6">
    <cfRule type="cellIs" dxfId="11" priority="12" stopIfTrue="1" operator="greaterThan">
      <formula>$H$6-0.03</formula>
    </cfRule>
  </conditionalFormatting>
  <printOptions horizontalCentered="1" verticalCentered="1"/>
  <pageMargins left="0.708333333333333" right="0.708333333333333" top="0.747916666666667" bottom="0.747916666666667" header="0.314583333333333" footer="0.314583333333333"/>
  <pageSetup paperSize="9" orientation="landscape" horizontalDpi="1200" verticalDpi="1200"/>
  <headerFooter>
    <oddHeader>&amp;C&amp;"黑体,常规"&amp;18产品分类标准工艺表（加工）</oddHead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workbookViewId="0">
      <selection activeCell="G21" sqref="G21"/>
    </sheetView>
  </sheetViews>
  <sheetFormatPr defaultColWidth="9" defaultRowHeight="13.5"/>
  <cols>
    <col min="1" max="1" width="5.25" customWidth="1"/>
    <col min="2" max="4" width="3.5" customWidth="1"/>
    <col min="6" max="8" width="12.125" customWidth="1"/>
    <col min="10" max="10" width="7.125" customWidth="1"/>
    <col min="12" max="12" width="12.75" customWidth="1"/>
  </cols>
  <sheetData>
    <row r="1" spans="1:12">
      <c r="A1" t="s">
        <v>60</v>
      </c>
      <c r="B1" t="s">
        <v>61</v>
      </c>
      <c r="C1" t="s">
        <v>62</v>
      </c>
      <c r="D1" t="s">
        <v>63</v>
      </c>
      <c r="F1" t="s">
        <v>64</v>
      </c>
      <c r="G1" t="s">
        <v>65</v>
      </c>
      <c r="H1" t="s">
        <v>66</v>
      </c>
      <c r="J1" t="s">
        <v>67</v>
      </c>
      <c r="L1" t="s">
        <v>68</v>
      </c>
    </row>
    <row r="2" spans="1:12">
      <c r="A2" t="s">
        <v>69</v>
      </c>
      <c r="B2">
        <v>54</v>
      </c>
      <c r="C2">
        <v>54</v>
      </c>
      <c r="D2">
        <v>33</v>
      </c>
      <c r="F2">
        <f t="shared" ref="F2:F10" si="0">INT((B2-1.4)/(L+0.4))</f>
        <v>8</v>
      </c>
      <c r="G2">
        <f t="shared" ref="G2:G10" si="1">INT((C2-1.4)/(W+0.4))</f>
        <v>11</v>
      </c>
      <c r="H2">
        <f t="shared" ref="H2:H10" si="2">INT((D2-1.3)/(H+0.3))</f>
        <v>30</v>
      </c>
      <c r="J2">
        <f>F2*G2*H2</f>
        <v>2640</v>
      </c>
      <c r="L2">
        <f t="shared" ref="L2:L10" si="3">IF(J2&gt;Quantity,Quantity*L*W*H/B2/C2/D2,J2*L*W*H/B2/C2/D2)</f>
        <v>0.360110362888141</v>
      </c>
    </row>
    <row r="3" spans="1:12">
      <c r="A3" t="s">
        <v>70</v>
      </c>
      <c r="B3">
        <v>53</v>
      </c>
      <c r="C3">
        <v>25</v>
      </c>
      <c r="D3">
        <v>18</v>
      </c>
      <c r="F3">
        <f>INT((B3-1.4)/(L+0.4))</f>
        <v>8</v>
      </c>
      <c r="G3">
        <f>INT((C3-1.4)/(W+0.4))</f>
        <v>5</v>
      </c>
      <c r="H3">
        <f>INT((D3-1.3)/(H+0.3))</f>
        <v>15</v>
      </c>
      <c r="J3">
        <f t="shared" ref="J3:J10" si="4">F3*G3*H3</f>
        <v>600</v>
      </c>
      <c r="L3">
        <f>IF(J3&gt;Quantity,Quantity*L*W*H/B3/C3/D3,J3*L*W*H/B3/C3/D3)</f>
        <v>0.435883018867925</v>
      </c>
    </row>
    <row r="4" spans="1:12">
      <c r="A4" t="s">
        <v>71</v>
      </c>
      <c r="B4">
        <v>33</v>
      </c>
      <c r="C4">
        <v>23</v>
      </c>
      <c r="D4">
        <v>24</v>
      </c>
      <c r="F4">
        <f>INT((B4-1.4)/(L+0.4))</f>
        <v>5</v>
      </c>
      <c r="G4">
        <f>INT((C4-1.4)/(W+0.4))</f>
        <v>4</v>
      </c>
      <c r="H4">
        <f>INT((D4-1.3)/(H+0.3))</f>
        <v>21</v>
      </c>
      <c r="J4">
        <f>F4*G4*H4</f>
        <v>420</v>
      </c>
      <c r="L4">
        <f>IF(J4&gt;Quantity,Quantity*L*W*H/B4/C4/D4,J4*L*W*H/B4/C4/D4)</f>
        <v>0.399487648221344</v>
      </c>
    </row>
    <row r="5" spans="1:12">
      <c r="A5" t="s">
        <v>72</v>
      </c>
      <c r="B5">
        <v>46</v>
      </c>
      <c r="C5">
        <v>25</v>
      </c>
      <c r="D5">
        <v>14</v>
      </c>
      <c r="F5">
        <f>INT((B5-1.4)/(L+0.4))</f>
        <v>7</v>
      </c>
      <c r="G5">
        <f>INT((C5-1.4)/(W+0.4))</f>
        <v>5</v>
      </c>
      <c r="H5">
        <f>INT((D5-1.3)/(H+0.3))</f>
        <v>12</v>
      </c>
      <c r="J5">
        <f>F5*G5*H5</f>
        <v>420</v>
      </c>
      <c r="L5">
        <f>IF(J5&gt;Quantity,Quantity*L*W*H/B5/C5/D5,J5*L*W*H/B5/C5/D5)</f>
        <v>0.451991739130435</v>
      </c>
    </row>
    <row r="6" spans="1:12">
      <c r="A6" t="s">
        <v>73</v>
      </c>
      <c r="B6">
        <v>25</v>
      </c>
      <c r="C6">
        <v>32</v>
      </c>
      <c r="D6">
        <v>23</v>
      </c>
      <c r="F6">
        <f>INT((B6-1.4)/(L+0.4))</f>
        <v>3</v>
      </c>
      <c r="G6">
        <f>INT((C6-1.4)/(W+0.4))</f>
        <v>6</v>
      </c>
      <c r="H6">
        <f>INT((D6-1.3)/(H+0.3))</f>
        <v>20</v>
      </c>
      <c r="J6">
        <f>F6*G6*H6</f>
        <v>360</v>
      </c>
      <c r="L6">
        <f>IF(J6&gt;Quantity,Quantity*L*W*H/B6/C6/D6,J6*L*W*H/B6/C6/D6)</f>
        <v>0.338993804347826</v>
      </c>
    </row>
    <row r="7" spans="1:12">
      <c r="A7" t="s">
        <v>74</v>
      </c>
      <c r="B7">
        <v>26</v>
      </c>
      <c r="C7">
        <v>44</v>
      </c>
      <c r="D7">
        <v>22</v>
      </c>
      <c r="F7">
        <f>INT((B7-1.4)/(L+0.4))</f>
        <v>4</v>
      </c>
      <c r="G7">
        <f>INT((C7-1.4)/(W+0.4))</f>
        <v>9</v>
      </c>
      <c r="H7">
        <f>INT((D7-1.3)/(H+0.3))</f>
        <v>19</v>
      </c>
      <c r="J7">
        <f>F7*G7*H7</f>
        <v>684</v>
      </c>
      <c r="L7">
        <f>IF(J7&gt;Quantity,Quantity*L*W*H/B7/C7/D7,J7*L*W*H/B7/C7/D7)</f>
        <v>0.470884591544819</v>
      </c>
    </row>
    <row r="8" spans="1:12">
      <c r="A8" t="s">
        <v>75</v>
      </c>
      <c r="B8">
        <v>19</v>
      </c>
      <c r="C8">
        <v>12</v>
      </c>
      <c r="D8">
        <v>26</v>
      </c>
      <c r="F8">
        <f>INT((B8-1.4)/(L+0.4))</f>
        <v>2</v>
      </c>
      <c r="G8">
        <f>INT((C8-1.4)/(W+0.4))</f>
        <v>2</v>
      </c>
      <c r="H8">
        <f>INT((D8-1.3)/(H+0.3))</f>
        <v>23</v>
      </c>
      <c r="J8">
        <f>F8*G8*H8</f>
        <v>92</v>
      </c>
      <c r="L8">
        <f>IF(J8&gt;Quantity,Quantity*L*W*H/B8/C8/D8,J8*L*W*H/B8/C8/D8)</f>
        <v>0.268897469635628</v>
      </c>
    </row>
    <row r="9" spans="1:12">
      <c r="A9" t="s">
        <v>76</v>
      </c>
      <c r="B9">
        <v>44</v>
      </c>
      <c r="C9">
        <v>33</v>
      </c>
      <c r="D9">
        <v>16</v>
      </c>
      <c r="F9">
        <f>INT((B9-1.4)/(L+0.4))</f>
        <v>7</v>
      </c>
      <c r="G9">
        <f>INT((C9-1.4)/(W+0.4))</f>
        <v>6</v>
      </c>
      <c r="H9">
        <f>INT((D9-1.3)/(H+0.3))</f>
        <v>14</v>
      </c>
      <c r="J9">
        <f>F9*G9*H9</f>
        <v>588</v>
      </c>
      <c r="L9">
        <f>IF(J9&gt;Quantity,Quantity*L*W*H/B9/C9/D9,J9*L*W*H/B9/C9/D9)</f>
        <v>0.438528486570248</v>
      </c>
    </row>
    <row r="10" spans="1:12">
      <c r="A10" t="s">
        <v>77</v>
      </c>
      <c r="B10">
        <v>37</v>
      </c>
      <c r="C10">
        <v>18</v>
      </c>
      <c r="D10">
        <v>15</v>
      </c>
      <c r="F10">
        <f>INT((B10-1.4)/(L+0.4))</f>
        <v>5</v>
      </c>
      <c r="G10">
        <f>INT((C10-1.4)/(W+0.4))</f>
        <v>3</v>
      </c>
      <c r="H10">
        <f>INT((D10-1.3)/(H+0.3))</f>
        <v>13</v>
      </c>
      <c r="J10">
        <f>F10*G10*H10</f>
        <v>195</v>
      </c>
      <c r="L10">
        <f>IF(J10&gt;Quantity,Quantity*L*W*H/B10/C10/D10,J10*L*W*H/B10/C10/D10)</f>
        <v>0.338202027027027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M13" sqref="M13"/>
    </sheetView>
  </sheetViews>
  <sheetFormatPr defaultColWidth="9" defaultRowHeight="13.5"/>
  <cols>
    <col min="1" max="1" width="5.25" customWidth="1"/>
    <col min="2" max="4" width="3.5" customWidth="1"/>
    <col min="6" max="8" width="12.125" customWidth="1"/>
    <col min="10" max="10" width="7.125" customWidth="1"/>
    <col min="12" max="12" width="12.75" customWidth="1"/>
  </cols>
  <sheetData>
    <row r="1" spans="1:12">
      <c r="A1" t="s">
        <v>60</v>
      </c>
      <c r="B1" t="s">
        <v>61</v>
      </c>
      <c r="C1" t="s">
        <v>62</v>
      </c>
      <c r="D1" t="s">
        <v>63</v>
      </c>
      <c r="F1" t="s">
        <v>64</v>
      </c>
      <c r="G1" t="s">
        <v>65</v>
      </c>
      <c r="H1" t="s">
        <v>66</v>
      </c>
      <c r="J1" t="s">
        <v>67</v>
      </c>
      <c r="L1" t="s">
        <v>68</v>
      </c>
    </row>
    <row r="2" spans="1:14">
      <c r="A2" t="str">
        <f>毛坯库!A2</f>
        <v>S1</v>
      </c>
      <c r="B2">
        <f>毛坯库!C2</f>
        <v>54</v>
      </c>
      <c r="C2">
        <f>毛坯库!B2</f>
        <v>54</v>
      </c>
      <c r="D2">
        <f>毛坯库!D2</f>
        <v>33</v>
      </c>
      <c r="F2">
        <f t="shared" ref="F2:F10" si="0">INT((B2-1.4)/(L+0.4))</f>
        <v>8</v>
      </c>
      <c r="G2">
        <f t="shared" ref="G2:G10" si="1">INT((C2-1.4)/(W+0.4))</f>
        <v>11</v>
      </c>
      <c r="H2">
        <f t="shared" ref="H2:H10" si="2">INT((D2-1.3)/(H+0.3))</f>
        <v>30</v>
      </c>
      <c r="J2">
        <f>F2*G2*H2</f>
        <v>2640</v>
      </c>
      <c r="L2">
        <f t="shared" ref="L2:L10" si="3">IF(J2&gt;Quantity,Quantity*L*W*H/B2/C2/D2,J2*L*W*H/B2/C2/D2)</f>
        <v>0.360110362888141</v>
      </c>
      <c r="N2" t="s">
        <v>78</v>
      </c>
    </row>
    <row r="3" spans="1:12">
      <c r="A3" t="str">
        <f>毛坯库!A3</f>
        <v>S2</v>
      </c>
      <c r="B3">
        <f>毛坯库!C3</f>
        <v>25</v>
      </c>
      <c r="C3">
        <f>毛坯库!B3</f>
        <v>53</v>
      </c>
      <c r="D3">
        <f>毛坯库!D3</f>
        <v>18</v>
      </c>
      <c r="F3">
        <f>INT((B3-1.4)/(L+0.4))</f>
        <v>3</v>
      </c>
      <c r="G3">
        <f>INT((C3-1.4)/(W+0.4))</f>
        <v>11</v>
      </c>
      <c r="H3">
        <f>INT((D3-1.3)/(H+0.3))</f>
        <v>15</v>
      </c>
      <c r="J3">
        <f t="shared" ref="J3:J10" si="4">F3*G3*H3</f>
        <v>495</v>
      </c>
      <c r="L3">
        <f>IF(J3&gt;Quantity,Quantity*L*W*H/B3/C3/D3,J3*L*W*H/B3/C3/D3)</f>
        <v>0.359603490566038</v>
      </c>
    </row>
    <row r="4" spans="1:12">
      <c r="A4" t="str">
        <f>毛坯库!A4</f>
        <v>S3</v>
      </c>
      <c r="B4">
        <f>毛坯库!C4</f>
        <v>23</v>
      </c>
      <c r="C4">
        <f>毛坯库!B4</f>
        <v>33</v>
      </c>
      <c r="D4">
        <f>毛坯库!D4</f>
        <v>24</v>
      </c>
      <c r="F4">
        <f>INT((B4-1.4)/(L+0.4))</f>
        <v>3</v>
      </c>
      <c r="G4">
        <f>INT((C4-1.4)/(W+0.4))</f>
        <v>6</v>
      </c>
      <c r="H4">
        <f>INT((D4-1.3)/(H+0.3))</f>
        <v>21</v>
      </c>
      <c r="J4">
        <f>F4*G4*H4</f>
        <v>378</v>
      </c>
      <c r="L4">
        <f>IF(J4&gt;Quantity,Quantity*L*W*H/B4/C4/D4,J4*L*W*H/B4/C4/D4)</f>
        <v>0.359538883399209</v>
      </c>
    </row>
    <row r="5" spans="1:12">
      <c r="A5" t="str">
        <f>毛坯库!A5</f>
        <v>S4</v>
      </c>
      <c r="B5">
        <f>毛坯库!C5</f>
        <v>25</v>
      </c>
      <c r="C5">
        <f>毛坯库!B5</f>
        <v>46</v>
      </c>
      <c r="D5">
        <f>毛坯库!D5</f>
        <v>14</v>
      </c>
      <c r="F5">
        <f>INT((B5-1.4)/(L+0.4))</f>
        <v>3</v>
      </c>
      <c r="G5">
        <f>INT((C5-1.4)/(W+0.4))</f>
        <v>9</v>
      </c>
      <c r="H5">
        <f>INT((D5-1.3)/(H+0.3))</f>
        <v>12</v>
      </c>
      <c r="J5">
        <f>F5*G5*H5</f>
        <v>324</v>
      </c>
      <c r="L5">
        <f>IF(J5&gt;Quantity,Quantity*L*W*H/B5/C5/D5,J5*L*W*H/B5/C5/D5)</f>
        <v>0.348679341614907</v>
      </c>
    </row>
    <row r="6" spans="1:12">
      <c r="A6" t="str">
        <f>毛坯库!A6</f>
        <v>S5</v>
      </c>
      <c r="B6">
        <f>毛坯库!C6</f>
        <v>32</v>
      </c>
      <c r="C6">
        <f>毛坯库!B6</f>
        <v>25</v>
      </c>
      <c r="D6">
        <f>毛坯库!D6</f>
        <v>23</v>
      </c>
      <c r="F6">
        <f>INT((B6-1.4)/(L+0.4))</f>
        <v>5</v>
      </c>
      <c r="G6">
        <f>INT((C6-1.4)/(W+0.4))</f>
        <v>5</v>
      </c>
      <c r="H6">
        <f>INT((D6-1.3)/(H+0.3))</f>
        <v>20</v>
      </c>
      <c r="J6">
        <f>F6*G6*H6</f>
        <v>500</v>
      </c>
      <c r="L6">
        <f>IF(J6&gt;Quantity,Quantity*L*W*H/B6/C6/D6,J6*L*W*H/B6/C6/D6)</f>
        <v>0.47082472826087</v>
      </c>
    </row>
    <row r="7" spans="1:12">
      <c r="A7" t="str">
        <f>毛坯库!A7</f>
        <v>S6</v>
      </c>
      <c r="B7">
        <f>毛坯库!C7</f>
        <v>44</v>
      </c>
      <c r="C7">
        <f>毛坯库!B7</f>
        <v>26</v>
      </c>
      <c r="D7">
        <f>毛坯库!D7</f>
        <v>22</v>
      </c>
      <c r="F7">
        <f>INT((B7-1.4)/(L+0.4))</f>
        <v>7</v>
      </c>
      <c r="G7">
        <f>INT((C7-1.4)/(W+0.4))</f>
        <v>5</v>
      </c>
      <c r="H7">
        <f>INT((D7-1.3)/(H+0.3))</f>
        <v>19</v>
      </c>
      <c r="J7">
        <f>F7*G7*H7</f>
        <v>665</v>
      </c>
      <c r="L7">
        <f>IF(J7&gt;Quantity,Quantity*L*W*H/B7/C7/D7,J7*L*W*H/B7/C7/D7)</f>
        <v>0.457804464001907</v>
      </c>
    </row>
    <row r="8" spans="1:12">
      <c r="A8" t="str">
        <f>毛坯库!A8</f>
        <v>S7</v>
      </c>
      <c r="B8">
        <f>毛坯库!C8</f>
        <v>12</v>
      </c>
      <c r="C8">
        <f>毛坯库!B8</f>
        <v>19</v>
      </c>
      <c r="D8">
        <f>毛坯库!D8</f>
        <v>26</v>
      </c>
      <c r="F8">
        <f>INT((B8-1.4)/(L+0.4))</f>
        <v>1</v>
      </c>
      <c r="G8">
        <f>INT((C8-1.4)/(W+0.4))</f>
        <v>3</v>
      </c>
      <c r="H8">
        <f>INT((D8-1.3)/(H+0.3))</f>
        <v>23</v>
      </c>
      <c r="J8">
        <f>F8*G8*H8</f>
        <v>69</v>
      </c>
      <c r="L8">
        <f>IF(J8&gt;Quantity,Quantity*L*W*H/B8/C8/D8,J8*L*W*H/B8/C8/D8)</f>
        <v>0.201673102226721</v>
      </c>
    </row>
    <row r="9" spans="1:12">
      <c r="A9" t="str">
        <f>毛坯库!A9</f>
        <v>S8</v>
      </c>
      <c r="B9">
        <f>毛坯库!C9</f>
        <v>33</v>
      </c>
      <c r="C9">
        <f>毛坯库!B9</f>
        <v>44</v>
      </c>
      <c r="D9">
        <f>毛坯库!D9</f>
        <v>16</v>
      </c>
      <c r="F9">
        <f>INT((B9-1.4)/(L+0.4))</f>
        <v>5</v>
      </c>
      <c r="G9">
        <f>INT((C9-1.4)/(W+0.4))</f>
        <v>9</v>
      </c>
      <c r="H9">
        <f>INT((D9-1.3)/(H+0.3))</f>
        <v>14</v>
      </c>
      <c r="J9">
        <f>F9*G9*H9</f>
        <v>630</v>
      </c>
      <c r="L9">
        <f>IF(J9&gt;Quantity,Quantity*L*W*H/B9/C9/D9,J9*L*W*H/B9/C9/D9)</f>
        <v>0.469851949896694</v>
      </c>
    </row>
    <row r="10" spans="1:12">
      <c r="A10" t="str">
        <f>毛坯库!A10</f>
        <v>S9</v>
      </c>
      <c r="B10">
        <f>毛坯库!C10</f>
        <v>18</v>
      </c>
      <c r="C10">
        <f>毛坯库!B10</f>
        <v>37</v>
      </c>
      <c r="D10">
        <f>毛坯库!D10</f>
        <v>15</v>
      </c>
      <c r="F10">
        <f>INT((B10-1.4)/(L+0.4))</f>
        <v>2</v>
      </c>
      <c r="G10">
        <f>INT((C10-1.4)/(W+0.4))</f>
        <v>7</v>
      </c>
      <c r="H10">
        <f>INT((D10-1.3)/(H+0.3))</f>
        <v>13</v>
      </c>
      <c r="J10">
        <f>F10*G10*H10</f>
        <v>182</v>
      </c>
      <c r="L10">
        <f>IF(J10&gt;Quantity,Quantity*L*W*H/B10/C10/D10,J10*L*W*H/B10/C10/D10)</f>
        <v>0.315655225225225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workbookViewId="0">
      <selection activeCell="M23" sqref="M23"/>
    </sheetView>
  </sheetViews>
  <sheetFormatPr defaultColWidth="9" defaultRowHeight="13.5"/>
  <cols>
    <col min="1" max="1" width="5.25" customWidth="1"/>
    <col min="2" max="4" width="3.5" customWidth="1"/>
    <col min="6" max="6" width="13" customWidth="1"/>
    <col min="7" max="7" width="12.75" customWidth="1"/>
    <col min="8" max="8" width="12.125" customWidth="1"/>
    <col min="9" max="9" width="12.75" customWidth="1"/>
    <col min="10" max="10" width="7.125" customWidth="1"/>
    <col min="11" max="11" width="9" customWidth="1"/>
    <col min="12" max="12" width="7.125" customWidth="1"/>
  </cols>
  <sheetData>
    <row r="1" spans="1:11">
      <c r="A1" t="s">
        <v>60</v>
      </c>
      <c r="B1" t="s">
        <v>61</v>
      </c>
      <c r="C1" t="s">
        <v>62</v>
      </c>
      <c r="D1" t="s">
        <v>63</v>
      </c>
      <c r="F1" t="s">
        <v>79</v>
      </c>
      <c r="G1" t="s">
        <v>80</v>
      </c>
      <c r="I1" t="s">
        <v>81</v>
      </c>
      <c r="J1" t="s">
        <v>60</v>
      </c>
      <c r="K1" t="s">
        <v>82</v>
      </c>
    </row>
    <row r="2" spans="1:11">
      <c r="A2" t="str">
        <f>毛坯库!A2</f>
        <v>S1</v>
      </c>
      <c r="B2">
        <f>毛坯库!B2</f>
        <v>54</v>
      </c>
      <c r="C2">
        <f>毛坯库!C2</f>
        <v>54</v>
      </c>
      <c r="D2">
        <f>毛坯库!D2</f>
        <v>33</v>
      </c>
      <c r="F2">
        <f>毛坯库!L2</f>
        <v>0.360110362888141</v>
      </c>
      <c r="G2">
        <f>毛坯库转向!L2</f>
        <v>0.360110362888141</v>
      </c>
      <c r="I2">
        <f>MAX(F2:G2)</f>
        <v>0.360110362888141</v>
      </c>
      <c r="J2" t="str">
        <f>A2</f>
        <v>S1</v>
      </c>
      <c r="K2">
        <f>IF(F2&gt;G2,1,0)</f>
        <v>0</v>
      </c>
    </row>
    <row r="3" spans="1:11">
      <c r="A3" t="str">
        <f>毛坯库!A3</f>
        <v>S2</v>
      </c>
      <c r="B3">
        <f>毛坯库!B3</f>
        <v>53</v>
      </c>
      <c r="C3">
        <f>毛坯库!C3</f>
        <v>25</v>
      </c>
      <c r="D3">
        <f>毛坯库!D3</f>
        <v>18</v>
      </c>
      <c r="F3">
        <f>毛坯库!L3</f>
        <v>0.435883018867925</v>
      </c>
      <c r="G3">
        <f>毛坯库转向!L3</f>
        <v>0.359603490566038</v>
      </c>
      <c r="I3">
        <f t="shared" ref="I3:I10" si="0">MAX(F3:G3)</f>
        <v>0.435883018867925</v>
      </c>
      <c r="J3" t="str">
        <f t="shared" ref="J3:J10" si="1">A3</f>
        <v>S2</v>
      </c>
      <c r="K3">
        <f t="shared" ref="K3:K10" si="2">IF(F3&gt;G3,1,0)</f>
        <v>1</v>
      </c>
    </row>
    <row r="4" spans="1:11">
      <c r="A4" t="str">
        <f>毛坯库!A4</f>
        <v>S3</v>
      </c>
      <c r="B4">
        <f>毛坯库!B4</f>
        <v>33</v>
      </c>
      <c r="C4">
        <f>毛坯库!C4</f>
        <v>23</v>
      </c>
      <c r="D4">
        <f>毛坯库!D4</f>
        <v>24</v>
      </c>
      <c r="F4">
        <f>毛坯库!L4</f>
        <v>0.399487648221344</v>
      </c>
      <c r="G4">
        <f>毛坯库转向!L4</f>
        <v>0.359538883399209</v>
      </c>
      <c r="I4">
        <f>MAX(F4:G4)</f>
        <v>0.399487648221344</v>
      </c>
      <c r="J4" t="str">
        <f>A4</f>
        <v>S3</v>
      </c>
      <c r="K4">
        <f>IF(F4&gt;G4,1,0)</f>
        <v>1</v>
      </c>
    </row>
    <row r="5" spans="1:11">
      <c r="A5" t="str">
        <f>毛坯库!A5</f>
        <v>S4</v>
      </c>
      <c r="B5">
        <f>毛坯库!B5</f>
        <v>46</v>
      </c>
      <c r="C5">
        <f>毛坯库!C5</f>
        <v>25</v>
      </c>
      <c r="D5">
        <f>毛坯库!D5</f>
        <v>14</v>
      </c>
      <c r="F5">
        <f>毛坯库!L5</f>
        <v>0.451991739130435</v>
      </c>
      <c r="G5">
        <f>毛坯库转向!L5</f>
        <v>0.348679341614907</v>
      </c>
      <c r="I5">
        <f>MAX(F5:G5)</f>
        <v>0.451991739130435</v>
      </c>
      <c r="J5" t="str">
        <f>A5</f>
        <v>S4</v>
      </c>
      <c r="K5">
        <f>IF(F5&gt;G5,1,0)</f>
        <v>1</v>
      </c>
    </row>
    <row r="6" spans="1:11">
      <c r="A6" t="str">
        <f>毛坯库!A6</f>
        <v>S5</v>
      </c>
      <c r="B6">
        <f>毛坯库!B6</f>
        <v>25</v>
      </c>
      <c r="C6">
        <f>毛坯库!C6</f>
        <v>32</v>
      </c>
      <c r="D6">
        <f>毛坯库!D6</f>
        <v>23</v>
      </c>
      <c r="F6">
        <f>毛坯库!L6</f>
        <v>0.338993804347826</v>
      </c>
      <c r="G6">
        <f>毛坯库转向!L6</f>
        <v>0.47082472826087</v>
      </c>
      <c r="I6">
        <f>MAX(F6:G6)</f>
        <v>0.47082472826087</v>
      </c>
      <c r="J6" t="str">
        <f>A6</f>
        <v>S5</v>
      </c>
      <c r="K6">
        <f>IF(F6&gt;G6,1,0)</f>
        <v>0</v>
      </c>
    </row>
    <row r="7" spans="1:11">
      <c r="A7" t="str">
        <f>毛坯库!A7</f>
        <v>S6</v>
      </c>
      <c r="B7">
        <f>毛坯库!B7</f>
        <v>26</v>
      </c>
      <c r="C7">
        <f>毛坯库!C7</f>
        <v>44</v>
      </c>
      <c r="D7">
        <f>毛坯库!D7</f>
        <v>22</v>
      </c>
      <c r="F7">
        <f>毛坯库!L7</f>
        <v>0.470884591544819</v>
      </c>
      <c r="G7">
        <f>毛坯库转向!L7</f>
        <v>0.457804464001907</v>
      </c>
      <c r="I7">
        <f>MAX(F7:G7)</f>
        <v>0.470884591544819</v>
      </c>
      <c r="J7" t="str">
        <f>A7</f>
        <v>S6</v>
      </c>
      <c r="K7">
        <f>IF(F7&gt;G7,1,0)</f>
        <v>1</v>
      </c>
    </row>
    <row r="8" spans="1:11">
      <c r="A8" t="str">
        <f>毛坯库!A8</f>
        <v>S7</v>
      </c>
      <c r="B8">
        <f>毛坯库!B8</f>
        <v>19</v>
      </c>
      <c r="C8">
        <f>毛坯库!C8</f>
        <v>12</v>
      </c>
      <c r="D8">
        <f>毛坯库!D8</f>
        <v>26</v>
      </c>
      <c r="F8">
        <f>毛坯库!L8</f>
        <v>0.268897469635628</v>
      </c>
      <c r="G8">
        <f>毛坯库转向!L8</f>
        <v>0.201673102226721</v>
      </c>
      <c r="I8">
        <f>MAX(F8:G8)</f>
        <v>0.268897469635628</v>
      </c>
      <c r="J8" t="str">
        <f>A8</f>
        <v>S7</v>
      </c>
      <c r="K8">
        <f>IF(F8&gt;G8,1,0)</f>
        <v>1</v>
      </c>
    </row>
    <row r="9" spans="1:11">
      <c r="A9" t="str">
        <f>毛坯库!A9</f>
        <v>S8</v>
      </c>
      <c r="B9">
        <f>毛坯库!B9</f>
        <v>44</v>
      </c>
      <c r="C9">
        <f>毛坯库!C9</f>
        <v>33</v>
      </c>
      <c r="D9">
        <f>毛坯库!D9</f>
        <v>16</v>
      </c>
      <c r="F9">
        <f>毛坯库!L9</f>
        <v>0.438528486570248</v>
      </c>
      <c r="G9">
        <f>毛坯库转向!L9</f>
        <v>0.469851949896694</v>
      </c>
      <c r="I9">
        <f>MAX(F9:G9)</f>
        <v>0.469851949896694</v>
      </c>
      <c r="J9" t="str">
        <f>A9</f>
        <v>S8</v>
      </c>
      <c r="K9">
        <f>IF(F9&gt;G9,1,0)</f>
        <v>0</v>
      </c>
    </row>
    <row r="10" spans="1:11">
      <c r="A10" t="str">
        <f>毛坯库!A10</f>
        <v>S9</v>
      </c>
      <c r="B10">
        <f>毛坯库!B10</f>
        <v>37</v>
      </c>
      <c r="C10">
        <f>毛坯库!C10</f>
        <v>18</v>
      </c>
      <c r="D10">
        <f>毛坯库!D10</f>
        <v>15</v>
      </c>
      <c r="F10">
        <f>毛坯库!L10</f>
        <v>0.338202027027027</v>
      </c>
      <c r="G10">
        <f>毛坯库转向!L10</f>
        <v>0.315655225225225</v>
      </c>
      <c r="I10">
        <f>MAX(F10:G10)</f>
        <v>0.338202027027027</v>
      </c>
      <c r="J10" t="str">
        <f>A10</f>
        <v>S9</v>
      </c>
      <c r="K10">
        <f>IF(F10&gt;G10,1,0)</f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B13" sqref="B13"/>
    </sheetView>
  </sheetViews>
  <sheetFormatPr defaultColWidth="9" defaultRowHeight="13.5" outlineLevelCol="2"/>
  <cols>
    <col min="1" max="1" width="11" customWidth="1"/>
    <col min="2" max="3" width="7.125" customWidth="1"/>
  </cols>
  <sheetData>
    <row r="1" spans="1:1">
      <c r="A1" t="s">
        <v>83</v>
      </c>
    </row>
    <row r="2" spans="2:3">
      <c r="B2" s="1" t="s">
        <v>84</v>
      </c>
      <c r="C2" s="1"/>
    </row>
    <row r="3" spans="1:3">
      <c r="A3" t="s">
        <v>85</v>
      </c>
      <c r="B3" t="s">
        <v>6</v>
      </c>
      <c r="C3" t="s">
        <v>5</v>
      </c>
    </row>
    <row r="4" spans="1:3">
      <c r="A4">
        <v>0.03</v>
      </c>
      <c r="B4">
        <v>0.03</v>
      </c>
      <c r="C4">
        <v>0.05</v>
      </c>
    </row>
    <row r="5" spans="1:3">
      <c r="A5">
        <v>0.04</v>
      </c>
      <c r="B5">
        <v>0.03</v>
      </c>
      <c r="C5">
        <v>0.06</v>
      </c>
    </row>
    <row r="6" spans="1:3">
      <c r="A6">
        <v>0.05</v>
      </c>
      <c r="B6">
        <v>0.04</v>
      </c>
      <c r="C6">
        <v>0.07</v>
      </c>
    </row>
    <row r="7" spans="1:3">
      <c r="A7">
        <v>0.06</v>
      </c>
      <c r="B7">
        <v>0.05</v>
      </c>
      <c r="C7">
        <v>0.08</v>
      </c>
    </row>
    <row r="8" spans="1:3">
      <c r="A8">
        <v>0.07</v>
      </c>
      <c r="B8">
        <v>0.06</v>
      </c>
      <c r="C8">
        <v>0.09</v>
      </c>
    </row>
    <row r="9" spans="1:3">
      <c r="A9">
        <v>0.08</v>
      </c>
      <c r="B9">
        <v>0.06</v>
      </c>
      <c r="C9">
        <v>0.1</v>
      </c>
    </row>
    <row r="10" spans="1:3">
      <c r="A10">
        <v>0.09</v>
      </c>
      <c r="B10">
        <v>0.06</v>
      </c>
      <c r="C10">
        <v>0.1</v>
      </c>
    </row>
    <row r="11" spans="1:3">
      <c r="A11">
        <v>0.1</v>
      </c>
      <c r="B11">
        <v>0.06</v>
      </c>
      <c r="C11">
        <v>0.1</v>
      </c>
    </row>
  </sheetData>
  <mergeCells count="1">
    <mergeCell ref="B2:C2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毛坯库</vt:lpstr>
      <vt:lpstr>毛坯库转向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2015-04-22T02:36:00Z</dcterms:created>
  <cp:lastPrinted>2015-04-23T00:42:00Z</cp:lastPrinted>
  <dcterms:modified xsi:type="dcterms:W3CDTF">2015-05-29T06:24:23Z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