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drawings/drawing5.xml" ContentType="application/vnd.openxmlformats-officedocument.drawing+xml"/>
  <Override PartName="/xl/comments5.xml" ContentType="application/vnd.openxmlformats-officedocument.spreadsheetml.comments+xml"/>
  <Override PartName="/xl/charts/chart4.xml" ContentType="application/vnd.openxmlformats-officedocument.drawingml.chart+xml"/>
  <Override PartName="/xl/drawings/drawing6.xml" ContentType="application/vnd.openxmlformats-officedocument.drawing+xml"/>
  <Override PartName="/xl/comments6.xml" ContentType="application/vnd.openxmlformats-officedocument.spreadsheetml.comments+xml"/>
  <Override PartName="/xl/charts/chart5.xml" ContentType="application/vnd.openxmlformats-officedocument.drawingml.chart+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charts/chart6.xml" ContentType="application/vnd.openxmlformats-officedocument.drawingml.chart+xml"/>
  <Override PartName="/xl/drawings/drawing11.xml" ContentType="application/vnd.openxmlformats-officedocument.drawing+xml"/>
  <Override PartName="/xl/comments11.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drawings/drawing12.xml" ContentType="application/vnd.openxmlformats-officedocument.drawing+xml"/>
  <Override PartName="/xl/comments12.xml" ContentType="application/vnd.openxmlformats-officedocument.spreadsheetml.comments+xml"/>
  <Override PartName="/xl/charts/chart9.xml" ContentType="application/vnd.openxmlformats-officedocument.drawingml.chart+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charts/chart10.xml" ContentType="application/vnd.openxmlformats-officedocument.drawingml.chart+xml"/>
  <Override PartName="/xl/drawings/drawing15.xml" ContentType="application/vnd.openxmlformats-officedocument.drawing+xml"/>
  <Override PartName="/xl/comments15.xml" ContentType="application/vnd.openxmlformats-officedocument.spreadsheetml.comments+xml"/>
  <Override PartName="/xl/charts/chart11.xml" ContentType="application/vnd.openxmlformats-officedocument.drawingml.chart+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charts/chart12.xml" ContentType="application/vnd.openxmlformats-officedocument.drawingml.chart+xml"/>
  <Override PartName="/xl/drawings/drawing18.xml" ContentType="application/vnd.openxmlformats-officedocument.drawing+xml"/>
  <Override PartName="/xl/comments18.xml" ContentType="application/vnd.openxmlformats-officedocument.spreadsheetml.comments+xml"/>
  <Override PartName="/xl/charts/chart13.xml" ContentType="application/vnd.openxmlformats-officedocument.drawingml.chart+xml"/>
  <Override PartName="/xl/drawings/drawing19.xml" ContentType="application/vnd.openxmlformats-officedocument.drawing+xml"/>
  <Override PartName="/xl/ctrlProps/ctrlProp3.xml" ContentType="application/vnd.ms-excel.controlproperties+xml"/>
  <Override PartName="/xl/ctrlProps/ctrlProp4.xml" ContentType="application/vnd.ms-excel.controlproperties+xml"/>
  <Override PartName="/xl/comments19.xml" ContentType="application/vnd.openxmlformats-officedocument.spreadsheetml.comments+xml"/>
  <Override PartName="/xl/drawings/drawing20.xml" ContentType="application/vnd.openxmlformats-officedocument.drawing+xml"/>
  <Override PartName="/xl/ctrlProps/ctrlProp5.xml" ContentType="application/vnd.ms-excel.controlproperties+xml"/>
  <Override PartName="/xl/ctrlProps/ctrlProp6.xml" ContentType="application/vnd.ms-excel.controlproperties+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charts/chart14.xml" ContentType="application/vnd.openxmlformats-officedocument.drawingml.chart+xml"/>
  <Override PartName="/xl/drawings/drawing26.xml" ContentType="application/vnd.openxmlformats-officedocument.drawing+xml"/>
  <Override PartName="/xl/comments26.xml" ContentType="application/vnd.openxmlformats-officedocument.spreadsheetml.comments+xml"/>
  <Override PartName="/xl/charts/chart15.xml" ContentType="application/vnd.openxmlformats-officedocument.drawingml.chart+xml"/>
  <Override PartName="/xl/drawings/drawing27.xml" ContentType="application/vnd.openxmlformats-officedocument.drawing+xml"/>
  <Override PartName="/xl/comments27.xml" ContentType="application/vnd.openxmlformats-officedocument.spreadsheetml.comments+xml"/>
  <Override PartName="/xl/charts/chart16.xml" ContentType="application/vnd.openxmlformats-officedocument.drawingml.chart+xml"/>
  <Override PartName="/xl/drawings/drawing28.xml" ContentType="application/vnd.openxmlformats-officedocument.drawing+xml"/>
  <Override PartName="/xl/comments28.xml" ContentType="application/vnd.openxmlformats-officedocument.spreadsheetml.comments+xml"/>
  <Override PartName="/xl/charts/chart17.xml" ContentType="application/vnd.openxmlformats-officedocument.drawingml.chart+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drawings/drawing31.xml" ContentType="application/vnd.openxmlformats-officedocument.drawing+xml"/>
  <Override PartName="/xl/ctrlProps/ctrlProp7.xml" ContentType="application/vnd.ms-excel.controlproperties+xml"/>
  <Override PartName="/xl/ctrlProps/ctrlProp8.xml" ContentType="application/vnd.ms-excel.controlproperties+xml"/>
  <Override PartName="/xl/comments31.xml" ContentType="application/vnd.openxmlformats-officedocument.spreadsheetml.comments+xml"/>
  <Override PartName="/xl/drawings/drawing32.xml" ContentType="application/vnd.openxmlformats-officedocument.drawing+xml"/>
  <Override PartName="/xl/ctrlProps/ctrlProp9.xml" ContentType="application/vnd.ms-excel.controlproperties+xml"/>
  <Override PartName="/xl/ctrlProps/ctrlProp10.xml" ContentType="application/vnd.ms-excel.controlproperties+xml"/>
  <Override PartName="/xl/comments32.xml" ContentType="application/vnd.openxmlformats-officedocument.spreadsheetml.comments+xml"/>
  <Override PartName="/xl/drawings/drawing33.xml" ContentType="application/vnd.openxmlformats-officedocument.drawing+xml"/>
  <Override PartName="/xl/comments33.xml" ContentType="application/vnd.openxmlformats-officedocument.spreadsheetml.comments+xml"/>
  <Override PartName="/xl/drawings/drawing34.xml" ContentType="application/vnd.openxmlformats-officedocument.drawing+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omments34.xml" ContentType="application/vnd.openxmlformats-officedocument.spreadsheetml.comments+xml"/>
  <Override PartName="/xl/drawings/drawing35.xml" ContentType="application/vnd.openxmlformats-officedocument.drawing+xml"/>
  <Override PartName="/xl/ctrlProps/ctrlProp17.xml" ContentType="application/vnd.ms-excel.controlproperties+xml"/>
  <Override PartName="/xl/ctrlProps/ctrlProp18.xml" ContentType="application/vnd.ms-excel.controlproperties+xml"/>
  <Override PartName="/xl/comments35.xml" ContentType="application/vnd.openxmlformats-officedocument.spreadsheetml.comments+xml"/>
  <Override PartName="/xl/drawings/drawing36.xml" ContentType="application/vnd.openxmlformats-officedocument.drawing+xml"/>
  <Override PartName="/xl/ctrlProps/ctrlProp19.xml" ContentType="application/vnd.ms-excel.controlproperties+xml"/>
  <Override PartName="/xl/ctrlProps/ctrlProp20.xml" ContentType="application/vnd.ms-excel.controlproperties+xml"/>
  <Override PartName="/xl/comments36.xml" ContentType="application/vnd.openxmlformats-officedocument.spreadsheetml.comments+xml"/>
  <Override PartName="/xl/drawings/drawing37.xml" ContentType="application/vnd.openxmlformats-officedocument.drawing+xml"/>
  <Override PartName="/xl/comments37.xml" ContentType="application/vnd.openxmlformats-officedocument.spreadsheetml.comments+xml"/>
  <Override PartName="/xl/drawings/drawing38.xml" ContentType="application/vnd.openxmlformats-officedocument.drawing+xml"/>
  <Override PartName="/xl/comments38.xml" ContentType="application/vnd.openxmlformats-officedocument.spreadsheetml.comments+xml"/>
  <Override PartName="/xl/drawings/drawing39.xml" ContentType="application/vnd.openxmlformats-officedocument.drawing+xml"/>
  <Override PartName="/xl/comments39.xml" ContentType="application/vnd.openxmlformats-officedocument.spreadsheetml.comments+xml"/>
  <Override PartName="/xl/drawings/drawing40.xml" ContentType="application/vnd.openxmlformats-officedocument.drawing+xml"/>
  <Override PartName="/xl/comments40.xml" ContentType="application/vnd.openxmlformats-officedocument.spreadsheetml.comments+xml"/>
  <Override PartName="/xl/drawings/drawing41.xml" ContentType="application/vnd.openxmlformats-officedocument.drawing+xml"/>
  <Override PartName="/xl/comments41.xml" ContentType="application/vnd.openxmlformats-officedocument.spreadsheetml.comments+xml"/>
  <Override PartName="/xl/drawings/drawing42.xml" ContentType="application/vnd.openxmlformats-officedocument.drawing+xml"/>
  <Override PartName="/xl/comments42.xml" ContentType="application/vnd.openxmlformats-officedocument.spreadsheetml.comments+xml"/>
  <Override PartName="/xl/drawings/drawing43.xml" ContentType="application/vnd.openxmlformats-officedocument.drawing+xml"/>
  <Override PartName="/xl/ctrlProps/ctrlProp21.xml" ContentType="application/vnd.ms-excel.controlproperties+xml"/>
  <Override PartName="/xl/ctrlProps/ctrlProp22.xml" ContentType="application/vnd.ms-excel.controlproperties+xml"/>
  <Override PartName="/xl/comments43.xml" ContentType="application/vnd.openxmlformats-officedocument.spreadsheetml.comments+xml"/>
  <Override PartName="/xl/drawings/drawing44.xml" ContentType="application/vnd.openxmlformats-officedocument.drawing+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omments44.xml" ContentType="application/vnd.openxmlformats-officedocument.spreadsheetml.comments+xml"/>
  <Override PartName="/xl/drawings/drawing45.xml" ContentType="application/vnd.openxmlformats-officedocument.drawing+xml"/>
  <Override PartName="/xl/comments45.xml" ContentType="application/vnd.openxmlformats-officedocument.spreadsheetml.comments+xml"/>
  <Override PartName="/xl/drawings/drawing46.xml" ContentType="application/vnd.openxmlformats-officedocument.drawing+xml"/>
  <Override PartName="/xl/comments46.xml" ContentType="application/vnd.openxmlformats-officedocument.spreadsheetml.comments+xml"/>
  <Override PartName="/xl/drawings/drawing47.xml" ContentType="application/vnd.openxmlformats-officedocument.drawing+xml"/>
  <Override PartName="/xl/comments47.xml" ContentType="application/vnd.openxmlformats-officedocument.spreadsheetml.comments+xml"/>
  <Override PartName="/xl/drawings/drawing48.xml" ContentType="application/vnd.openxmlformats-officedocument.drawing+xml"/>
  <Override PartName="/xl/comments48.xml" ContentType="application/vnd.openxmlformats-officedocument.spreadsheetml.comments+xml"/>
  <Override PartName="/xl/drawings/drawing49.xml" ContentType="application/vnd.openxmlformats-officedocument.drawing+xml"/>
  <Override PartName="/xl/comments49.xml" ContentType="application/vnd.openxmlformats-officedocument.spreadsheetml.comments+xml"/>
  <Override PartName="/xl/charts/chart18.xml" ContentType="application/vnd.openxmlformats-officedocument.drawingml.chart+xml"/>
  <Override PartName="/xl/drawings/drawing50.xml" ContentType="application/vnd.openxmlformats-officedocument.drawing+xml"/>
  <Override PartName="/xl/comments50.xml" ContentType="application/vnd.openxmlformats-officedocument.spreadsheetml.comments+xml"/>
  <Override PartName="/xl/charts/chart19.xml" ContentType="application/vnd.openxmlformats-officedocument.drawingml.chart+xml"/>
  <Override PartName="/xl/drawings/drawing51.xml" ContentType="application/vnd.openxmlformats-officedocument.drawing+xml"/>
  <Override PartName="/xl/comments5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0" yWindow="0" windowWidth="25600" windowHeight="16060" tabRatio="965" firstSheet="23" activeTab="29"/>
  </bookViews>
  <sheets>
    <sheet name="Determining Moving Average" sheetId="3" r:id="rId1"/>
    <sheet name="Weighted Moving Average" sheetId="4" r:id="rId2"/>
    <sheet name="Exponential Smoothing" sheetId="146" r:id="rId3"/>
    <sheet name="Trend-Adjusted Smoothing" sheetId="11" r:id="rId4"/>
    <sheet name="Trend Projection" sheetId="12" r:id="rId5"/>
    <sheet name="Linear Regression" sheetId="169" r:id="rId6"/>
    <sheet name="Multiplicative Seasonal Model" sheetId="20" r:id="rId7"/>
    <sheet name="Regression Projector" sheetId="24" r:id="rId8"/>
    <sheet name="Error Analysis" sheetId="149" r:id="rId9"/>
    <sheet name="p-chart" sheetId="25" r:id="rId10"/>
    <sheet name="x-bar and R-charts" sheetId="170" r:id="rId11"/>
    <sheet name="c-chart" sheetId="31" r:id="rId12"/>
    <sheet name="Process Capability" sheetId="33" r:id="rId13"/>
    <sheet name="Crossover Volume " sheetId="36" r:id="rId14"/>
    <sheet name="Cost vs. Revenue" sheetId="37" r:id="rId15"/>
    <sheet name="Factor-Rating Method" sheetId="44" r:id="rId16"/>
    <sheet name="Center of Gravity" sheetId="46" r:id="rId17"/>
    <sheet name="Locational Analysis" sheetId="47" r:id="rId18"/>
    <sheet name="Process Layout" sheetId="48" r:id="rId19"/>
    <sheet name="Process Layout 2" sheetId="49" r:id="rId20"/>
    <sheet name="Assembly Line Balancing" sheetId="51" r:id="rId21"/>
    <sheet name="Time Study" sheetId="52" r:id="rId22"/>
    <sheet name="Computing the Sample Size" sheetId="53" r:id="rId23"/>
    <sheet name="ABC" sheetId="54" r:id="rId24"/>
    <sheet name="EOQ Model" sheetId="57" r:id="rId25"/>
    <sheet name="EOQ Model 2" sheetId="176" r:id="rId26"/>
    <sheet name="POQ Model" sheetId="58" r:id="rId27"/>
    <sheet name="Quantity Discount Model" sheetId="59" r:id="rId28"/>
    <sheet name="Marginal Safety Stock" sheetId="69" r:id="rId29"/>
    <sheet name="InvSSNorm" sheetId="64" r:id="rId30"/>
    <sheet name="Transportation Model" sheetId="174" r:id="rId31"/>
    <sheet name="Optimal Transportation Model" sheetId="80" r:id="rId32"/>
    <sheet name="Material Requirements Planning" sheetId="90" r:id="rId33"/>
    <sheet name="Lot-Sizing" sheetId="98" r:id="rId34"/>
    <sheet name="Assignment" sheetId="102" r:id="rId35"/>
    <sheet name="Answer Report 1" sheetId="103" r:id="rId36"/>
    <sheet name="Sensitivity Report 1" sheetId="104" r:id="rId37"/>
    <sheet name="Machine Scheduling 1" sheetId="105" r:id="rId38"/>
    <sheet name="Machine Scheduling 2" sheetId="107" r:id="rId39"/>
    <sheet name="Computing Number of Kanbans" sheetId="110" r:id="rId40"/>
    <sheet name="Identical Components" sheetId="111" r:id="rId41"/>
    <sheet name="Network" sheetId="112" r:id="rId42"/>
    <sheet name="Frequency Table" sheetId="116" r:id="rId43"/>
    <sheet name="Decision Table" sheetId="119" r:id="rId44"/>
    <sheet name="Linear Programming" sheetId="128" r:id="rId45"/>
    <sheet name="Transportation" sheetId="129" r:id="rId46"/>
    <sheet name="Single Channel Model" sheetId="132" r:id="rId47"/>
    <sheet name="Multiple Channel Model" sheetId="133" r:id="rId48"/>
    <sheet name="Constant Time Service Model" sheetId="172" r:id="rId49"/>
    <sheet name="Finite Population Model" sheetId="136" r:id="rId50"/>
    <sheet name="Determining Times" sheetId="137" r:id="rId51"/>
    <sheet name="Determining Rates" sheetId="139" r:id="rId52"/>
    <sheet name="Simulation" sheetId="142" r:id="rId53"/>
  </sheets>
  <externalReferences>
    <externalReference r:id="rId54"/>
    <externalReference r:id="rId55"/>
  </externalReferences>
  <definedNames>
    <definedName name="_xlnm._FilterDatabase" localSheetId="37" hidden="1">'Machine Scheduling 1'!$A$8:$G$13</definedName>
    <definedName name="changecolor" localSheetId="34">Assignment!changecolor</definedName>
    <definedName name="changecolor" localSheetId="24">'EOQ Model'!changecolor</definedName>
    <definedName name="changecolor" localSheetId="25">'EOQ Model 2'!changecolor</definedName>
    <definedName name="changecolor" localSheetId="49">'Finite Population Model'!changecolor</definedName>
    <definedName name="changecolor" localSheetId="42">'Frequency Table'!changecolor</definedName>
    <definedName name="changecolor" localSheetId="40">'Identical Components'!changecolor</definedName>
    <definedName name="changecolor" localSheetId="29">InvSSNorm!changecolor</definedName>
    <definedName name="changecolor" localSheetId="44">'Linear Programming'!changecolor</definedName>
    <definedName name="changecolor" localSheetId="31">'Optimal Transportation Model'!changecolor</definedName>
    <definedName name="changecolor" localSheetId="26">'POQ Model'!changecolor</definedName>
    <definedName name="changecolor" localSheetId="52">Simulation!changecolor</definedName>
    <definedName name="changecolor" localSheetId="45">Transportation!changecolor</definedName>
    <definedName name="changecolor" localSheetId="30">'Transportation Model'!changecolor</definedName>
    <definedName name="changecolor">[0]!changecolor</definedName>
    <definedName name="color_CANCEL" localSheetId="34">Assignment!color_CANCEL</definedName>
    <definedName name="color_CANCEL" localSheetId="24">'EOQ Model'!color_CANCEL</definedName>
    <definedName name="color_CANCEL" localSheetId="25">'EOQ Model 2'!color_CANCEL</definedName>
    <definedName name="color_CANCEL" localSheetId="49">'Finite Population Model'!color_CANCEL</definedName>
    <definedName name="color_CANCEL" localSheetId="42">'Frequency Table'!color_CANCEL</definedName>
    <definedName name="color_CANCEL" localSheetId="40">'Identical Components'!color_CANCEL</definedName>
    <definedName name="color_CANCEL" localSheetId="29">InvSSNorm!color_CANCEL</definedName>
    <definedName name="color_CANCEL" localSheetId="44">'Linear Programming'!color_CANCEL</definedName>
    <definedName name="color_CANCEL" localSheetId="31">'Optimal Transportation Model'!color_CANCEL</definedName>
    <definedName name="color_CANCEL" localSheetId="26">'POQ Model'!color_CANCEL</definedName>
    <definedName name="color_CANCEL" localSheetId="52">Simulation!color_CANCEL</definedName>
    <definedName name="color_CANCEL" localSheetId="45">Transportation!color_CANCEL</definedName>
    <definedName name="color_CANCEL" localSheetId="30">'Transportation Model'!color_CANCEL</definedName>
    <definedName name="color_CANCEL">[0]!color_CANCEL</definedName>
    <definedName name="color_DEFAULT" localSheetId="34">Assignment!color_DEFAULT</definedName>
    <definedName name="color_DEFAULT" localSheetId="24">'EOQ Model'!color_DEFAULT</definedName>
    <definedName name="color_DEFAULT" localSheetId="25">'EOQ Model 2'!color_DEFAULT</definedName>
    <definedName name="color_DEFAULT" localSheetId="49">'Finite Population Model'!color_DEFAULT</definedName>
    <definedName name="color_DEFAULT" localSheetId="42">'Frequency Table'!color_DEFAULT</definedName>
    <definedName name="color_DEFAULT" localSheetId="40">'Identical Components'!color_DEFAULT</definedName>
    <definedName name="color_DEFAULT" localSheetId="29">InvSSNorm!color_DEFAULT</definedName>
    <definedName name="color_DEFAULT" localSheetId="44">'Linear Programming'!color_DEFAULT</definedName>
    <definedName name="color_DEFAULT" localSheetId="31">'Optimal Transportation Model'!color_DEFAULT</definedName>
    <definedName name="color_DEFAULT" localSheetId="26">'POQ Model'!color_DEFAULT</definedName>
    <definedName name="color_DEFAULT" localSheetId="52">Simulation!color_DEFAULT</definedName>
    <definedName name="color_DEFAULT" localSheetId="45">Transportation!color_DEFAULT</definedName>
    <definedName name="color_DEFAULT" localSheetId="30">'Transportation Model'!color_DEFAULT</definedName>
    <definedName name="color_DEFAULT">[0]!color_DEFAULT</definedName>
    <definedName name="color_OK" localSheetId="34">Assignment!color_OK</definedName>
    <definedName name="color_OK" localSheetId="24">'EOQ Model'!color_OK</definedName>
    <definedName name="color_OK" localSheetId="25">'EOQ Model 2'!color_OK</definedName>
    <definedName name="color_OK" localSheetId="49">'Finite Population Model'!color_OK</definedName>
    <definedName name="color_OK" localSheetId="42">'Frequency Table'!color_OK</definedName>
    <definedName name="color_OK" localSheetId="40">'Identical Components'!color_OK</definedName>
    <definedName name="color_OK" localSheetId="29">InvSSNorm!color_OK</definedName>
    <definedName name="color_OK" localSheetId="44">'Linear Programming'!color_OK</definedName>
    <definedName name="color_OK" localSheetId="31">'Optimal Transportation Model'!color_OK</definedName>
    <definedName name="color_OK" localSheetId="26">'POQ Model'!color_OK</definedName>
    <definedName name="color_OK" localSheetId="52">Simulation!color_OK</definedName>
    <definedName name="color_OK" localSheetId="45">Transportation!color_OK</definedName>
    <definedName name="color_OK" localSheetId="30">'Transportation Model'!color_OK</definedName>
    <definedName name="color_OK">[0]!color_OK</definedName>
    <definedName name="colorlist_change" localSheetId="34">Assignment!colorlist_change</definedName>
    <definedName name="colorlist_change" localSheetId="24">'EOQ Model'!colorlist_change</definedName>
    <definedName name="colorlist_change" localSheetId="25">'EOQ Model 2'!colorlist_change</definedName>
    <definedName name="colorlist_change" localSheetId="49">'Finite Population Model'!colorlist_change</definedName>
    <definedName name="colorlist_change" localSheetId="42">'Frequency Table'!colorlist_change</definedName>
    <definedName name="colorlist_change" localSheetId="40">'Identical Components'!colorlist_change</definedName>
    <definedName name="colorlist_change" localSheetId="29">InvSSNorm!colorlist_change</definedName>
    <definedName name="colorlist_change" localSheetId="44">'Linear Programming'!colorlist_change</definedName>
    <definedName name="colorlist_change" localSheetId="31">'Optimal Transportation Model'!colorlist_change</definedName>
    <definedName name="colorlist_change" localSheetId="26">'POQ Model'!colorlist_change</definedName>
    <definedName name="colorlist_change" localSheetId="52">Simulation!colorlist_change</definedName>
    <definedName name="colorlist_change" localSheetId="45">Transportation!colorlist_change</definedName>
    <definedName name="colorlist_change" localSheetId="30">'Transportation Model'!colorlist_change</definedName>
    <definedName name="colorlist_change">[0]!colorlist_change</definedName>
    <definedName name="_xlnm.Print_Area" localSheetId="44">'Linear Programming'!$A$3:$I$19</definedName>
    <definedName name="solver_adj" localSheetId="34" hidden="1">Assignment!$B$16:$D$18</definedName>
    <definedName name="solver_adj" localSheetId="44" hidden="1">'Linear Programming'!$B$18:$C$18</definedName>
    <definedName name="solver_adj" localSheetId="31" hidden="1">'Optimal Transportation Model'!$B$30:$E$39</definedName>
    <definedName name="solver_adj" localSheetId="45" hidden="1">Transportation!$B$17:$D$19</definedName>
    <definedName name="solver_adj" localSheetId="30" hidden="1">'Transportation Model'!$B$30:$E$39</definedName>
    <definedName name="solver_cir1" localSheetId="31" hidden="1">1</definedName>
    <definedName name="solver_cir1" localSheetId="30" hidden="1">1</definedName>
    <definedName name="solver_cir2" localSheetId="31" hidden="1">1</definedName>
    <definedName name="solver_cir2" localSheetId="30" hidden="1">1</definedName>
    <definedName name="solver_cir3" localSheetId="31" hidden="1">1</definedName>
    <definedName name="solver_cir3" localSheetId="30" hidden="1">1</definedName>
    <definedName name="solver_cvg" localSheetId="34" hidden="1">0.001</definedName>
    <definedName name="solver_cvg" localSheetId="44" hidden="1">0.001</definedName>
    <definedName name="solver_cvg" localSheetId="33" hidden="1">0.0001</definedName>
    <definedName name="solver_cvg" localSheetId="31" hidden="1">0.001</definedName>
    <definedName name="solver_cvg" localSheetId="45" hidden="1">0.001</definedName>
    <definedName name="solver_cvg" localSheetId="30" hidden="1">0.001</definedName>
    <definedName name="solver_drv" localSheetId="34" hidden="1">1</definedName>
    <definedName name="solver_drv" localSheetId="44" hidden="1">1</definedName>
    <definedName name="solver_drv" localSheetId="33" hidden="1">1</definedName>
    <definedName name="solver_drv" localSheetId="31" hidden="1">1</definedName>
    <definedName name="solver_drv" localSheetId="45" hidden="1">1</definedName>
    <definedName name="solver_drv" localSheetId="30" hidden="1">1</definedName>
    <definedName name="solver_eng" localSheetId="44" hidden="1">2</definedName>
    <definedName name="solver_eng" localSheetId="33" hidden="1">1</definedName>
    <definedName name="solver_eng" localSheetId="31" hidden="1">2</definedName>
    <definedName name="solver_eng" localSheetId="30" hidden="1">2</definedName>
    <definedName name="solver_est" localSheetId="34" hidden="1">1</definedName>
    <definedName name="solver_est" localSheetId="44" hidden="1">1</definedName>
    <definedName name="solver_est" localSheetId="31" hidden="1">1</definedName>
    <definedName name="solver_est" localSheetId="45" hidden="1">1</definedName>
    <definedName name="solver_est" localSheetId="30" hidden="1">1</definedName>
    <definedName name="solver_itr" localSheetId="34" hidden="1">100</definedName>
    <definedName name="solver_itr" localSheetId="44" hidden="1">100</definedName>
    <definedName name="solver_itr" localSheetId="33" hidden="1">2147483647</definedName>
    <definedName name="solver_itr" localSheetId="31" hidden="1">200</definedName>
    <definedName name="solver_itr" localSheetId="45" hidden="1">200</definedName>
    <definedName name="solver_itr" localSheetId="30" hidden="1">200</definedName>
    <definedName name="solver_lhs1" localSheetId="34" hidden="1">Assignment!$E$16:$E$18</definedName>
    <definedName name="solver_lhs1" localSheetId="44" hidden="1">'Linear Programming'!$J$13:$J$15</definedName>
    <definedName name="solver_lhs1" localSheetId="31" hidden="1">'Optimal Transportation Model'!$B$30:$E$39</definedName>
    <definedName name="solver_lhs1" localSheetId="45" hidden="1">Transportation!$E$17:$E$19</definedName>
    <definedName name="solver_lhs1" localSheetId="30" hidden="1">'Transportation Model'!$B$30:$E$39</definedName>
    <definedName name="solver_lhs2" localSheetId="34" hidden="1">Assignment!$B$19:$D$19</definedName>
    <definedName name="solver_lhs2" localSheetId="44" hidden="1">'Linear Programming'!$L$13:$L$15</definedName>
    <definedName name="solver_lhs2" localSheetId="31" hidden="1">'Optimal Transportation Model'!$B$40:$E$40</definedName>
    <definedName name="solver_lhs2" localSheetId="45" hidden="1">Transportation!$B$20:$D$20</definedName>
    <definedName name="solver_lhs2" localSheetId="30" hidden="1">'Transportation Model'!$B$40:$E$40</definedName>
    <definedName name="solver_lhs3" localSheetId="34" hidden="1">Assignment!$B$16:$D$18</definedName>
    <definedName name="solver_lhs3" localSheetId="44" hidden="1">'Linear Programming'!$B$18:$C$18</definedName>
    <definedName name="solver_lhs3" localSheetId="31" hidden="1">'Optimal Transportation Model'!$F$30:$F$39</definedName>
    <definedName name="solver_lhs3" localSheetId="45" hidden="1">Transportation!$B$17:$D$19</definedName>
    <definedName name="solver_lhs3" localSheetId="30" hidden="1">'Transportation Model'!$F$30:$F$39</definedName>
    <definedName name="solver_lhs4" localSheetId="34" hidden="1">Assignment!$B$16:$D$18</definedName>
    <definedName name="solver_lhs4" localSheetId="31" hidden="1">'Optimal Transportation Model'!$B$30:$E$39</definedName>
    <definedName name="solver_lhs4" localSheetId="45" hidden="1">Transportation!$B$17:$D$19</definedName>
    <definedName name="solver_lhs4" localSheetId="30" hidden="1">'Transportation Model'!$B$30:$E$39</definedName>
    <definedName name="solver_lin" localSheetId="34" hidden="1">1</definedName>
    <definedName name="solver_lin" localSheetId="44" hidden="1">1</definedName>
    <definedName name="solver_lin" localSheetId="33" hidden="1">2</definedName>
    <definedName name="solver_lin" localSheetId="31" hidden="1">1</definedName>
    <definedName name="solver_lin" localSheetId="45" hidden="1">1</definedName>
    <definedName name="solver_lin" localSheetId="30" hidden="1">1</definedName>
    <definedName name="solver_mip" localSheetId="44" hidden="1">2147483647</definedName>
    <definedName name="solver_mip" localSheetId="33" hidden="1">2147483647</definedName>
    <definedName name="solver_mni" localSheetId="44" hidden="1">30</definedName>
    <definedName name="solver_mni" localSheetId="33" hidden="1">30</definedName>
    <definedName name="solver_mrt" localSheetId="44" hidden="1">0.075</definedName>
    <definedName name="solver_mrt" localSheetId="33" hidden="1">0.075</definedName>
    <definedName name="solver_msl" localSheetId="44" hidden="1">2</definedName>
    <definedName name="solver_msl" localSheetId="33" hidden="1">2</definedName>
    <definedName name="solver_mtr" localSheetId="31" hidden="1">0</definedName>
    <definedName name="solver_mtr" localSheetId="30" hidden="1">0</definedName>
    <definedName name="solver_neg" localSheetId="34" hidden="1">1</definedName>
    <definedName name="solver_neg" localSheetId="44" hidden="1">1</definedName>
    <definedName name="solver_neg" localSheetId="33" hidden="1">1</definedName>
    <definedName name="solver_neg" localSheetId="31" hidden="1">1</definedName>
    <definedName name="solver_neg" localSheetId="45" hidden="1">1</definedName>
    <definedName name="solver_neg" localSheetId="30" hidden="1">1</definedName>
    <definedName name="solver_nod" localSheetId="44" hidden="1">2147483647</definedName>
    <definedName name="solver_nod" localSheetId="33" hidden="1">2147483647</definedName>
    <definedName name="solver_num" localSheetId="34" hidden="1">2</definedName>
    <definedName name="solver_num" localSheetId="44" hidden="1">2</definedName>
    <definedName name="solver_num" localSheetId="33" hidden="1">0</definedName>
    <definedName name="solver_num" localSheetId="31" hidden="1">3</definedName>
    <definedName name="solver_num" localSheetId="45" hidden="1">2</definedName>
    <definedName name="solver_num" localSheetId="30" hidden="1">3</definedName>
    <definedName name="solver_nwt" localSheetId="34" hidden="1">1</definedName>
    <definedName name="solver_nwt" localSheetId="44" hidden="1">1</definedName>
    <definedName name="solver_nwt" localSheetId="31" hidden="1">1</definedName>
    <definedName name="solver_nwt" localSheetId="45" hidden="1">1</definedName>
    <definedName name="solver_nwt" localSheetId="30" hidden="1">1</definedName>
    <definedName name="solver_opt" localSheetId="34" hidden="1">Assignment!$B$21</definedName>
    <definedName name="solver_opt" localSheetId="44" hidden="1">'Linear Programming'!$G$12</definedName>
    <definedName name="solver_opt" localSheetId="33" hidden="1">'Lot-Sizing'!$D$14</definedName>
    <definedName name="solver_opt" localSheetId="31" hidden="1">'Optimal Transportation Model'!$B$42</definedName>
    <definedName name="solver_opt" localSheetId="45" hidden="1">Transportation!$B$22</definedName>
    <definedName name="solver_opt" localSheetId="30" hidden="1">'Transportation Model'!$B$42</definedName>
    <definedName name="solver_pre" localSheetId="34" hidden="1">0.000001</definedName>
    <definedName name="solver_pre" localSheetId="44" hidden="1">0.000001</definedName>
    <definedName name="solver_pre" localSheetId="33" hidden="1">0.000001</definedName>
    <definedName name="solver_pre" localSheetId="31" hidden="1">0.000001</definedName>
    <definedName name="solver_pre" localSheetId="45" hidden="1">0.000001</definedName>
    <definedName name="solver_pre" localSheetId="30" hidden="1">0.000001</definedName>
    <definedName name="solver_rbv" localSheetId="44" hidden="1">1</definedName>
    <definedName name="solver_rbv" localSheetId="33" hidden="1">1</definedName>
    <definedName name="solver_rel1" localSheetId="34" hidden="1">2</definedName>
    <definedName name="solver_rel1" localSheetId="44" hidden="1">1</definedName>
    <definedName name="solver_rel1" localSheetId="31" hidden="1">4</definedName>
    <definedName name="solver_rel1" localSheetId="45" hidden="1">1</definedName>
    <definedName name="solver_rel1" localSheetId="30" hidden="1">4</definedName>
    <definedName name="solver_rel2" localSheetId="34" hidden="1">2</definedName>
    <definedName name="solver_rel2" localSheetId="44" hidden="1">3</definedName>
    <definedName name="solver_rel2" localSheetId="31" hidden="1">2</definedName>
    <definedName name="solver_rel2" localSheetId="45" hidden="1">3</definedName>
    <definedName name="solver_rel2" localSheetId="30" hidden="1">2</definedName>
    <definedName name="solver_rel3" localSheetId="34" hidden="1">4</definedName>
    <definedName name="solver_rel3" localSheetId="44" hidden="1">3</definedName>
    <definedName name="solver_rel3" localSheetId="31" hidden="1">2</definedName>
    <definedName name="solver_rel3" localSheetId="45" hidden="1">4</definedName>
    <definedName name="solver_rel3" localSheetId="30" hidden="1">2</definedName>
    <definedName name="solver_rel4" localSheetId="34" hidden="1">4</definedName>
    <definedName name="solver_rel4" localSheetId="31" hidden="1">4</definedName>
    <definedName name="solver_rel4" localSheetId="45" hidden="1">4</definedName>
    <definedName name="solver_rel4" localSheetId="30" hidden="1">4</definedName>
    <definedName name="solver_rhs1" localSheetId="34" hidden="1">1</definedName>
    <definedName name="solver_rhs1" localSheetId="44" hidden="1">'Linear Programming'!$K$13:$K$15</definedName>
    <definedName name="solver_rhs1" localSheetId="31" hidden="1">Integer</definedName>
    <definedName name="solver_rhs1" localSheetId="45" hidden="1">Transportation!$E$10:$E$12</definedName>
    <definedName name="solver_rhs1" localSheetId="30" hidden="1">Integer</definedName>
    <definedName name="solver_rhs2" localSheetId="34" hidden="1">1</definedName>
    <definedName name="solver_rhs2" localSheetId="44" hidden="1">'Linear Programming'!$M$13:$M$15</definedName>
    <definedName name="solver_rhs2" localSheetId="31" hidden="1">'Optimal Transportation Model'!$B$26:$E$26</definedName>
    <definedName name="solver_rhs2" localSheetId="45" hidden="1">Transportation!$B$13:$D$13</definedName>
    <definedName name="solver_rhs2" localSheetId="30" hidden="1">'Transportation Model'!$B$26:$E$26</definedName>
    <definedName name="solver_rhs3" localSheetId="34" hidden="1">Integer</definedName>
    <definedName name="solver_rhs3" localSheetId="44" hidden="1">0</definedName>
    <definedName name="solver_rhs3" localSheetId="31" hidden="1">'Optimal Transportation Model'!$F$16:$F$25</definedName>
    <definedName name="solver_rhs3" localSheetId="45" hidden="1">[1]!Integer</definedName>
    <definedName name="solver_rhs3" localSheetId="30" hidden="1">'Transportation Model'!$F$16:$F$25</definedName>
    <definedName name="solver_rhs4" localSheetId="34" hidden="1">Integer</definedName>
    <definedName name="solver_rhs4" localSheetId="31" hidden="1">[1]!Integer</definedName>
    <definedName name="solver_rhs4" localSheetId="45" hidden="1">[1]!Integer</definedName>
    <definedName name="solver_rhs4" localSheetId="30" hidden="1">[1]!Integer</definedName>
    <definedName name="solver_rlx" localSheetId="44" hidden="1">1</definedName>
    <definedName name="solver_rlx" localSheetId="33" hidden="1">2</definedName>
    <definedName name="solver_rsd" localSheetId="44" hidden="1">0</definedName>
    <definedName name="solver_rsd" localSheetId="33" hidden="1">0</definedName>
    <definedName name="solver_scl" localSheetId="34" hidden="1">2</definedName>
    <definedName name="solver_scl" localSheetId="44" hidden="1">2</definedName>
    <definedName name="solver_scl" localSheetId="33" hidden="1">1</definedName>
    <definedName name="solver_scl" localSheetId="31" hidden="1">2</definedName>
    <definedName name="solver_scl" localSheetId="45" hidden="1">2</definedName>
    <definedName name="solver_scl" localSheetId="30" hidden="1">2</definedName>
    <definedName name="solver_sho" localSheetId="34" hidden="1">2</definedName>
    <definedName name="solver_sho" localSheetId="44" hidden="1">2</definedName>
    <definedName name="solver_sho" localSheetId="33" hidden="1">2</definedName>
    <definedName name="solver_sho" localSheetId="31" hidden="1">2</definedName>
    <definedName name="solver_sho" localSheetId="45" hidden="1">2</definedName>
    <definedName name="solver_sho" localSheetId="30" hidden="1">2</definedName>
    <definedName name="solver_ssz" localSheetId="44" hidden="1">100</definedName>
    <definedName name="solver_ssz" localSheetId="33" hidden="1">100</definedName>
    <definedName name="solver_tim" localSheetId="34" hidden="1">100</definedName>
    <definedName name="solver_tim" localSheetId="44" hidden="1">100</definedName>
    <definedName name="solver_tim" localSheetId="33" hidden="1">2147483647</definedName>
    <definedName name="solver_tim" localSheetId="31" hidden="1">100</definedName>
    <definedName name="solver_tim" localSheetId="45" hidden="1">100</definedName>
    <definedName name="solver_tim" localSheetId="30" hidden="1">100</definedName>
    <definedName name="solver_tmp" localSheetId="34" hidden="1">1</definedName>
    <definedName name="solver_tmp" localSheetId="44" hidden="1">0</definedName>
    <definedName name="solver_tmp" localSheetId="31" hidden="1">0</definedName>
    <definedName name="solver_tmp" localSheetId="45" hidden="1">0</definedName>
    <definedName name="solver_tmp" localSheetId="30" hidden="1">0</definedName>
    <definedName name="solver_tol" localSheetId="34" hidden="1">0.05</definedName>
    <definedName name="solver_tol" localSheetId="44" hidden="1">0.05</definedName>
    <definedName name="solver_tol" localSheetId="33" hidden="1">0.01</definedName>
    <definedName name="solver_tol" localSheetId="31" hidden="1">0.05</definedName>
    <definedName name="solver_tol" localSheetId="45" hidden="1">0.05</definedName>
    <definedName name="solver_tol" localSheetId="30" hidden="1">0.05</definedName>
    <definedName name="solver_typ" localSheetId="34" hidden="1">2</definedName>
    <definedName name="solver_typ" localSheetId="44" hidden="1">2</definedName>
    <definedName name="solver_typ" localSheetId="33" hidden="1">1</definedName>
    <definedName name="solver_typ" localSheetId="31" hidden="1">2</definedName>
    <definedName name="solver_typ" localSheetId="45" hidden="1">2</definedName>
    <definedName name="solver_typ" localSheetId="30" hidden="1">2</definedName>
    <definedName name="solver_val" localSheetId="34" hidden="1">0</definedName>
    <definedName name="solver_val" localSheetId="44" hidden="1">0</definedName>
    <definedName name="solver_val" localSheetId="33" hidden="1">0</definedName>
    <definedName name="solver_val" localSheetId="31" hidden="1">0</definedName>
    <definedName name="solver_val" localSheetId="45" hidden="1">0</definedName>
    <definedName name="solver_val" localSheetId="30" hidden="1">0</definedName>
    <definedName name="solver_ver" localSheetId="44" hidden="1">2</definedName>
    <definedName name="solver_ver" localSheetId="33" hidden="1">2</definedName>
    <definedName name="solver_ver" localSheetId="31" hidden="1">6</definedName>
    <definedName name="solver_ver" localSheetId="30" hidden="1">6</definedName>
    <definedName name="solver_vir" localSheetId="31" hidden="1">1</definedName>
    <definedName name="solver_vir" localSheetId="30" hidden="1">1</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15" i="69" l="1"/>
  <c r="A19" i="69"/>
  <c r="B15" i="69"/>
  <c r="D15" i="69"/>
  <c r="B17" i="176"/>
  <c r="B20" i="176"/>
  <c r="B16" i="176"/>
  <c r="B19" i="176"/>
  <c r="B22" i="176"/>
  <c r="B23" i="176"/>
  <c r="C63" i="176"/>
  <c r="B63" i="176"/>
  <c r="B62" i="176"/>
  <c r="C34" i="176"/>
  <c r="B37" i="176"/>
  <c r="E34" i="176"/>
  <c r="B38" i="176"/>
  <c r="B39" i="176"/>
  <c r="B40" i="176"/>
  <c r="B41" i="176"/>
  <c r="B42" i="176"/>
  <c r="B43" i="176"/>
  <c r="B44" i="176"/>
  <c r="B45" i="176"/>
  <c r="B46" i="176"/>
  <c r="B47" i="176"/>
  <c r="B48" i="176"/>
  <c r="B49" i="176"/>
  <c r="B50" i="176"/>
  <c r="B51" i="176"/>
  <c r="B52" i="176"/>
  <c r="B53" i="176"/>
  <c r="B54" i="176"/>
  <c r="B55" i="176"/>
  <c r="B56" i="176"/>
  <c r="B57" i="176"/>
  <c r="B58" i="176"/>
  <c r="B59" i="176"/>
  <c r="B60" i="176"/>
  <c r="C60" i="176"/>
  <c r="D60" i="176"/>
  <c r="E60" i="176"/>
  <c r="C59" i="176"/>
  <c r="D59" i="176"/>
  <c r="E59" i="176"/>
  <c r="C58" i="176"/>
  <c r="D58" i="176"/>
  <c r="E58" i="176"/>
  <c r="C57" i="176"/>
  <c r="D57" i="176"/>
  <c r="E57" i="176"/>
  <c r="C56" i="176"/>
  <c r="D56" i="176"/>
  <c r="E56" i="176"/>
  <c r="C55" i="176"/>
  <c r="D55" i="176"/>
  <c r="E55" i="176"/>
  <c r="C54" i="176"/>
  <c r="D54" i="176"/>
  <c r="E54" i="176"/>
  <c r="C53" i="176"/>
  <c r="D53" i="176"/>
  <c r="E53" i="176"/>
  <c r="C52" i="176"/>
  <c r="D52" i="176"/>
  <c r="E52" i="176"/>
  <c r="C51" i="176"/>
  <c r="D51" i="176"/>
  <c r="E51" i="176"/>
  <c r="C50" i="176"/>
  <c r="D50" i="176"/>
  <c r="E50" i="176"/>
  <c r="C49" i="176"/>
  <c r="D49" i="176"/>
  <c r="E49" i="176"/>
  <c r="C48" i="176"/>
  <c r="D48" i="176"/>
  <c r="E48" i="176"/>
  <c r="C47" i="176"/>
  <c r="D47" i="176"/>
  <c r="E47" i="176"/>
  <c r="C46" i="176"/>
  <c r="D46" i="176"/>
  <c r="E46" i="176"/>
  <c r="C45" i="176"/>
  <c r="D45" i="176"/>
  <c r="E45" i="176"/>
  <c r="C44" i="176"/>
  <c r="D44" i="176"/>
  <c r="E44" i="176"/>
  <c r="C43" i="176"/>
  <c r="D43" i="176"/>
  <c r="E43" i="176"/>
  <c r="C42" i="176"/>
  <c r="D42" i="176"/>
  <c r="E42" i="176"/>
  <c r="C41" i="176"/>
  <c r="D41" i="176"/>
  <c r="E41" i="176"/>
  <c r="C40" i="176"/>
  <c r="D40" i="176"/>
  <c r="E40" i="176"/>
  <c r="C39" i="176"/>
  <c r="D39" i="176"/>
  <c r="E39" i="176"/>
  <c r="C38" i="176"/>
  <c r="D38" i="176"/>
  <c r="E38" i="176"/>
  <c r="C37" i="176"/>
  <c r="D37" i="176"/>
  <c r="E37" i="176"/>
  <c r="B15" i="176"/>
  <c r="G8" i="54"/>
  <c r="P9" i="54"/>
  <c r="C26" i="59"/>
  <c r="D38" i="174"/>
  <c r="D37" i="174"/>
  <c r="E36" i="174"/>
  <c r="C40" i="174"/>
  <c r="C33" i="174"/>
  <c r="C34" i="174"/>
  <c r="C35" i="174"/>
  <c r="C32" i="174"/>
  <c r="B31" i="174"/>
  <c r="B30" i="174"/>
  <c r="F31" i="174"/>
  <c r="F32" i="174"/>
  <c r="F33" i="174"/>
  <c r="F34" i="174"/>
  <c r="F35" i="174"/>
  <c r="F36" i="174"/>
  <c r="F37" i="174"/>
  <c r="F38" i="174"/>
  <c r="F39" i="174"/>
  <c r="F30" i="174"/>
  <c r="B40" i="174"/>
  <c r="D25" i="174"/>
  <c r="D24" i="174"/>
  <c r="D23" i="174"/>
  <c r="D22" i="174"/>
  <c r="D21" i="174"/>
  <c r="D20" i="174"/>
  <c r="C22" i="174"/>
  <c r="C21" i="174"/>
  <c r="C20" i="174"/>
  <c r="D19" i="174"/>
  <c r="D18" i="174"/>
  <c r="D17" i="174"/>
  <c r="C19" i="174"/>
  <c r="C18" i="174"/>
  <c r="C17" i="174"/>
  <c r="B19" i="174"/>
  <c r="B18" i="174"/>
  <c r="B17" i="174"/>
  <c r="D16" i="174"/>
  <c r="C16" i="174"/>
  <c r="E29" i="174"/>
  <c r="D29" i="174"/>
  <c r="C29" i="174"/>
  <c r="B29" i="174"/>
  <c r="E40" i="174"/>
  <c r="F40" i="174"/>
  <c r="A39" i="174"/>
  <c r="A38" i="174"/>
  <c r="A37" i="174"/>
  <c r="A36" i="174"/>
  <c r="A35" i="174"/>
  <c r="A34" i="174"/>
  <c r="A33" i="174"/>
  <c r="A32" i="174"/>
  <c r="A31" i="174"/>
  <c r="A30" i="174"/>
  <c r="E26" i="174"/>
  <c r="F26" i="174"/>
  <c r="B42" i="174"/>
  <c r="B14" i="174"/>
  <c r="C17" i="80"/>
  <c r="B31" i="80"/>
  <c r="E39" i="80"/>
  <c r="E36" i="80"/>
  <c r="C16" i="80"/>
  <c r="D16" i="80"/>
  <c r="D17" i="80"/>
  <c r="C18" i="80"/>
  <c r="D18" i="80"/>
  <c r="C19" i="80"/>
  <c r="D19" i="80"/>
  <c r="D20" i="80"/>
  <c r="D21" i="80"/>
  <c r="D22" i="80"/>
  <c r="E31" i="80"/>
  <c r="B42" i="80"/>
  <c r="B21" i="102"/>
  <c r="B18" i="142"/>
  <c r="C18" i="142"/>
  <c r="E18" i="142"/>
  <c r="F18" i="142"/>
  <c r="G18" i="142"/>
  <c r="D19" i="142"/>
  <c r="B19" i="142"/>
  <c r="C19" i="142"/>
  <c r="E19" i="142"/>
  <c r="F19" i="142"/>
  <c r="G19" i="142"/>
  <c r="D20" i="142"/>
  <c r="B20" i="142"/>
  <c r="C20" i="142"/>
  <c r="E20" i="142"/>
  <c r="F20" i="142"/>
  <c r="G20" i="142"/>
  <c r="D21" i="142"/>
  <c r="B21" i="142"/>
  <c r="C21" i="142"/>
  <c r="E21" i="142"/>
  <c r="F21" i="142"/>
  <c r="G21" i="142"/>
  <c r="D22" i="142"/>
  <c r="B22" i="142"/>
  <c r="C22" i="142"/>
  <c r="E22" i="142"/>
  <c r="F22" i="142"/>
  <c r="G22" i="142"/>
  <c r="D23" i="142"/>
  <c r="B23" i="142"/>
  <c r="C23" i="142"/>
  <c r="E23" i="142"/>
  <c r="F23" i="142"/>
  <c r="G23" i="142"/>
  <c r="D24" i="142"/>
  <c r="B24" i="142"/>
  <c r="C24" i="142"/>
  <c r="E24" i="142"/>
  <c r="F24" i="142"/>
  <c r="G24" i="142"/>
  <c r="D25" i="142"/>
  <c r="B25" i="142"/>
  <c r="C25" i="142"/>
  <c r="E25" i="142"/>
  <c r="F25" i="142"/>
  <c r="G25" i="142"/>
  <c r="D26" i="142"/>
  <c r="B26" i="142"/>
  <c r="C26" i="142"/>
  <c r="E26" i="142"/>
  <c r="F26" i="142"/>
  <c r="G26" i="142"/>
  <c r="D27" i="142"/>
  <c r="B27" i="142"/>
  <c r="C27" i="142"/>
  <c r="E27" i="142"/>
  <c r="F27" i="142"/>
  <c r="G27" i="142"/>
  <c r="H18" i="142"/>
  <c r="H19" i="142"/>
  <c r="H20" i="142"/>
  <c r="H21" i="142"/>
  <c r="H22" i="142"/>
  <c r="H23" i="142"/>
  <c r="H24" i="142"/>
  <c r="H25" i="142"/>
  <c r="H26" i="142"/>
  <c r="H27" i="142"/>
  <c r="H28" i="142"/>
  <c r="F28" i="142"/>
  <c r="E28" i="142"/>
  <c r="K8" i="142" a="1"/>
  <c r="K8" i="142"/>
  <c r="M8" i="142"/>
  <c r="K9" i="142"/>
  <c r="M9" i="142"/>
  <c r="K10" i="142"/>
  <c r="M10" i="142"/>
  <c r="K11" i="142"/>
  <c r="M11" i="142"/>
  <c r="K12" i="142"/>
  <c r="M12" i="142"/>
  <c r="K13" i="142"/>
  <c r="M13" i="142"/>
  <c r="M14" i="142"/>
  <c r="K14" i="142"/>
  <c r="M15" i="142"/>
  <c r="B12" i="139"/>
  <c r="E11" i="136"/>
  <c r="E17" i="172"/>
  <c r="E16" i="172"/>
  <c r="E13" i="172"/>
  <c r="E8" i="172"/>
  <c r="E9" i="172"/>
  <c r="E7" i="172"/>
  <c r="E12" i="172"/>
  <c r="E10" i="172"/>
  <c r="E11" i="172"/>
  <c r="E9" i="33"/>
  <c r="I11" i="31"/>
  <c r="G17" i="31"/>
  <c r="G14" i="170"/>
  <c r="G16" i="170"/>
  <c r="G15" i="170"/>
  <c r="B11" i="170"/>
  <c r="B10" i="170"/>
  <c r="C15" i="170"/>
  <c r="I53" i="170"/>
  <c r="H53" i="170"/>
  <c r="G53" i="170"/>
  <c r="F53" i="170"/>
  <c r="I52" i="170"/>
  <c r="H52" i="170"/>
  <c r="G52" i="170"/>
  <c r="F52" i="170"/>
  <c r="I51" i="170"/>
  <c r="H51" i="170"/>
  <c r="G51" i="170"/>
  <c r="F51" i="170"/>
  <c r="I50" i="170"/>
  <c r="H50" i="170"/>
  <c r="G50" i="170"/>
  <c r="F50" i="170"/>
  <c r="I49" i="170"/>
  <c r="H49" i="170"/>
  <c r="G49" i="170"/>
  <c r="F49" i="170"/>
  <c r="B15" i="170"/>
  <c r="F14" i="170"/>
  <c r="E53" i="170"/>
  <c r="F15" i="170"/>
  <c r="D53" i="170"/>
  <c r="F16" i="170"/>
  <c r="C53" i="170"/>
  <c r="B53" i="170"/>
  <c r="A53" i="170"/>
  <c r="E52" i="170"/>
  <c r="D52" i="170"/>
  <c r="C52" i="170"/>
  <c r="B52" i="170"/>
  <c r="A52" i="170"/>
  <c r="E51" i="170"/>
  <c r="D51" i="170"/>
  <c r="C51" i="170"/>
  <c r="B51" i="170"/>
  <c r="A51" i="170"/>
  <c r="E50" i="170"/>
  <c r="D50" i="170"/>
  <c r="C50" i="170"/>
  <c r="B50" i="170"/>
  <c r="A50" i="170"/>
  <c r="E49" i="170"/>
  <c r="D49" i="170"/>
  <c r="C49" i="170"/>
  <c r="B49" i="170"/>
  <c r="A49" i="170"/>
  <c r="F10" i="170"/>
  <c r="G12" i="170"/>
  <c r="D14" i="170"/>
  <c r="D13" i="170"/>
  <c r="D12" i="170"/>
  <c r="D11" i="170"/>
  <c r="D10" i="170"/>
  <c r="H21" i="169"/>
  <c r="H22" i="169"/>
  <c r="H19" i="169"/>
  <c r="B17" i="169"/>
  <c r="B18" i="169"/>
  <c r="E10" i="169"/>
  <c r="F10" i="169"/>
  <c r="G10" i="169"/>
  <c r="I10" i="169"/>
  <c r="E11" i="169"/>
  <c r="F11" i="169"/>
  <c r="G11" i="169"/>
  <c r="I11" i="169"/>
  <c r="E12" i="169"/>
  <c r="F12" i="169"/>
  <c r="G12" i="169"/>
  <c r="I12" i="169"/>
  <c r="E13" i="169"/>
  <c r="F13" i="169"/>
  <c r="G13" i="169"/>
  <c r="I13" i="169"/>
  <c r="E14" i="169"/>
  <c r="F14" i="169"/>
  <c r="G14" i="169"/>
  <c r="I14" i="169"/>
  <c r="E15" i="169"/>
  <c r="F15" i="169"/>
  <c r="G15" i="169"/>
  <c r="I15" i="169"/>
  <c r="I17" i="169"/>
  <c r="H10" i="169"/>
  <c r="H11" i="169"/>
  <c r="H12" i="169"/>
  <c r="H13" i="169"/>
  <c r="H14" i="169"/>
  <c r="H15" i="169"/>
  <c r="H17" i="169"/>
  <c r="G17" i="169"/>
  <c r="F17" i="169"/>
  <c r="I16" i="169"/>
  <c r="H16" i="169"/>
  <c r="G16" i="169"/>
  <c r="F16" i="169"/>
  <c r="B20" i="169"/>
  <c r="E10" i="20"/>
  <c r="F10" i="149"/>
  <c r="G10" i="149"/>
  <c r="M10" i="149"/>
  <c r="L10" i="149"/>
  <c r="K10" i="149"/>
  <c r="F11" i="149"/>
  <c r="K11" i="149"/>
  <c r="F12" i="149"/>
  <c r="K12" i="149"/>
  <c r="F13" i="149"/>
  <c r="K13" i="149"/>
  <c r="F14" i="149"/>
  <c r="K14" i="149"/>
  <c r="F15" i="149"/>
  <c r="K15" i="149"/>
  <c r="G11" i="149"/>
  <c r="G12" i="149"/>
  <c r="G13" i="149"/>
  <c r="G14" i="149"/>
  <c r="G15" i="149"/>
  <c r="M15" i="149"/>
  <c r="N15" i="149"/>
  <c r="L11" i="149"/>
  <c r="L12" i="149"/>
  <c r="L13" i="149"/>
  <c r="L14" i="149"/>
  <c r="L15" i="149"/>
  <c r="M14" i="149"/>
  <c r="N14" i="149"/>
  <c r="M13" i="149"/>
  <c r="N13" i="149"/>
  <c r="M12" i="149"/>
  <c r="N12" i="149"/>
  <c r="M11" i="149"/>
  <c r="N11" i="149"/>
  <c r="N10" i="149"/>
  <c r="H10" i="149"/>
  <c r="H11" i="149"/>
  <c r="H12" i="149"/>
  <c r="H13" i="149"/>
  <c r="H14" i="149"/>
  <c r="H15" i="149"/>
  <c r="H16" i="149"/>
  <c r="H19" i="149"/>
  <c r="H20" i="149"/>
  <c r="I10" i="149"/>
  <c r="I11" i="149"/>
  <c r="I12" i="149"/>
  <c r="I13" i="149"/>
  <c r="I14" i="149"/>
  <c r="I15" i="149"/>
  <c r="I17" i="149"/>
  <c r="H17" i="149"/>
  <c r="G17" i="149"/>
  <c r="F17" i="149"/>
  <c r="I16" i="149"/>
  <c r="G16" i="149"/>
  <c r="F16" i="149"/>
  <c r="B21" i="12"/>
  <c r="G14" i="146"/>
  <c r="B15" i="146"/>
  <c r="E10" i="146"/>
  <c r="G10" i="146"/>
  <c r="G15" i="146"/>
  <c r="G11" i="146"/>
  <c r="F10" i="146"/>
  <c r="H10" i="146"/>
  <c r="H12" i="146"/>
  <c r="G12" i="146"/>
  <c r="F12" i="146"/>
  <c r="E12" i="146"/>
  <c r="H11" i="146"/>
  <c r="F11" i="146"/>
  <c r="E11" i="146"/>
  <c r="C7" i="146"/>
  <c r="E13" i="3"/>
  <c r="H13" i="3"/>
  <c r="D14" i="142"/>
  <c r="F9" i="142"/>
  <c r="F8" i="142"/>
  <c r="G8" i="142"/>
  <c r="G9" i="142"/>
  <c r="A10" i="142"/>
  <c r="A9" i="142"/>
  <c r="F11" i="142"/>
  <c r="F10" i="142"/>
  <c r="G10" i="142"/>
  <c r="G11" i="142"/>
  <c r="A12" i="142"/>
  <c r="A11" i="142"/>
  <c r="F12" i="142"/>
  <c r="G12" i="142"/>
  <c r="A13" i="142"/>
  <c r="J8" i="142"/>
  <c r="J9" i="142"/>
  <c r="J10" i="142"/>
  <c r="J11" i="142"/>
  <c r="J12" i="142"/>
  <c r="J13" i="142"/>
  <c r="F13" i="142"/>
  <c r="G13" i="142"/>
  <c r="L13" i="142"/>
  <c r="H13" i="142"/>
  <c r="L12" i="142"/>
  <c r="H12" i="142"/>
  <c r="L11" i="142"/>
  <c r="H11" i="142"/>
  <c r="L10" i="142"/>
  <c r="H10" i="142"/>
  <c r="L9" i="142"/>
  <c r="H9" i="142"/>
  <c r="H8" i="142"/>
  <c r="H14" i="142"/>
  <c r="L8" i="142"/>
  <c r="B13" i="139"/>
  <c r="B14" i="139"/>
  <c r="B18" i="139"/>
  <c r="B19" i="139"/>
  <c r="B20" i="139"/>
  <c r="B21" i="139"/>
  <c r="B22" i="139"/>
  <c r="B23" i="139"/>
  <c r="B24" i="139"/>
  <c r="B25" i="139"/>
  <c r="B26" i="139"/>
  <c r="B27" i="139"/>
  <c r="B28" i="139"/>
  <c r="B29" i="139"/>
  <c r="B30" i="139"/>
  <c r="B31" i="139"/>
  <c r="B32" i="139"/>
  <c r="B33" i="139"/>
  <c r="B34" i="139"/>
  <c r="B35" i="139"/>
  <c r="B36" i="139"/>
  <c r="B37" i="139"/>
  <c r="B38" i="139"/>
  <c r="B39" i="139"/>
  <c r="B40" i="139"/>
  <c r="B41" i="139"/>
  <c r="B42" i="139"/>
  <c r="B43" i="139"/>
  <c r="B44" i="139"/>
  <c r="B45" i="139"/>
  <c r="B46" i="139"/>
  <c r="B47" i="139"/>
  <c r="B48" i="139"/>
  <c r="B49" i="139"/>
  <c r="B50" i="139"/>
  <c r="B51" i="139"/>
  <c r="B52" i="139"/>
  <c r="B53" i="139"/>
  <c r="B54" i="139"/>
  <c r="B55" i="139"/>
  <c r="B56" i="139"/>
  <c r="B57" i="139"/>
  <c r="B58" i="139"/>
  <c r="B59" i="139"/>
  <c r="B60" i="139"/>
  <c r="B61" i="139"/>
  <c r="B62" i="139"/>
  <c r="C62" i="139"/>
  <c r="C61" i="139"/>
  <c r="C60" i="139"/>
  <c r="C59" i="139"/>
  <c r="C58" i="139"/>
  <c r="C57" i="139"/>
  <c r="C56" i="139"/>
  <c r="C55" i="139"/>
  <c r="C54" i="139"/>
  <c r="C53" i="139"/>
  <c r="C52" i="139"/>
  <c r="C51" i="139"/>
  <c r="C50" i="139"/>
  <c r="C49" i="139"/>
  <c r="C48" i="139"/>
  <c r="C47" i="139"/>
  <c r="C46" i="139"/>
  <c r="C45" i="139"/>
  <c r="C44" i="139"/>
  <c r="C43" i="139"/>
  <c r="C42" i="139"/>
  <c r="C41" i="139"/>
  <c r="C40" i="139"/>
  <c r="C39" i="139"/>
  <c r="C38" i="139"/>
  <c r="C37" i="139"/>
  <c r="C36" i="139"/>
  <c r="C35" i="139"/>
  <c r="C34" i="139"/>
  <c r="C33" i="139"/>
  <c r="C32" i="139"/>
  <c r="C31" i="139"/>
  <c r="C30" i="139"/>
  <c r="C29" i="139"/>
  <c r="C28" i="139"/>
  <c r="C27" i="139"/>
  <c r="C26" i="139"/>
  <c r="C25" i="139"/>
  <c r="C24" i="139"/>
  <c r="C23" i="139"/>
  <c r="C22" i="139"/>
  <c r="C21" i="139"/>
  <c r="C20" i="139"/>
  <c r="C19" i="139"/>
  <c r="C18" i="139"/>
  <c r="B11" i="137"/>
  <c r="B12" i="137"/>
  <c r="B16" i="137"/>
  <c r="B17" i="137"/>
  <c r="B18" i="137"/>
  <c r="C18" i="137"/>
  <c r="C17" i="137"/>
  <c r="C16" i="137"/>
  <c r="L52" i="136"/>
  <c r="K52" i="136"/>
  <c r="J52" i="136"/>
  <c r="I52" i="136"/>
  <c r="H52" i="136"/>
  <c r="G52" i="136"/>
  <c r="F52" i="136"/>
  <c r="E52" i="136"/>
  <c r="D52" i="136"/>
  <c r="C52" i="136"/>
  <c r="B52" i="136"/>
  <c r="L51" i="136"/>
  <c r="K51" i="136"/>
  <c r="J51" i="136"/>
  <c r="I51" i="136"/>
  <c r="H51" i="136"/>
  <c r="G51" i="136"/>
  <c r="F51" i="136"/>
  <c r="E51" i="136"/>
  <c r="D51" i="136"/>
  <c r="C51" i="136"/>
  <c r="B51" i="136"/>
  <c r="L50" i="136"/>
  <c r="K50" i="136"/>
  <c r="J50" i="136"/>
  <c r="I50" i="136"/>
  <c r="H50" i="136"/>
  <c r="G50" i="136"/>
  <c r="F50" i="136"/>
  <c r="E50" i="136"/>
  <c r="D50" i="136"/>
  <c r="C50" i="136"/>
  <c r="B50" i="136"/>
  <c r="L49" i="136"/>
  <c r="K49" i="136"/>
  <c r="J49" i="136"/>
  <c r="I49" i="136"/>
  <c r="H49" i="136"/>
  <c r="G49" i="136"/>
  <c r="F49" i="136"/>
  <c r="E49" i="136"/>
  <c r="D49" i="136"/>
  <c r="C49" i="136"/>
  <c r="B49" i="136"/>
  <c r="L48" i="136"/>
  <c r="K48" i="136"/>
  <c r="J48" i="136"/>
  <c r="I48" i="136"/>
  <c r="H48" i="136"/>
  <c r="G48" i="136"/>
  <c r="F48" i="136"/>
  <c r="E48" i="136"/>
  <c r="D48" i="136"/>
  <c r="C48" i="136"/>
  <c r="B48" i="136"/>
  <c r="L47" i="136"/>
  <c r="K47" i="136"/>
  <c r="J47" i="136"/>
  <c r="I47" i="136"/>
  <c r="H47" i="136"/>
  <c r="G47" i="136"/>
  <c r="F47" i="136"/>
  <c r="E47" i="136"/>
  <c r="D47" i="136"/>
  <c r="C47" i="136"/>
  <c r="B47" i="136"/>
  <c r="L46" i="136"/>
  <c r="K46" i="136"/>
  <c r="J46" i="136"/>
  <c r="I46" i="136"/>
  <c r="H46" i="136"/>
  <c r="G46" i="136"/>
  <c r="F46" i="136"/>
  <c r="E46" i="136"/>
  <c r="D46" i="136"/>
  <c r="C46" i="136"/>
  <c r="B46" i="136"/>
  <c r="L45" i="136"/>
  <c r="K45" i="136"/>
  <c r="J45" i="136"/>
  <c r="I45" i="136"/>
  <c r="H45" i="136"/>
  <c r="G45" i="136"/>
  <c r="F45" i="136"/>
  <c r="E45" i="136"/>
  <c r="D45" i="136"/>
  <c r="C45" i="136"/>
  <c r="B45" i="136"/>
  <c r="L44" i="136"/>
  <c r="K44" i="136"/>
  <c r="J44" i="136"/>
  <c r="I44" i="136"/>
  <c r="H44" i="136"/>
  <c r="G44" i="136"/>
  <c r="F44" i="136"/>
  <c r="E44" i="136"/>
  <c r="D44" i="136"/>
  <c r="C44" i="136"/>
  <c r="B44" i="136"/>
  <c r="L43" i="136"/>
  <c r="K43" i="136"/>
  <c r="J43" i="136"/>
  <c r="I43" i="136"/>
  <c r="H43" i="136"/>
  <c r="G43" i="136"/>
  <c r="F43" i="136"/>
  <c r="E43" i="136"/>
  <c r="D43" i="136"/>
  <c r="C43" i="136"/>
  <c r="B43" i="136"/>
  <c r="L42" i="136"/>
  <c r="K42" i="136"/>
  <c r="J42" i="136"/>
  <c r="I42" i="136"/>
  <c r="H42" i="136"/>
  <c r="G42" i="136"/>
  <c r="F42" i="136"/>
  <c r="E42" i="136"/>
  <c r="D42" i="136"/>
  <c r="C42" i="136"/>
  <c r="B42" i="136"/>
  <c r="L41" i="136"/>
  <c r="K41" i="136"/>
  <c r="J41" i="136"/>
  <c r="I41" i="136"/>
  <c r="H41" i="136"/>
  <c r="G41" i="136"/>
  <c r="F41" i="136"/>
  <c r="E41" i="136"/>
  <c r="D41" i="136"/>
  <c r="C41" i="136"/>
  <c r="B41" i="136"/>
  <c r="L40" i="136"/>
  <c r="K40" i="136"/>
  <c r="J40" i="136"/>
  <c r="I40" i="136"/>
  <c r="H40" i="136"/>
  <c r="G40" i="136"/>
  <c r="F40" i="136"/>
  <c r="E40" i="136"/>
  <c r="D40" i="136"/>
  <c r="C40" i="136"/>
  <c r="B40" i="136"/>
  <c r="L39" i="136"/>
  <c r="K39" i="136"/>
  <c r="J39" i="136"/>
  <c r="I39" i="136"/>
  <c r="H39" i="136"/>
  <c r="G39" i="136"/>
  <c r="F39" i="136"/>
  <c r="E39" i="136"/>
  <c r="D39" i="136"/>
  <c r="C39" i="136"/>
  <c r="B39" i="136"/>
  <c r="L38" i="136"/>
  <c r="K38" i="136"/>
  <c r="J38" i="136"/>
  <c r="I38" i="136"/>
  <c r="H38" i="136"/>
  <c r="G38" i="136"/>
  <c r="F38" i="136"/>
  <c r="E38" i="136"/>
  <c r="D38" i="136"/>
  <c r="C38" i="136"/>
  <c r="B38" i="136"/>
  <c r="L37" i="136"/>
  <c r="K37" i="136"/>
  <c r="J37" i="136"/>
  <c r="I37" i="136"/>
  <c r="H37" i="136"/>
  <c r="G37" i="136"/>
  <c r="F37" i="136"/>
  <c r="E37" i="136"/>
  <c r="D37" i="136"/>
  <c r="C37" i="136"/>
  <c r="B37" i="136"/>
  <c r="L36" i="136"/>
  <c r="K36" i="136"/>
  <c r="J36" i="136"/>
  <c r="I36" i="136"/>
  <c r="H36" i="136"/>
  <c r="G36" i="136"/>
  <c r="F36" i="136"/>
  <c r="E36" i="136"/>
  <c r="D36" i="136"/>
  <c r="C36" i="136"/>
  <c r="B36" i="136"/>
  <c r="L35" i="136"/>
  <c r="K35" i="136"/>
  <c r="J35" i="136"/>
  <c r="I35" i="136"/>
  <c r="H35" i="136"/>
  <c r="G35" i="136"/>
  <c r="F35" i="136"/>
  <c r="E35" i="136"/>
  <c r="D35" i="136"/>
  <c r="C35" i="136"/>
  <c r="B35" i="136"/>
  <c r="L34" i="136"/>
  <c r="K34" i="136"/>
  <c r="J34" i="136"/>
  <c r="I34" i="136"/>
  <c r="H34" i="136"/>
  <c r="G34" i="136"/>
  <c r="F34" i="136"/>
  <c r="E34" i="136"/>
  <c r="D34" i="136"/>
  <c r="C34" i="136"/>
  <c r="B34" i="136"/>
  <c r="L33" i="136"/>
  <c r="K33" i="136"/>
  <c r="J33" i="136"/>
  <c r="I33" i="136"/>
  <c r="H33" i="136"/>
  <c r="G33" i="136"/>
  <c r="F33" i="136"/>
  <c r="E33" i="136"/>
  <c r="D33" i="136"/>
  <c r="C33" i="136"/>
  <c r="B33" i="136"/>
  <c r="L32" i="136"/>
  <c r="K32" i="136"/>
  <c r="J32" i="136"/>
  <c r="I32" i="136"/>
  <c r="H32" i="136"/>
  <c r="G32" i="136"/>
  <c r="F32" i="136"/>
  <c r="E32" i="136"/>
  <c r="D32" i="136"/>
  <c r="C32" i="136"/>
  <c r="B32" i="136"/>
  <c r="L31" i="136"/>
  <c r="K31" i="136"/>
  <c r="J31" i="136"/>
  <c r="I31" i="136"/>
  <c r="H31" i="136"/>
  <c r="G31" i="136"/>
  <c r="F31" i="136"/>
  <c r="E31" i="136"/>
  <c r="D31" i="136"/>
  <c r="C31" i="136"/>
  <c r="B31" i="136"/>
  <c r="L30" i="136"/>
  <c r="K30" i="136"/>
  <c r="J30" i="136"/>
  <c r="I30" i="136"/>
  <c r="H30" i="136"/>
  <c r="G30" i="136"/>
  <c r="F30" i="136"/>
  <c r="E30" i="136"/>
  <c r="D30" i="136"/>
  <c r="C30" i="136"/>
  <c r="B30" i="136"/>
  <c r="L29" i="136"/>
  <c r="K29" i="136"/>
  <c r="J29" i="136"/>
  <c r="I29" i="136"/>
  <c r="H29" i="136"/>
  <c r="G29" i="136"/>
  <c r="F29" i="136"/>
  <c r="E29" i="136"/>
  <c r="D29" i="136"/>
  <c r="C29" i="136"/>
  <c r="B29" i="136"/>
  <c r="L28" i="136"/>
  <c r="K28" i="136"/>
  <c r="J28" i="136"/>
  <c r="I28" i="136"/>
  <c r="H28" i="136"/>
  <c r="G28" i="136"/>
  <c r="F28" i="136"/>
  <c r="E28" i="136"/>
  <c r="D28" i="136"/>
  <c r="C28" i="136"/>
  <c r="B28" i="136"/>
  <c r="L27" i="136"/>
  <c r="K27" i="136"/>
  <c r="J27" i="136"/>
  <c r="I27" i="136"/>
  <c r="H27" i="136"/>
  <c r="G27" i="136"/>
  <c r="F27" i="136"/>
  <c r="E27" i="136"/>
  <c r="D27" i="136"/>
  <c r="C27" i="136"/>
  <c r="B27" i="136"/>
  <c r="F21" i="136"/>
  <c r="G21" i="136"/>
  <c r="H21" i="136"/>
  <c r="H22" i="136"/>
  <c r="H23" i="136"/>
  <c r="H24" i="136"/>
  <c r="H25" i="136"/>
  <c r="H26" i="136"/>
  <c r="I26" i="136"/>
  <c r="I19" i="136"/>
  <c r="I21" i="136"/>
  <c r="J21" i="136"/>
  <c r="K21" i="136"/>
  <c r="F22" i="136"/>
  <c r="G22" i="136"/>
  <c r="I22" i="136"/>
  <c r="J22" i="136"/>
  <c r="K22" i="136"/>
  <c r="E10" i="136"/>
  <c r="B26" i="136"/>
  <c r="L26" i="136"/>
  <c r="K26" i="136"/>
  <c r="J26" i="136"/>
  <c r="G26" i="136"/>
  <c r="F26" i="136"/>
  <c r="E26" i="136"/>
  <c r="D26" i="136"/>
  <c r="C21" i="136"/>
  <c r="B22" i="136"/>
  <c r="C22" i="136"/>
  <c r="B23" i="136"/>
  <c r="C23" i="136"/>
  <c r="B24" i="136"/>
  <c r="C24" i="136"/>
  <c r="B25" i="136"/>
  <c r="C25" i="136"/>
  <c r="C26" i="136"/>
  <c r="L25" i="136"/>
  <c r="K25" i="136"/>
  <c r="I25" i="136"/>
  <c r="J25" i="136"/>
  <c r="G25" i="136"/>
  <c r="F25" i="136"/>
  <c r="E25" i="136"/>
  <c r="D25" i="136"/>
  <c r="L24" i="136"/>
  <c r="K24" i="136"/>
  <c r="I24" i="136"/>
  <c r="J24" i="136"/>
  <c r="G24" i="136"/>
  <c r="F24" i="136"/>
  <c r="E24" i="136"/>
  <c r="D24" i="136"/>
  <c r="L23" i="136"/>
  <c r="K23" i="136"/>
  <c r="I23" i="136"/>
  <c r="J23" i="136"/>
  <c r="G23" i="136"/>
  <c r="F23" i="136"/>
  <c r="E23" i="136"/>
  <c r="D23" i="136"/>
  <c r="L22" i="136"/>
  <c r="E22" i="136"/>
  <c r="D22" i="136"/>
  <c r="B10" i="136"/>
  <c r="B11" i="136"/>
  <c r="B21" i="136"/>
  <c r="L21" i="136"/>
  <c r="E21" i="136"/>
  <c r="D21" i="136"/>
  <c r="L19" i="136"/>
  <c r="E6" i="136"/>
  <c r="E7" i="136"/>
  <c r="E17" i="136"/>
  <c r="E16" i="136"/>
  <c r="E13" i="136"/>
  <c r="E15" i="136"/>
  <c r="E14" i="136"/>
  <c r="F9" i="136"/>
  <c r="E8" i="136"/>
  <c r="E9" i="136"/>
  <c r="F8" i="136"/>
  <c r="E5" i="136"/>
  <c r="A20" i="133"/>
  <c r="E12" i="133"/>
  <c r="B20" i="133"/>
  <c r="B18" i="133"/>
  <c r="C18" i="133"/>
  <c r="B19" i="133"/>
  <c r="C19" i="133"/>
  <c r="C20" i="133"/>
  <c r="A21" i="133"/>
  <c r="B21" i="133"/>
  <c r="C21" i="133"/>
  <c r="A22" i="133"/>
  <c r="B22" i="133"/>
  <c r="C22" i="133"/>
  <c r="A23" i="133"/>
  <c r="B23" i="133"/>
  <c r="C23" i="133"/>
  <c r="A24" i="133"/>
  <c r="B24" i="133"/>
  <c r="C24" i="133"/>
  <c r="A25" i="133"/>
  <c r="B25" i="133"/>
  <c r="C25" i="133"/>
  <c r="A26" i="133"/>
  <c r="B26" i="133"/>
  <c r="C26" i="133"/>
  <c r="A27" i="133"/>
  <c r="B27" i="133"/>
  <c r="C27" i="133"/>
  <c r="A28" i="133"/>
  <c r="B28" i="133"/>
  <c r="C28" i="133"/>
  <c r="A29" i="133"/>
  <c r="B29" i="133"/>
  <c r="C29" i="133"/>
  <c r="A30" i="133"/>
  <c r="B30" i="133"/>
  <c r="C30" i="133"/>
  <c r="A31" i="133"/>
  <c r="B31" i="133"/>
  <c r="C31" i="133"/>
  <c r="A32" i="133"/>
  <c r="B32" i="133"/>
  <c r="C32" i="133"/>
  <c r="A33" i="133"/>
  <c r="B33" i="133"/>
  <c r="C33" i="133"/>
  <c r="A34" i="133"/>
  <c r="B34" i="133"/>
  <c r="C34" i="133"/>
  <c r="A35" i="133"/>
  <c r="B35" i="133"/>
  <c r="C35" i="133"/>
  <c r="A36" i="133"/>
  <c r="B36" i="133"/>
  <c r="C36" i="133"/>
  <c r="A37" i="133"/>
  <c r="B37" i="133"/>
  <c r="C37" i="133"/>
  <c r="A38" i="133"/>
  <c r="B38" i="133"/>
  <c r="C38" i="133"/>
  <c r="A19" i="133"/>
  <c r="A13" i="133"/>
  <c r="G6" i="133"/>
  <c r="E8" i="133"/>
  <c r="G8" i="133"/>
  <c r="E9" i="133"/>
  <c r="G9" i="133"/>
  <c r="E10" i="133"/>
  <c r="G10" i="133"/>
  <c r="E11" i="133"/>
  <c r="G11" i="133"/>
  <c r="G12" i="133"/>
  <c r="E7" i="133"/>
  <c r="G7" i="133"/>
  <c r="B40" i="133"/>
  <c r="B41" i="133"/>
  <c r="B42" i="133"/>
  <c r="B43" i="133"/>
  <c r="B44" i="133"/>
  <c r="B45" i="133"/>
  <c r="B46" i="133"/>
  <c r="B47" i="133"/>
  <c r="B48" i="133"/>
  <c r="B49" i="133"/>
  <c r="B50" i="133"/>
  <c r="B51" i="133"/>
  <c r="B52" i="133"/>
  <c r="B53" i="133"/>
  <c r="B54" i="133"/>
  <c r="B55" i="133"/>
  <c r="B56" i="133"/>
  <c r="B57" i="133"/>
  <c r="B58" i="133"/>
  <c r="B59" i="133"/>
  <c r="B60" i="133"/>
  <c r="C61" i="133"/>
  <c r="B61" i="133"/>
  <c r="D61" i="133"/>
  <c r="E61" i="133"/>
  <c r="F61" i="133"/>
  <c r="G61" i="133"/>
  <c r="I61" i="133"/>
  <c r="J61" i="133"/>
  <c r="H61" i="133"/>
  <c r="C60" i="133"/>
  <c r="D60" i="133"/>
  <c r="E60" i="133"/>
  <c r="F60" i="133"/>
  <c r="G60" i="133"/>
  <c r="I60" i="133"/>
  <c r="J60" i="133"/>
  <c r="H60" i="133"/>
  <c r="C59" i="133"/>
  <c r="D59" i="133"/>
  <c r="E59" i="133"/>
  <c r="F59" i="133"/>
  <c r="G59" i="133"/>
  <c r="I59" i="133"/>
  <c r="J59" i="133"/>
  <c r="H59" i="133"/>
  <c r="C58" i="133"/>
  <c r="D58" i="133"/>
  <c r="E58" i="133"/>
  <c r="F58" i="133"/>
  <c r="G58" i="133"/>
  <c r="I58" i="133"/>
  <c r="J58" i="133"/>
  <c r="H58" i="133"/>
  <c r="C57" i="133"/>
  <c r="D57" i="133"/>
  <c r="E57" i="133"/>
  <c r="F57" i="133"/>
  <c r="G57" i="133"/>
  <c r="I57" i="133"/>
  <c r="J57" i="133"/>
  <c r="H57" i="133"/>
  <c r="C56" i="133"/>
  <c r="D56" i="133"/>
  <c r="E56" i="133"/>
  <c r="F56" i="133"/>
  <c r="G56" i="133"/>
  <c r="I56" i="133"/>
  <c r="J56" i="133"/>
  <c r="H56" i="133"/>
  <c r="C55" i="133"/>
  <c r="D55" i="133"/>
  <c r="E55" i="133"/>
  <c r="F55" i="133"/>
  <c r="G55" i="133"/>
  <c r="I55" i="133"/>
  <c r="J55" i="133"/>
  <c r="H55" i="133"/>
  <c r="C54" i="133"/>
  <c r="D54" i="133"/>
  <c r="E54" i="133"/>
  <c r="F54" i="133"/>
  <c r="G54" i="133"/>
  <c r="I54" i="133"/>
  <c r="J54" i="133"/>
  <c r="H54" i="133"/>
  <c r="C53" i="133"/>
  <c r="D53" i="133"/>
  <c r="E53" i="133"/>
  <c r="F53" i="133"/>
  <c r="G53" i="133"/>
  <c r="I53" i="133"/>
  <c r="J53" i="133"/>
  <c r="H53" i="133"/>
  <c r="C52" i="133"/>
  <c r="D52" i="133"/>
  <c r="E52" i="133"/>
  <c r="F52" i="133"/>
  <c r="G52" i="133"/>
  <c r="I52" i="133"/>
  <c r="J52" i="133"/>
  <c r="H52" i="133"/>
  <c r="C51" i="133"/>
  <c r="D51" i="133"/>
  <c r="E51" i="133"/>
  <c r="F51" i="133"/>
  <c r="G51" i="133"/>
  <c r="I51" i="133"/>
  <c r="J51" i="133"/>
  <c r="H51" i="133"/>
  <c r="C50" i="133"/>
  <c r="D50" i="133"/>
  <c r="E50" i="133"/>
  <c r="F50" i="133"/>
  <c r="G50" i="133"/>
  <c r="I50" i="133"/>
  <c r="J50" i="133"/>
  <c r="H50" i="133"/>
  <c r="C49" i="133"/>
  <c r="D49" i="133"/>
  <c r="E49" i="133"/>
  <c r="F49" i="133"/>
  <c r="G49" i="133"/>
  <c r="I49" i="133"/>
  <c r="J49" i="133"/>
  <c r="H49" i="133"/>
  <c r="C48" i="133"/>
  <c r="D48" i="133"/>
  <c r="E48" i="133"/>
  <c r="F48" i="133"/>
  <c r="G48" i="133"/>
  <c r="I48" i="133"/>
  <c r="J48" i="133"/>
  <c r="H48" i="133"/>
  <c r="C47" i="133"/>
  <c r="D47" i="133"/>
  <c r="E47" i="133"/>
  <c r="F47" i="133"/>
  <c r="G47" i="133"/>
  <c r="I47" i="133"/>
  <c r="J47" i="133"/>
  <c r="H47" i="133"/>
  <c r="C46" i="133"/>
  <c r="D46" i="133"/>
  <c r="E46" i="133"/>
  <c r="F46" i="133"/>
  <c r="G46" i="133"/>
  <c r="I46" i="133"/>
  <c r="J46" i="133"/>
  <c r="H46" i="133"/>
  <c r="C45" i="133"/>
  <c r="D45" i="133"/>
  <c r="E45" i="133"/>
  <c r="F45" i="133"/>
  <c r="G45" i="133"/>
  <c r="I45" i="133"/>
  <c r="J45" i="133"/>
  <c r="H45" i="133"/>
  <c r="C44" i="133"/>
  <c r="D44" i="133"/>
  <c r="E44" i="133"/>
  <c r="F44" i="133"/>
  <c r="G44" i="133"/>
  <c r="I44" i="133"/>
  <c r="J44" i="133"/>
  <c r="H44" i="133"/>
  <c r="C43" i="133"/>
  <c r="D43" i="133"/>
  <c r="E43" i="133"/>
  <c r="F43" i="133"/>
  <c r="G43" i="133"/>
  <c r="I43" i="133"/>
  <c r="J43" i="133"/>
  <c r="H43" i="133"/>
  <c r="C42" i="133"/>
  <c r="D42" i="133"/>
  <c r="E42" i="133"/>
  <c r="F42" i="133"/>
  <c r="G42" i="133"/>
  <c r="I42" i="133"/>
  <c r="J42" i="133"/>
  <c r="H42" i="133"/>
  <c r="C41" i="133"/>
  <c r="D41" i="133"/>
  <c r="E41" i="133"/>
  <c r="F41" i="133"/>
  <c r="G41" i="133"/>
  <c r="I41" i="133"/>
  <c r="J41" i="133"/>
  <c r="H41" i="133"/>
  <c r="D40" i="133"/>
  <c r="E40" i="133"/>
  <c r="F40" i="133"/>
  <c r="G40" i="133"/>
  <c r="I40" i="133"/>
  <c r="J40" i="133"/>
  <c r="H40" i="133"/>
  <c r="C40" i="133"/>
  <c r="B19" i="132"/>
  <c r="B20" i="132"/>
  <c r="B21" i="132"/>
  <c r="C19" i="132"/>
  <c r="C20" i="132"/>
  <c r="C21" i="132"/>
  <c r="B22" i="132"/>
  <c r="C22" i="132"/>
  <c r="B23" i="132"/>
  <c r="C23" i="132"/>
  <c r="B24" i="132"/>
  <c r="C24" i="132"/>
  <c r="B25" i="132"/>
  <c r="C25" i="132"/>
  <c r="B26" i="132"/>
  <c r="C26" i="132"/>
  <c r="B27" i="132"/>
  <c r="C27" i="132"/>
  <c r="B28" i="132"/>
  <c r="C28" i="132"/>
  <c r="B29" i="132"/>
  <c r="C29" i="132"/>
  <c r="B30" i="132"/>
  <c r="C30" i="132"/>
  <c r="B31" i="132"/>
  <c r="C31" i="132"/>
  <c r="B32" i="132"/>
  <c r="C32" i="132"/>
  <c r="B33" i="132"/>
  <c r="C33" i="132"/>
  <c r="B34" i="132"/>
  <c r="C34" i="132"/>
  <c r="B35" i="132"/>
  <c r="C35" i="132"/>
  <c r="B36" i="132"/>
  <c r="C36" i="132"/>
  <c r="B37" i="132"/>
  <c r="C37" i="132"/>
  <c r="B38" i="132"/>
  <c r="C38" i="132"/>
  <c r="B39" i="132"/>
  <c r="C39" i="132"/>
  <c r="A21" i="132"/>
  <c r="A22" i="132"/>
  <c r="A23" i="132"/>
  <c r="A24" i="132"/>
  <c r="A25" i="132"/>
  <c r="A26" i="132"/>
  <c r="A27" i="132"/>
  <c r="A28" i="132"/>
  <c r="A29" i="132"/>
  <c r="A30" i="132"/>
  <c r="A31" i="132"/>
  <c r="A32" i="132"/>
  <c r="A33" i="132"/>
  <c r="A34" i="132"/>
  <c r="A35" i="132"/>
  <c r="A36" i="132"/>
  <c r="A37" i="132"/>
  <c r="A38" i="132"/>
  <c r="A39" i="132"/>
  <c r="A20" i="132"/>
  <c r="A13" i="132"/>
  <c r="E7" i="132"/>
  <c r="E12" i="132"/>
  <c r="E11" i="132"/>
  <c r="E10" i="132"/>
  <c r="E9" i="132"/>
  <c r="E8" i="132"/>
  <c r="B20" i="129"/>
  <c r="E17" i="129"/>
  <c r="E18" i="129"/>
  <c r="C20" i="129"/>
  <c r="E19" i="129"/>
  <c r="D20" i="129"/>
  <c r="E20" i="129"/>
  <c r="D16" i="129"/>
  <c r="C16" i="129"/>
  <c r="B16" i="129"/>
  <c r="A19" i="129"/>
  <c r="A18" i="129"/>
  <c r="A17" i="129"/>
  <c r="E13" i="129"/>
  <c r="B22" i="129"/>
  <c r="B8" i="129"/>
  <c r="B29" i="128"/>
  <c r="B28" i="128"/>
  <c r="B27" i="128"/>
  <c r="B26" i="128"/>
  <c r="M15" i="128"/>
  <c r="G15" i="128"/>
  <c r="L15" i="128"/>
  <c r="K15" i="128"/>
  <c r="J15" i="128"/>
  <c r="I15" i="128"/>
  <c r="H15" i="128"/>
  <c r="M14" i="128"/>
  <c r="G14" i="128"/>
  <c r="L14" i="128"/>
  <c r="K14" i="128"/>
  <c r="J14" i="128"/>
  <c r="I14" i="128"/>
  <c r="H14" i="128"/>
  <c r="G12" i="128"/>
  <c r="E19" i="128"/>
  <c r="M13" i="128"/>
  <c r="G13" i="128"/>
  <c r="L13" i="128"/>
  <c r="K13" i="128"/>
  <c r="J13" i="128"/>
  <c r="I13" i="128"/>
  <c r="H13" i="128"/>
  <c r="B15" i="119"/>
  <c r="C15" i="119"/>
  <c r="E15" i="119"/>
  <c r="E9" i="119"/>
  <c r="E10" i="119"/>
  <c r="E11" i="119"/>
  <c r="E12" i="119"/>
  <c r="E17" i="119"/>
  <c r="E16" i="119"/>
  <c r="G9" i="119"/>
  <c r="G10" i="119"/>
  <c r="G11" i="119"/>
  <c r="G12" i="119"/>
  <c r="F9" i="119"/>
  <c r="F10" i="119"/>
  <c r="F11" i="119"/>
  <c r="F12" i="119"/>
  <c r="E8" i="119"/>
  <c r="B24" i="116"/>
  <c r="B23" i="116"/>
  <c r="F8" i="116"/>
  <c r="F9" i="116"/>
  <c r="F10" i="116"/>
  <c r="F11" i="116"/>
  <c r="F12" i="116"/>
  <c r="C12" i="116"/>
  <c r="B15" i="116"/>
  <c r="G8" i="116"/>
  <c r="H8" i="116"/>
  <c r="I8" i="116"/>
  <c r="G11" i="116"/>
  <c r="H11" i="116"/>
  <c r="I11" i="116"/>
  <c r="E11" i="116"/>
  <c r="G10" i="116"/>
  <c r="H10" i="116"/>
  <c r="I10" i="116"/>
  <c r="E10" i="116"/>
  <c r="G9" i="116"/>
  <c r="H9" i="116"/>
  <c r="I9" i="116"/>
  <c r="E9" i="116"/>
  <c r="I12" i="116"/>
  <c r="B20" i="116"/>
  <c r="B21" i="116"/>
  <c r="B18" i="116"/>
  <c r="B19" i="116"/>
  <c r="E8" i="116"/>
  <c r="E12" i="116"/>
  <c r="B12" i="116"/>
  <c r="B12" i="112"/>
  <c r="B14" i="112"/>
  <c r="C12" i="112"/>
  <c r="C14" i="112"/>
  <c r="D12" i="112"/>
  <c r="D14" i="112"/>
  <c r="B16" i="112"/>
  <c r="A12" i="112"/>
  <c r="D11" i="112"/>
  <c r="C11" i="112"/>
  <c r="B11" i="112"/>
  <c r="I24" i="111"/>
  <c r="C24" i="111"/>
  <c r="J22" i="111"/>
  <c r="D22" i="111"/>
  <c r="I18" i="111"/>
  <c r="C18" i="111"/>
  <c r="I12" i="111"/>
  <c r="C12" i="111"/>
  <c r="B14" i="110"/>
  <c r="H30" i="107"/>
  <c r="I30" i="107"/>
  <c r="A18" i="107"/>
  <c r="C30" i="107"/>
  <c r="C31" i="107"/>
  <c r="C32" i="107"/>
  <c r="C33" i="107"/>
  <c r="C34" i="107"/>
  <c r="D30" i="107"/>
  <c r="D31" i="107"/>
  <c r="D32" i="107"/>
  <c r="D33" i="107"/>
  <c r="D34" i="107"/>
  <c r="C35" i="107"/>
  <c r="C36" i="107"/>
  <c r="D36" i="107"/>
  <c r="E36" i="107"/>
  <c r="F36" i="107"/>
  <c r="G36" i="107"/>
  <c r="C38" i="107"/>
  <c r="D38" i="107"/>
  <c r="C39" i="107"/>
  <c r="D39" i="107"/>
  <c r="C40" i="107"/>
  <c r="D40" i="107"/>
  <c r="C41" i="107"/>
  <c r="D41" i="107"/>
  <c r="C42" i="107"/>
  <c r="D42" i="107"/>
  <c r="C43" i="107"/>
  <c r="C44" i="107"/>
  <c r="G44" i="107"/>
  <c r="D44" i="107"/>
  <c r="E44" i="107"/>
  <c r="C46" i="107"/>
  <c r="D46" i="107"/>
  <c r="C47" i="107"/>
  <c r="D47" i="107"/>
  <c r="C48" i="107"/>
  <c r="D48" i="107"/>
  <c r="C49" i="107"/>
  <c r="D49" i="107"/>
  <c r="C50" i="107"/>
  <c r="D50" i="107"/>
  <c r="C51" i="107"/>
  <c r="C52" i="107"/>
  <c r="G52" i="107"/>
  <c r="D52" i="107"/>
  <c r="E52" i="107"/>
  <c r="C54" i="107"/>
  <c r="D54" i="107"/>
  <c r="C55" i="107"/>
  <c r="D55" i="107"/>
  <c r="C56" i="107"/>
  <c r="D56" i="107"/>
  <c r="C57" i="107"/>
  <c r="D57" i="107"/>
  <c r="C58" i="107"/>
  <c r="D58" i="107"/>
  <c r="C59" i="107"/>
  <c r="C60" i="107"/>
  <c r="G60" i="107"/>
  <c r="D60" i="107"/>
  <c r="E60" i="107"/>
  <c r="C62" i="107"/>
  <c r="D62" i="107"/>
  <c r="C63" i="107"/>
  <c r="D63" i="107"/>
  <c r="C64" i="107"/>
  <c r="D64" i="107"/>
  <c r="C65" i="107"/>
  <c r="D65" i="107"/>
  <c r="C66" i="107"/>
  <c r="D66" i="107"/>
  <c r="C67" i="107"/>
  <c r="C68" i="107"/>
  <c r="G68" i="107"/>
  <c r="G30" i="107"/>
  <c r="D68" i="107"/>
  <c r="E68" i="107"/>
  <c r="F68" i="107"/>
  <c r="F60" i="107"/>
  <c r="F52" i="107"/>
  <c r="F44" i="107"/>
  <c r="B18" i="107"/>
  <c r="F18" i="107"/>
  <c r="C18" i="107"/>
  <c r="G31" i="107"/>
  <c r="H31" i="107"/>
  <c r="I31" i="107"/>
  <c r="A19" i="107"/>
  <c r="B19" i="107"/>
  <c r="C19" i="107"/>
  <c r="D18" i="107"/>
  <c r="E18" i="107"/>
  <c r="F19" i="107"/>
  <c r="G32" i="107"/>
  <c r="H32" i="107"/>
  <c r="I32" i="107"/>
  <c r="A20" i="107"/>
  <c r="B20" i="107"/>
  <c r="C20" i="107"/>
  <c r="D19" i="107"/>
  <c r="E19" i="107"/>
  <c r="F20" i="107"/>
  <c r="G33" i="107"/>
  <c r="H33" i="107"/>
  <c r="I33" i="107"/>
  <c r="A21" i="107"/>
  <c r="B21" i="107"/>
  <c r="C21" i="107"/>
  <c r="D20" i="107"/>
  <c r="E20" i="107"/>
  <c r="F21" i="107"/>
  <c r="G34" i="107"/>
  <c r="H34" i="107"/>
  <c r="I34" i="107"/>
  <c r="A22" i="107"/>
  <c r="B22" i="107"/>
  <c r="C22" i="107"/>
  <c r="D21" i="107"/>
  <c r="E21" i="107"/>
  <c r="F22" i="107"/>
  <c r="F24" i="107"/>
  <c r="D22" i="107"/>
  <c r="E22" i="107"/>
  <c r="B24" i="107"/>
  <c r="B66" i="107"/>
  <c r="B65" i="107"/>
  <c r="B64" i="107"/>
  <c r="B63" i="107"/>
  <c r="B62" i="107"/>
  <c r="B58" i="107"/>
  <c r="B57" i="107"/>
  <c r="B56" i="107"/>
  <c r="B55" i="107"/>
  <c r="B54" i="107"/>
  <c r="B50" i="107"/>
  <c r="B49" i="107"/>
  <c r="B48" i="107"/>
  <c r="B47" i="107"/>
  <c r="B46" i="107"/>
  <c r="B42" i="107"/>
  <c r="B41" i="107"/>
  <c r="B40" i="107"/>
  <c r="B39" i="107"/>
  <c r="B38" i="107"/>
  <c r="B34" i="107"/>
  <c r="B33" i="107"/>
  <c r="B32" i="107"/>
  <c r="B31" i="107"/>
  <c r="B30" i="107"/>
  <c r="F17" i="107"/>
  <c r="E17" i="107"/>
  <c r="D17" i="107"/>
  <c r="C17" i="107"/>
  <c r="B17" i="107"/>
  <c r="C14" i="107"/>
  <c r="B14" i="107"/>
  <c r="C15" i="105"/>
  <c r="I9" i="105"/>
  <c r="I10" i="105"/>
  <c r="I11" i="105"/>
  <c r="I12" i="105"/>
  <c r="I13" i="105"/>
  <c r="I14" i="105"/>
  <c r="H9" i="105"/>
  <c r="H10" i="105"/>
  <c r="H11" i="105"/>
  <c r="H12" i="105"/>
  <c r="H13" i="105"/>
  <c r="H16" i="105"/>
  <c r="F19" i="105"/>
  <c r="F18" i="105"/>
  <c r="J9" i="105"/>
  <c r="J10" i="105"/>
  <c r="J11" i="105"/>
  <c r="J12" i="105"/>
  <c r="J13" i="105"/>
  <c r="J15" i="105"/>
  <c r="J14" i="105"/>
  <c r="I15" i="105"/>
  <c r="H15" i="105"/>
  <c r="H14" i="105"/>
  <c r="J16" i="105"/>
  <c r="G13" i="105"/>
  <c r="F13" i="105"/>
  <c r="B11" i="105"/>
  <c r="G10" i="105"/>
  <c r="F10" i="105"/>
  <c r="B13" i="105"/>
  <c r="G9" i="105"/>
  <c r="F9" i="105"/>
  <c r="B10" i="105"/>
  <c r="G11" i="105"/>
  <c r="F11" i="105"/>
  <c r="B12" i="105"/>
  <c r="G12" i="105"/>
  <c r="F12" i="105"/>
  <c r="B9" i="105"/>
  <c r="C6" i="105"/>
  <c r="D24" i="102"/>
  <c r="D26" i="102"/>
  <c r="C26" i="102"/>
  <c r="B26" i="102"/>
  <c r="D25" i="102"/>
  <c r="C25" i="102"/>
  <c r="B25" i="102"/>
  <c r="C24" i="102"/>
  <c r="D23" i="102"/>
  <c r="D15" i="102"/>
  <c r="C23" i="102"/>
  <c r="C15" i="102"/>
  <c r="B23" i="102"/>
  <c r="B15" i="102"/>
  <c r="A26" i="102"/>
  <c r="A18" i="102"/>
  <c r="A25" i="102"/>
  <c r="A17" i="102"/>
  <c r="A24" i="102"/>
  <c r="A16" i="102"/>
  <c r="B19" i="102"/>
  <c r="C19" i="102"/>
  <c r="D19" i="102"/>
  <c r="E19" i="102"/>
  <c r="E18" i="102"/>
  <c r="E17" i="102"/>
  <c r="B24" i="102"/>
  <c r="E16" i="102"/>
  <c r="F23" i="98"/>
  <c r="F15" i="98"/>
  <c r="F16" i="98"/>
  <c r="F17" i="98"/>
  <c r="F18" i="98"/>
  <c r="F19" i="98"/>
  <c r="F20" i="98"/>
  <c r="F21" i="98"/>
  <c r="F22" i="98"/>
  <c r="F14" i="98"/>
  <c r="L35" i="98"/>
  <c r="L34" i="98"/>
  <c r="G14" i="98"/>
  <c r="G15" i="98"/>
  <c r="G16" i="98"/>
  <c r="G17" i="98"/>
  <c r="G18" i="98"/>
  <c r="G19" i="98"/>
  <c r="G20" i="98"/>
  <c r="G21" i="98"/>
  <c r="G22" i="98"/>
  <c r="K32" i="98"/>
  <c r="L31" i="98"/>
  <c r="L30" i="98"/>
  <c r="L33" i="98"/>
  <c r="G23" i="98"/>
  <c r="L32" i="98"/>
  <c r="K35" i="98"/>
  <c r="K34" i="98"/>
  <c r="J32" i="98"/>
  <c r="K31" i="98"/>
  <c r="K30" i="98"/>
  <c r="K33" i="98"/>
  <c r="J35" i="98"/>
  <c r="J34" i="98"/>
  <c r="I32" i="98"/>
  <c r="J31" i="98"/>
  <c r="J30" i="98"/>
  <c r="J33" i="98"/>
  <c r="I35" i="98"/>
  <c r="I34" i="98"/>
  <c r="H32" i="98"/>
  <c r="I31" i="98"/>
  <c r="I30" i="98"/>
  <c r="I33" i="98"/>
  <c r="H35" i="98"/>
  <c r="H34" i="98"/>
  <c r="G32" i="98"/>
  <c r="H31" i="98"/>
  <c r="H30" i="98"/>
  <c r="H33" i="98"/>
  <c r="G35" i="98"/>
  <c r="G34" i="98"/>
  <c r="F32" i="98"/>
  <c r="G31" i="98"/>
  <c r="G30" i="98"/>
  <c r="G33" i="98"/>
  <c r="F35" i="98"/>
  <c r="F34" i="98"/>
  <c r="E32" i="98"/>
  <c r="F31" i="98"/>
  <c r="F30" i="98"/>
  <c r="F33" i="98"/>
  <c r="E35" i="98"/>
  <c r="E34" i="98"/>
  <c r="D32" i="98"/>
  <c r="E31" i="98"/>
  <c r="E30" i="98"/>
  <c r="E33" i="98"/>
  <c r="D35" i="98"/>
  <c r="D34" i="98"/>
  <c r="C32" i="98"/>
  <c r="D31" i="98"/>
  <c r="D30" i="98"/>
  <c r="D33" i="98"/>
  <c r="C35" i="98"/>
  <c r="C34" i="98"/>
  <c r="C30" i="98"/>
  <c r="C31" i="98"/>
  <c r="C33" i="98"/>
  <c r="H14" i="98"/>
  <c r="H15" i="98"/>
  <c r="H16" i="98"/>
  <c r="H17" i="98"/>
  <c r="H18" i="98"/>
  <c r="H19" i="98"/>
  <c r="H20" i="98"/>
  <c r="H21" i="98"/>
  <c r="H22" i="98"/>
  <c r="H23" i="98"/>
  <c r="H24" i="98"/>
  <c r="I14" i="98"/>
  <c r="I15" i="98"/>
  <c r="I16" i="98"/>
  <c r="I17" i="98"/>
  <c r="I18" i="98"/>
  <c r="I19" i="98"/>
  <c r="I20" i="98"/>
  <c r="I21" i="98"/>
  <c r="I22" i="98"/>
  <c r="I23" i="98"/>
  <c r="I24" i="98"/>
  <c r="G26" i="98"/>
  <c r="G24" i="98"/>
  <c r="F24" i="98"/>
  <c r="D24" i="98"/>
  <c r="C24" i="98"/>
  <c r="J26" i="90"/>
  <c r="J75" i="90"/>
  <c r="C25" i="90"/>
  <c r="D23" i="90"/>
  <c r="D24" i="90"/>
  <c r="D25" i="90"/>
  <c r="E23" i="90"/>
  <c r="E24" i="90"/>
  <c r="E25" i="90"/>
  <c r="F23" i="90"/>
  <c r="F24" i="90"/>
  <c r="F25" i="90"/>
  <c r="G23" i="90"/>
  <c r="G24" i="90"/>
  <c r="G25" i="90"/>
  <c r="H23" i="90"/>
  <c r="H24" i="90"/>
  <c r="H25" i="90"/>
  <c r="I23" i="90"/>
  <c r="I24" i="90"/>
  <c r="I25" i="90"/>
  <c r="J23" i="90"/>
  <c r="J24" i="90"/>
  <c r="J25" i="90"/>
  <c r="I26" i="90"/>
  <c r="I75" i="90"/>
  <c r="H26" i="90"/>
  <c r="H75" i="90"/>
  <c r="G26" i="90"/>
  <c r="G75" i="90"/>
  <c r="F26" i="90"/>
  <c r="F75" i="90"/>
  <c r="E26" i="90"/>
  <c r="E75" i="90"/>
  <c r="D26" i="90"/>
  <c r="D75" i="90"/>
  <c r="C26" i="90"/>
  <c r="C75" i="90"/>
  <c r="J80" i="90"/>
  <c r="C77" i="90"/>
  <c r="C78" i="90"/>
  <c r="C79" i="90"/>
  <c r="D77" i="90"/>
  <c r="D78" i="90"/>
  <c r="D79" i="90"/>
  <c r="E77" i="90"/>
  <c r="E78" i="90"/>
  <c r="E79" i="90"/>
  <c r="F77" i="90"/>
  <c r="F78" i="90"/>
  <c r="F79" i="90"/>
  <c r="G77" i="90"/>
  <c r="G78" i="90"/>
  <c r="G79" i="90"/>
  <c r="H77" i="90"/>
  <c r="H78" i="90"/>
  <c r="H79" i="90"/>
  <c r="I77" i="90"/>
  <c r="I78" i="90"/>
  <c r="I79" i="90"/>
  <c r="J77" i="90"/>
  <c r="J78" i="90"/>
  <c r="J79" i="90"/>
  <c r="I80" i="90"/>
  <c r="H80" i="90"/>
  <c r="G80" i="90"/>
  <c r="F80" i="90"/>
  <c r="E80" i="90"/>
  <c r="D80" i="90"/>
  <c r="C80" i="90"/>
  <c r="A78" i="90"/>
  <c r="J66" i="90"/>
  <c r="I66" i="90"/>
  <c r="H66" i="90"/>
  <c r="G66" i="90"/>
  <c r="F66" i="90"/>
  <c r="E66" i="90"/>
  <c r="D66" i="90"/>
  <c r="C66" i="90"/>
  <c r="J71" i="90"/>
  <c r="C68" i="90"/>
  <c r="C69" i="90"/>
  <c r="C70" i="90"/>
  <c r="D68" i="90"/>
  <c r="D69" i="90"/>
  <c r="D70" i="90"/>
  <c r="E68" i="90"/>
  <c r="E69" i="90"/>
  <c r="E70" i="90"/>
  <c r="F68" i="90"/>
  <c r="F69" i="90"/>
  <c r="F70" i="90"/>
  <c r="G68" i="90"/>
  <c r="G69" i="90"/>
  <c r="G70" i="90"/>
  <c r="H68" i="90"/>
  <c r="H69" i="90"/>
  <c r="H70" i="90"/>
  <c r="I68" i="90"/>
  <c r="I69" i="90"/>
  <c r="I70" i="90"/>
  <c r="J68" i="90"/>
  <c r="J69" i="90"/>
  <c r="J70" i="90"/>
  <c r="I71" i="90"/>
  <c r="H71" i="90"/>
  <c r="G71" i="90"/>
  <c r="F71" i="90"/>
  <c r="E71" i="90"/>
  <c r="D71" i="90"/>
  <c r="C71" i="90"/>
  <c r="A69" i="90"/>
  <c r="J57" i="90"/>
  <c r="I57" i="90"/>
  <c r="H57" i="90"/>
  <c r="G57" i="90"/>
  <c r="F57" i="90"/>
  <c r="E57" i="90"/>
  <c r="D57" i="90"/>
  <c r="C57" i="90"/>
  <c r="J62" i="90"/>
  <c r="C59" i="90"/>
  <c r="C60" i="90"/>
  <c r="C61" i="90"/>
  <c r="D59" i="90"/>
  <c r="D60" i="90"/>
  <c r="D61" i="90"/>
  <c r="E59" i="90"/>
  <c r="E60" i="90"/>
  <c r="E61" i="90"/>
  <c r="F59" i="90"/>
  <c r="F60" i="90"/>
  <c r="F61" i="90"/>
  <c r="G59" i="90"/>
  <c r="G60" i="90"/>
  <c r="G61" i="90"/>
  <c r="H59" i="90"/>
  <c r="H60" i="90"/>
  <c r="H61" i="90"/>
  <c r="I59" i="90"/>
  <c r="I60" i="90"/>
  <c r="I61" i="90"/>
  <c r="J59" i="90"/>
  <c r="J60" i="90"/>
  <c r="J61" i="90"/>
  <c r="I62" i="90"/>
  <c r="H62" i="90"/>
  <c r="G62" i="90"/>
  <c r="F62" i="90"/>
  <c r="E62" i="90"/>
  <c r="D62" i="90"/>
  <c r="C62" i="90"/>
  <c r="A60" i="90"/>
  <c r="J48" i="90"/>
  <c r="I48" i="90"/>
  <c r="H48" i="90"/>
  <c r="G48" i="90"/>
  <c r="F48" i="90"/>
  <c r="E48" i="90"/>
  <c r="D48" i="90"/>
  <c r="C48" i="90"/>
  <c r="J53" i="90"/>
  <c r="C50" i="90"/>
  <c r="C51" i="90"/>
  <c r="C52" i="90"/>
  <c r="D50" i="90"/>
  <c r="D51" i="90"/>
  <c r="D52" i="90"/>
  <c r="E50" i="90"/>
  <c r="E51" i="90"/>
  <c r="E52" i="90"/>
  <c r="F50" i="90"/>
  <c r="F51" i="90"/>
  <c r="F52" i="90"/>
  <c r="G50" i="90"/>
  <c r="G51" i="90"/>
  <c r="G52" i="90"/>
  <c r="H50" i="90"/>
  <c r="H51" i="90"/>
  <c r="H52" i="90"/>
  <c r="I50" i="90"/>
  <c r="I51" i="90"/>
  <c r="I52" i="90"/>
  <c r="J50" i="90"/>
  <c r="J51" i="90"/>
  <c r="J52" i="90"/>
  <c r="I53" i="90"/>
  <c r="H53" i="90"/>
  <c r="G53" i="90"/>
  <c r="F53" i="90"/>
  <c r="E53" i="90"/>
  <c r="D53" i="90"/>
  <c r="C53" i="90"/>
  <c r="A51" i="90"/>
  <c r="J39" i="90"/>
  <c r="I39" i="90"/>
  <c r="H39" i="90"/>
  <c r="G39" i="90"/>
  <c r="F39" i="90"/>
  <c r="E39" i="90"/>
  <c r="D39" i="90"/>
  <c r="C39" i="90"/>
  <c r="J44" i="90"/>
  <c r="C41" i="90"/>
  <c r="C42" i="90"/>
  <c r="C43" i="90"/>
  <c r="D41" i="90"/>
  <c r="D42" i="90"/>
  <c r="D43" i="90"/>
  <c r="E41" i="90"/>
  <c r="E42" i="90"/>
  <c r="E43" i="90"/>
  <c r="F41" i="90"/>
  <c r="F42" i="90"/>
  <c r="F43" i="90"/>
  <c r="G41" i="90"/>
  <c r="G42" i="90"/>
  <c r="G43" i="90"/>
  <c r="H41" i="90"/>
  <c r="H42" i="90"/>
  <c r="H43" i="90"/>
  <c r="I41" i="90"/>
  <c r="I42" i="90"/>
  <c r="I43" i="90"/>
  <c r="J41" i="90"/>
  <c r="J42" i="90"/>
  <c r="J43" i="90"/>
  <c r="I44" i="90"/>
  <c r="H44" i="90"/>
  <c r="G44" i="90"/>
  <c r="F44" i="90"/>
  <c r="E44" i="90"/>
  <c r="D44" i="90"/>
  <c r="C44" i="90"/>
  <c r="A42" i="90"/>
  <c r="J30" i="90"/>
  <c r="I30" i="90"/>
  <c r="H30" i="90"/>
  <c r="G30" i="90"/>
  <c r="F30" i="90"/>
  <c r="E30" i="90"/>
  <c r="D30" i="90"/>
  <c r="C30" i="90"/>
  <c r="J35" i="90"/>
  <c r="C32" i="90"/>
  <c r="C33" i="90"/>
  <c r="C34" i="90"/>
  <c r="D32" i="90"/>
  <c r="D33" i="90"/>
  <c r="D34" i="90"/>
  <c r="E32" i="90"/>
  <c r="E33" i="90"/>
  <c r="E34" i="90"/>
  <c r="F32" i="90"/>
  <c r="F33" i="90"/>
  <c r="F34" i="90"/>
  <c r="G32" i="90"/>
  <c r="G33" i="90"/>
  <c r="G34" i="90"/>
  <c r="H32" i="90"/>
  <c r="H33" i="90"/>
  <c r="H34" i="90"/>
  <c r="I32" i="90"/>
  <c r="I33" i="90"/>
  <c r="I34" i="90"/>
  <c r="J32" i="90"/>
  <c r="J33" i="90"/>
  <c r="J34" i="90"/>
  <c r="I35" i="90"/>
  <c r="H35" i="90"/>
  <c r="G35" i="90"/>
  <c r="F35" i="90"/>
  <c r="E35" i="90"/>
  <c r="D35" i="90"/>
  <c r="C35" i="90"/>
  <c r="A33" i="90"/>
  <c r="C24" i="90"/>
  <c r="C23" i="90"/>
  <c r="A24" i="90"/>
  <c r="G18" i="90"/>
  <c r="D16" i="90"/>
  <c r="D15" i="90"/>
  <c r="D14" i="90"/>
  <c r="D13" i="90"/>
  <c r="D12" i="90"/>
  <c r="D11" i="90"/>
  <c r="D10" i="90"/>
  <c r="D9" i="90"/>
  <c r="E38" i="80"/>
  <c r="E35" i="80"/>
  <c r="E34" i="80"/>
  <c r="D39" i="80"/>
  <c r="D38" i="80"/>
  <c r="C35" i="80"/>
  <c r="C34" i="80"/>
  <c r="B40" i="80"/>
  <c r="C40" i="80"/>
  <c r="D40" i="80"/>
  <c r="B17" i="80"/>
  <c r="B18" i="80"/>
  <c r="D25" i="80"/>
  <c r="D24" i="80"/>
  <c r="D23" i="80"/>
  <c r="C22" i="80"/>
  <c r="C21" i="80"/>
  <c r="C20" i="80"/>
  <c r="B19" i="80"/>
  <c r="E29" i="80"/>
  <c r="D29" i="80"/>
  <c r="C29" i="80"/>
  <c r="B29" i="80"/>
  <c r="E40" i="80"/>
  <c r="F39" i="80"/>
  <c r="F38" i="80"/>
  <c r="F36" i="80"/>
  <c r="F35" i="80"/>
  <c r="F34" i="80"/>
  <c r="F33" i="80"/>
  <c r="F32" i="80"/>
  <c r="A39" i="80"/>
  <c r="A38" i="80"/>
  <c r="A37" i="80"/>
  <c r="A36" i="80"/>
  <c r="A35" i="80"/>
  <c r="A34" i="80"/>
  <c r="A33" i="80"/>
  <c r="A32" i="80"/>
  <c r="A31" i="80"/>
  <c r="A30" i="80"/>
  <c r="E26" i="80"/>
  <c r="F26" i="80"/>
  <c r="B14" i="80"/>
  <c r="E17" i="69"/>
  <c r="E15" i="69"/>
  <c r="E16" i="69"/>
  <c r="A16" i="69"/>
  <c r="B16" i="69"/>
  <c r="A17" i="69"/>
  <c r="B17" i="69"/>
  <c r="A18" i="69"/>
  <c r="B18" i="69"/>
  <c r="B19" i="69"/>
  <c r="B23" i="69"/>
  <c r="B30" i="69"/>
  <c r="C15" i="69"/>
  <c r="C16" i="69"/>
  <c r="C17" i="69"/>
  <c r="C18" i="69"/>
  <c r="C19" i="69"/>
  <c r="C23" i="69"/>
  <c r="C30" i="69"/>
  <c r="D16" i="69"/>
  <c r="D17" i="69"/>
  <c r="D18" i="69"/>
  <c r="D19" i="69"/>
  <c r="D23" i="69"/>
  <c r="D30" i="69"/>
  <c r="E18" i="69"/>
  <c r="E19" i="69"/>
  <c r="E23" i="69"/>
  <c r="E30" i="69"/>
  <c r="F15" i="69"/>
  <c r="F16" i="69"/>
  <c r="F17" i="69"/>
  <c r="F18" i="69"/>
  <c r="F19" i="69"/>
  <c r="F23" i="69"/>
  <c r="F30" i="69"/>
  <c r="I30" i="69"/>
  <c r="B31" i="69"/>
  <c r="C31" i="69"/>
  <c r="D31" i="69"/>
  <c r="E31" i="69"/>
  <c r="F31" i="69"/>
  <c r="I31" i="69"/>
  <c r="B32" i="69"/>
  <c r="C32" i="69"/>
  <c r="D32" i="69"/>
  <c r="E32" i="69"/>
  <c r="F32" i="69"/>
  <c r="I32" i="69"/>
  <c r="B33" i="69"/>
  <c r="C33" i="69"/>
  <c r="D33" i="69"/>
  <c r="E33" i="69"/>
  <c r="F33" i="69"/>
  <c r="I33" i="69"/>
  <c r="B34" i="69"/>
  <c r="C34" i="69"/>
  <c r="D34" i="69"/>
  <c r="E34" i="69"/>
  <c r="F34" i="69"/>
  <c r="I34" i="69"/>
  <c r="I35" i="69"/>
  <c r="H30" i="69"/>
  <c r="H31" i="69"/>
  <c r="H32" i="69"/>
  <c r="H33" i="69"/>
  <c r="H34" i="69"/>
  <c r="H35" i="69"/>
  <c r="F29" i="69"/>
  <c r="F28" i="69"/>
  <c r="E29" i="69"/>
  <c r="E28" i="69"/>
  <c r="D29" i="69"/>
  <c r="D28" i="69"/>
  <c r="C29" i="69"/>
  <c r="C28" i="69"/>
  <c r="B29" i="69"/>
  <c r="B28" i="69"/>
  <c r="A34" i="69"/>
  <c r="A33" i="69"/>
  <c r="A32" i="69"/>
  <c r="A31" i="69"/>
  <c r="A30" i="69"/>
  <c r="A29" i="69"/>
  <c r="H15" i="69"/>
  <c r="H16" i="69"/>
  <c r="H17" i="69"/>
  <c r="H18" i="69"/>
  <c r="H19" i="69"/>
  <c r="H20" i="69"/>
  <c r="H23" i="69"/>
  <c r="H25" i="69"/>
  <c r="H24" i="69"/>
  <c r="J15" i="69"/>
  <c r="J16" i="69"/>
  <c r="J17" i="69"/>
  <c r="J18" i="69"/>
  <c r="J19" i="69"/>
  <c r="J20" i="69"/>
  <c r="I15" i="69"/>
  <c r="I16" i="69"/>
  <c r="I17" i="69"/>
  <c r="I18" i="69"/>
  <c r="I19" i="69"/>
  <c r="I20" i="69"/>
  <c r="H14" i="69"/>
  <c r="B33" i="64"/>
  <c r="B34" i="64"/>
  <c r="B32" i="64"/>
  <c r="B35" i="64"/>
  <c r="B36" i="64"/>
  <c r="H15" i="64"/>
  <c r="H17" i="64"/>
  <c r="H18" i="64"/>
  <c r="H16" i="64"/>
  <c r="H19" i="64"/>
  <c r="B15" i="64"/>
  <c r="B16" i="64"/>
  <c r="D18" i="59"/>
  <c r="D19" i="59"/>
  <c r="B28" i="59"/>
  <c r="B31" i="59"/>
  <c r="C31" i="59"/>
  <c r="D31" i="59"/>
  <c r="E31" i="59"/>
  <c r="F31" i="59"/>
  <c r="G31" i="59"/>
  <c r="B32" i="59"/>
  <c r="C32" i="59"/>
  <c r="D32" i="59"/>
  <c r="E32" i="59"/>
  <c r="F32" i="59"/>
  <c r="G32" i="59"/>
  <c r="B33" i="59"/>
  <c r="C33" i="59"/>
  <c r="D33" i="59"/>
  <c r="E33" i="59"/>
  <c r="F33" i="59"/>
  <c r="G33" i="59"/>
  <c r="B34" i="59"/>
  <c r="C34" i="59"/>
  <c r="D34" i="59"/>
  <c r="E34" i="59"/>
  <c r="F34" i="59"/>
  <c r="G34" i="59"/>
  <c r="B35" i="59"/>
  <c r="C35" i="59"/>
  <c r="D35" i="59"/>
  <c r="E35" i="59"/>
  <c r="F35" i="59"/>
  <c r="G35" i="59"/>
  <c r="B36" i="59"/>
  <c r="C36" i="59"/>
  <c r="D36" i="59"/>
  <c r="E36" i="59"/>
  <c r="F36" i="59"/>
  <c r="G36" i="59"/>
  <c r="B37" i="59"/>
  <c r="C37" i="59"/>
  <c r="D37" i="59"/>
  <c r="E37" i="59"/>
  <c r="F37" i="59"/>
  <c r="G37" i="59"/>
  <c r="B38" i="59"/>
  <c r="C38" i="59"/>
  <c r="D38" i="59"/>
  <c r="E38" i="59"/>
  <c r="F38" i="59"/>
  <c r="G38" i="59"/>
  <c r="B39" i="59"/>
  <c r="C39" i="59"/>
  <c r="D39" i="59"/>
  <c r="E39" i="59"/>
  <c r="F39" i="59"/>
  <c r="G39" i="59"/>
  <c r="B40" i="59"/>
  <c r="C40" i="59"/>
  <c r="D40" i="59"/>
  <c r="E40" i="59"/>
  <c r="F40" i="59"/>
  <c r="G40" i="59"/>
  <c r="B41" i="59"/>
  <c r="C41" i="59"/>
  <c r="D41" i="59"/>
  <c r="E41" i="59"/>
  <c r="F41" i="59"/>
  <c r="G41" i="59"/>
  <c r="B42" i="59"/>
  <c r="C42" i="59"/>
  <c r="D42" i="59"/>
  <c r="E42" i="59"/>
  <c r="F42" i="59"/>
  <c r="G42" i="59"/>
  <c r="B43" i="59"/>
  <c r="C43" i="59"/>
  <c r="D43" i="59"/>
  <c r="E43" i="59"/>
  <c r="F43" i="59"/>
  <c r="G43" i="59"/>
  <c r="B44" i="59"/>
  <c r="C44" i="59"/>
  <c r="D44" i="59"/>
  <c r="E44" i="59"/>
  <c r="F44" i="59"/>
  <c r="G44" i="59"/>
  <c r="B45" i="59"/>
  <c r="C45" i="59"/>
  <c r="D45" i="59"/>
  <c r="E45" i="59"/>
  <c r="F45" i="59"/>
  <c r="G45" i="59"/>
  <c r="B46" i="59"/>
  <c r="C46" i="59"/>
  <c r="D46" i="59"/>
  <c r="E46" i="59"/>
  <c r="F46" i="59"/>
  <c r="G46" i="59"/>
  <c r="B47" i="59"/>
  <c r="C47" i="59"/>
  <c r="D47" i="59"/>
  <c r="E47" i="59"/>
  <c r="F47" i="59"/>
  <c r="G47" i="59"/>
  <c r="B48" i="59"/>
  <c r="C48" i="59"/>
  <c r="D48" i="59"/>
  <c r="E48" i="59"/>
  <c r="F48" i="59"/>
  <c r="G48" i="59"/>
  <c r="B49" i="59"/>
  <c r="C49" i="59"/>
  <c r="D49" i="59"/>
  <c r="E49" i="59"/>
  <c r="F49" i="59"/>
  <c r="G49" i="59"/>
  <c r="B50" i="59"/>
  <c r="C50" i="59"/>
  <c r="D50" i="59"/>
  <c r="E50" i="59"/>
  <c r="F50" i="59"/>
  <c r="G50" i="59"/>
  <c r="B51" i="59"/>
  <c r="C51" i="59"/>
  <c r="D51" i="59"/>
  <c r="E51" i="59"/>
  <c r="F51" i="59"/>
  <c r="G51" i="59"/>
  <c r="B52" i="59"/>
  <c r="C52" i="59"/>
  <c r="D52" i="59"/>
  <c r="E52" i="59"/>
  <c r="F52" i="59"/>
  <c r="G52" i="59"/>
  <c r="B53" i="59"/>
  <c r="C53" i="59"/>
  <c r="D53" i="59"/>
  <c r="E53" i="59"/>
  <c r="F53" i="59"/>
  <c r="G53" i="59"/>
  <c r="B30" i="59"/>
  <c r="D30" i="59"/>
  <c r="C30" i="59"/>
  <c r="E30" i="59"/>
  <c r="F30" i="59"/>
  <c r="G30" i="59"/>
  <c r="C18" i="59"/>
  <c r="C19" i="59"/>
  <c r="B18" i="59"/>
  <c r="B19" i="59"/>
  <c r="D21" i="59"/>
  <c r="D22" i="59"/>
  <c r="D24" i="59"/>
  <c r="D26" i="59"/>
  <c r="C21" i="59"/>
  <c r="C22" i="59"/>
  <c r="C24" i="59"/>
  <c r="D17" i="59"/>
  <c r="C17" i="59"/>
  <c r="B26" i="59"/>
  <c r="B24" i="59"/>
  <c r="B22" i="59"/>
  <c r="B21" i="59"/>
  <c r="B17" i="59"/>
  <c r="C13" i="58"/>
  <c r="B17" i="58"/>
  <c r="B18" i="58"/>
  <c r="B19" i="58"/>
  <c r="B22" i="58"/>
  <c r="B20" i="58"/>
  <c r="B23" i="58"/>
  <c r="C63" i="58"/>
  <c r="B63" i="58"/>
  <c r="B62" i="58"/>
  <c r="C34" i="58"/>
  <c r="B37" i="58"/>
  <c r="E34" i="58"/>
  <c r="B38" i="58"/>
  <c r="B39" i="58"/>
  <c r="B40" i="58"/>
  <c r="B41" i="58"/>
  <c r="B42" i="58"/>
  <c r="B43" i="58"/>
  <c r="B44" i="58"/>
  <c r="B45" i="58"/>
  <c r="B46" i="58"/>
  <c r="B47" i="58"/>
  <c r="B48" i="58"/>
  <c r="B49" i="58"/>
  <c r="B50" i="58"/>
  <c r="B51" i="58"/>
  <c r="B52" i="58"/>
  <c r="B53" i="58"/>
  <c r="B54" i="58"/>
  <c r="B55" i="58"/>
  <c r="B56" i="58"/>
  <c r="B57" i="58"/>
  <c r="B58" i="58"/>
  <c r="B59" i="58"/>
  <c r="B60" i="58"/>
  <c r="C60" i="58"/>
  <c r="D60" i="58"/>
  <c r="E60" i="58"/>
  <c r="C59" i="58"/>
  <c r="D59" i="58"/>
  <c r="E59" i="58"/>
  <c r="C58" i="58"/>
  <c r="D58" i="58"/>
  <c r="E58" i="58"/>
  <c r="C57" i="58"/>
  <c r="D57" i="58"/>
  <c r="E57" i="58"/>
  <c r="C56" i="58"/>
  <c r="D56" i="58"/>
  <c r="E56" i="58"/>
  <c r="C55" i="58"/>
  <c r="D55" i="58"/>
  <c r="E55" i="58"/>
  <c r="C54" i="58"/>
  <c r="D54" i="58"/>
  <c r="E54" i="58"/>
  <c r="C53" i="58"/>
  <c r="D53" i="58"/>
  <c r="E53" i="58"/>
  <c r="C52" i="58"/>
  <c r="D52" i="58"/>
  <c r="E52" i="58"/>
  <c r="C51" i="58"/>
  <c r="D51" i="58"/>
  <c r="E51" i="58"/>
  <c r="C50" i="58"/>
  <c r="D50" i="58"/>
  <c r="E50" i="58"/>
  <c r="C49" i="58"/>
  <c r="D49" i="58"/>
  <c r="E49" i="58"/>
  <c r="C48" i="58"/>
  <c r="D48" i="58"/>
  <c r="E48" i="58"/>
  <c r="C47" i="58"/>
  <c r="D47" i="58"/>
  <c r="E47" i="58"/>
  <c r="C46" i="58"/>
  <c r="D46" i="58"/>
  <c r="E46" i="58"/>
  <c r="C45" i="58"/>
  <c r="D45" i="58"/>
  <c r="E45" i="58"/>
  <c r="C44" i="58"/>
  <c r="D44" i="58"/>
  <c r="E44" i="58"/>
  <c r="C43" i="58"/>
  <c r="D43" i="58"/>
  <c r="E43" i="58"/>
  <c r="C42" i="58"/>
  <c r="D42" i="58"/>
  <c r="E42" i="58"/>
  <c r="C41" i="58"/>
  <c r="D41" i="58"/>
  <c r="E41" i="58"/>
  <c r="C40" i="58"/>
  <c r="D40" i="58"/>
  <c r="E40" i="58"/>
  <c r="C39" i="58"/>
  <c r="D39" i="58"/>
  <c r="E39" i="58"/>
  <c r="C38" i="58"/>
  <c r="D38" i="58"/>
  <c r="E38" i="58"/>
  <c r="C37" i="58"/>
  <c r="D37" i="58"/>
  <c r="E37" i="58"/>
  <c r="B25" i="58"/>
  <c r="B27" i="58"/>
  <c r="B21" i="57"/>
  <c r="B22" i="57"/>
  <c r="B23" i="57"/>
  <c r="B26" i="57"/>
  <c r="B24" i="57"/>
  <c r="B27" i="57"/>
  <c r="C63" i="57"/>
  <c r="B63" i="57"/>
  <c r="B62" i="57"/>
  <c r="C34" i="57"/>
  <c r="B37" i="57"/>
  <c r="E34" i="57"/>
  <c r="B38" i="57"/>
  <c r="B39" i="57"/>
  <c r="B40" i="57"/>
  <c r="B41" i="57"/>
  <c r="B42" i="57"/>
  <c r="B43" i="57"/>
  <c r="B44" i="57"/>
  <c r="B45" i="57"/>
  <c r="B46" i="57"/>
  <c r="B47" i="57"/>
  <c r="B48" i="57"/>
  <c r="B49" i="57"/>
  <c r="B50" i="57"/>
  <c r="B51" i="57"/>
  <c r="B52" i="57"/>
  <c r="B53" i="57"/>
  <c r="B54" i="57"/>
  <c r="B55" i="57"/>
  <c r="B56" i="57"/>
  <c r="B57" i="57"/>
  <c r="B58" i="57"/>
  <c r="B59" i="57"/>
  <c r="B60" i="57"/>
  <c r="C60" i="57"/>
  <c r="D60" i="57"/>
  <c r="E60" i="57"/>
  <c r="C59" i="57"/>
  <c r="D59" i="57"/>
  <c r="E59" i="57"/>
  <c r="C58" i="57"/>
  <c r="D58" i="57"/>
  <c r="E58" i="57"/>
  <c r="C57" i="57"/>
  <c r="D57" i="57"/>
  <c r="E57" i="57"/>
  <c r="C56" i="57"/>
  <c r="D56" i="57"/>
  <c r="E56" i="57"/>
  <c r="C55" i="57"/>
  <c r="D55" i="57"/>
  <c r="E55" i="57"/>
  <c r="C54" i="57"/>
  <c r="D54" i="57"/>
  <c r="E54" i="57"/>
  <c r="C53" i="57"/>
  <c r="D53" i="57"/>
  <c r="E53" i="57"/>
  <c r="C52" i="57"/>
  <c r="D52" i="57"/>
  <c r="E52" i="57"/>
  <c r="C51" i="57"/>
  <c r="D51" i="57"/>
  <c r="E51" i="57"/>
  <c r="C50" i="57"/>
  <c r="D50" i="57"/>
  <c r="E50" i="57"/>
  <c r="C49" i="57"/>
  <c r="D49" i="57"/>
  <c r="E49" i="57"/>
  <c r="C48" i="57"/>
  <c r="D48" i="57"/>
  <c r="E48" i="57"/>
  <c r="C47" i="57"/>
  <c r="D47" i="57"/>
  <c r="E47" i="57"/>
  <c r="C46" i="57"/>
  <c r="D46" i="57"/>
  <c r="E46" i="57"/>
  <c r="C45" i="57"/>
  <c r="D45" i="57"/>
  <c r="E45" i="57"/>
  <c r="C44" i="57"/>
  <c r="D44" i="57"/>
  <c r="E44" i="57"/>
  <c r="C43" i="57"/>
  <c r="D43" i="57"/>
  <c r="E43" i="57"/>
  <c r="C42" i="57"/>
  <c r="D42" i="57"/>
  <c r="E42" i="57"/>
  <c r="C41" i="57"/>
  <c r="D41" i="57"/>
  <c r="E41" i="57"/>
  <c r="C40" i="57"/>
  <c r="D40" i="57"/>
  <c r="E40" i="57"/>
  <c r="C39" i="57"/>
  <c r="D39" i="57"/>
  <c r="E39" i="57"/>
  <c r="C38" i="57"/>
  <c r="D38" i="57"/>
  <c r="E38" i="57"/>
  <c r="C37" i="57"/>
  <c r="D37" i="57"/>
  <c r="E37" i="57"/>
  <c r="B29" i="57"/>
  <c r="B30" i="57"/>
  <c r="B15" i="57"/>
  <c r="B18" i="57"/>
  <c r="K8" i="54"/>
  <c r="L8" i="54"/>
  <c r="M8" i="54"/>
  <c r="K9" i="54"/>
  <c r="L9" i="54"/>
  <c r="M9" i="54"/>
  <c r="K10" i="54"/>
  <c r="L10" i="54"/>
  <c r="M10" i="54"/>
  <c r="K11" i="54"/>
  <c r="L11" i="54"/>
  <c r="M11" i="54"/>
  <c r="K12" i="54"/>
  <c r="L12" i="54"/>
  <c r="M12" i="54"/>
  <c r="K13" i="54"/>
  <c r="L13" i="54"/>
  <c r="M13" i="54"/>
  <c r="K14" i="54"/>
  <c r="L14" i="54"/>
  <c r="M14" i="54"/>
  <c r="K15" i="54"/>
  <c r="L15" i="54"/>
  <c r="M15" i="54"/>
  <c r="K16" i="54"/>
  <c r="L16" i="54"/>
  <c r="M16" i="54"/>
  <c r="K17" i="54"/>
  <c r="L17" i="54"/>
  <c r="M17" i="54"/>
  <c r="M18" i="54"/>
  <c r="F12" i="54"/>
  <c r="F8" i="54"/>
  <c r="F9" i="54"/>
  <c r="F10" i="54"/>
  <c r="F11" i="54"/>
  <c r="F13" i="54"/>
  <c r="F14" i="54"/>
  <c r="F15" i="54"/>
  <c r="F16" i="54"/>
  <c r="F17" i="54"/>
  <c r="A8" i="54"/>
  <c r="A9" i="54"/>
  <c r="A10" i="54"/>
  <c r="A11" i="54"/>
  <c r="A12" i="54"/>
  <c r="A13" i="54"/>
  <c r="A14" i="54"/>
  <c r="A15" i="54"/>
  <c r="A16" i="54"/>
  <c r="A17" i="54"/>
  <c r="N8" i="54"/>
  <c r="O8" i="54"/>
  <c r="N9" i="54"/>
  <c r="O9" i="54"/>
  <c r="P10" i="54"/>
  <c r="N10" i="54"/>
  <c r="O10" i="54"/>
  <c r="P11" i="54"/>
  <c r="N11" i="54"/>
  <c r="O11" i="54"/>
  <c r="P12" i="54"/>
  <c r="N12" i="54"/>
  <c r="O12" i="54"/>
  <c r="P13" i="54"/>
  <c r="P14" i="54"/>
  <c r="P15" i="54"/>
  <c r="P16" i="54"/>
  <c r="P17" i="54"/>
  <c r="Q5" i="54"/>
  <c r="N13" i="54"/>
  <c r="O13" i="54"/>
  <c r="N14" i="54"/>
  <c r="O14" i="54"/>
  <c r="N15" i="54"/>
  <c r="O15" i="54"/>
  <c r="N16" i="54"/>
  <c r="O16" i="54"/>
  <c r="N17" i="54"/>
  <c r="O17" i="54"/>
  <c r="J17" i="54"/>
  <c r="J16" i="54"/>
  <c r="J15" i="54"/>
  <c r="J14" i="54"/>
  <c r="J13" i="54"/>
  <c r="J12" i="54"/>
  <c r="J11" i="54"/>
  <c r="J10" i="54"/>
  <c r="J9" i="54"/>
  <c r="J8" i="54"/>
  <c r="G17" i="54"/>
  <c r="G16" i="54"/>
  <c r="G15" i="54"/>
  <c r="G14" i="54"/>
  <c r="G13" i="54"/>
  <c r="G12" i="54"/>
  <c r="G11" i="54"/>
  <c r="G10" i="54"/>
  <c r="G9" i="54"/>
  <c r="H18" i="53"/>
  <c r="B18" i="53"/>
  <c r="H17" i="53"/>
  <c r="B17" i="53"/>
  <c r="E18" i="52"/>
  <c r="B18" i="52"/>
  <c r="F18" i="52"/>
  <c r="F22" i="52"/>
  <c r="E20" i="52"/>
  <c r="B20" i="52"/>
  <c r="F20" i="52"/>
  <c r="E19" i="52"/>
  <c r="B19" i="52"/>
  <c r="F19" i="52"/>
  <c r="C18" i="52"/>
  <c r="C19" i="52"/>
  <c r="C20" i="52"/>
  <c r="C22" i="52"/>
  <c r="C23" i="52"/>
  <c r="A20" i="52"/>
  <c r="A19" i="52"/>
  <c r="A18" i="52"/>
  <c r="G23" i="51"/>
  <c r="J23" i="51"/>
  <c r="G22" i="51"/>
  <c r="J22" i="51"/>
  <c r="G21" i="51"/>
  <c r="J21" i="51"/>
  <c r="G20" i="51"/>
  <c r="J20" i="51"/>
  <c r="G19" i="51"/>
  <c r="J19" i="51"/>
  <c r="G18" i="51"/>
  <c r="J18" i="51"/>
  <c r="G17" i="51"/>
  <c r="J17" i="51"/>
  <c r="G16" i="51"/>
  <c r="J16" i="51"/>
  <c r="G15" i="51"/>
  <c r="J15" i="51"/>
  <c r="C125" i="51"/>
  <c r="D125" i="51"/>
  <c r="E125" i="51"/>
  <c r="F125" i="51"/>
  <c r="G125" i="51"/>
  <c r="H125" i="51"/>
  <c r="I125" i="51"/>
  <c r="J125" i="51"/>
  <c r="K125" i="51"/>
  <c r="K115" i="51"/>
  <c r="B124" i="51"/>
  <c r="J115" i="51"/>
  <c r="B123" i="51"/>
  <c r="I115" i="51"/>
  <c r="B122" i="51"/>
  <c r="H115" i="51"/>
  <c r="B121" i="51"/>
  <c r="G115" i="51"/>
  <c r="B120" i="51"/>
  <c r="F115" i="51"/>
  <c r="B119" i="51"/>
  <c r="E115" i="51"/>
  <c r="B118" i="51"/>
  <c r="D115" i="51"/>
  <c r="B117" i="51"/>
  <c r="C115" i="51"/>
  <c r="B116" i="51"/>
  <c r="K104" i="51"/>
  <c r="B113" i="51"/>
  <c r="J104" i="51"/>
  <c r="B112" i="51"/>
  <c r="I104" i="51"/>
  <c r="B111" i="51"/>
  <c r="H104" i="51"/>
  <c r="B110" i="51"/>
  <c r="G104" i="51"/>
  <c r="B109" i="51"/>
  <c r="F104" i="51"/>
  <c r="B108" i="51"/>
  <c r="E104" i="51"/>
  <c r="B107" i="51"/>
  <c r="D104" i="51"/>
  <c r="B106" i="51"/>
  <c r="C104" i="51"/>
  <c r="B105" i="51"/>
  <c r="D82" i="51"/>
  <c r="D83" i="51"/>
  <c r="D85" i="51"/>
  <c r="D86" i="51"/>
  <c r="D87" i="51"/>
  <c r="D88" i="51"/>
  <c r="D89" i="51"/>
  <c r="D90" i="51"/>
  <c r="D91" i="51"/>
  <c r="E82" i="51"/>
  <c r="E83" i="51"/>
  <c r="E84" i="51"/>
  <c r="E86" i="51"/>
  <c r="E87" i="51"/>
  <c r="E88" i="51"/>
  <c r="E89" i="51"/>
  <c r="E90" i="51"/>
  <c r="E91" i="51"/>
  <c r="F82" i="51"/>
  <c r="F83" i="51"/>
  <c r="F84" i="51"/>
  <c r="F85" i="51"/>
  <c r="F87" i="51"/>
  <c r="F88" i="51"/>
  <c r="F89" i="51"/>
  <c r="F90" i="51"/>
  <c r="F91" i="51"/>
  <c r="G82" i="51"/>
  <c r="G83" i="51"/>
  <c r="G84" i="51"/>
  <c r="G85" i="51"/>
  <c r="G86" i="51"/>
  <c r="G88" i="51"/>
  <c r="G89" i="51"/>
  <c r="G90" i="51"/>
  <c r="G91" i="51"/>
  <c r="H82" i="51"/>
  <c r="H83" i="51"/>
  <c r="H84" i="51"/>
  <c r="H85" i="51"/>
  <c r="H86" i="51"/>
  <c r="H87" i="51"/>
  <c r="H89" i="51"/>
  <c r="H90" i="51"/>
  <c r="H91" i="51"/>
  <c r="I82" i="51"/>
  <c r="I83" i="51"/>
  <c r="I84" i="51"/>
  <c r="I85" i="51"/>
  <c r="I86" i="51"/>
  <c r="I87" i="51"/>
  <c r="I88" i="51"/>
  <c r="I90" i="51"/>
  <c r="I91" i="51"/>
  <c r="J82" i="51"/>
  <c r="J83" i="51"/>
  <c r="J84" i="51"/>
  <c r="J85" i="51"/>
  <c r="J86" i="51"/>
  <c r="J87" i="51"/>
  <c r="J88" i="51"/>
  <c r="J89" i="51"/>
  <c r="J91" i="51"/>
  <c r="K82" i="51"/>
  <c r="K83" i="51"/>
  <c r="K84" i="51"/>
  <c r="K85" i="51"/>
  <c r="K86" i="51"/>
  <c r="K87" i="51"/>
  <c r="K88" i="51"/>
  <c r="K89" i="51"/>
  <c r="K90" i="51"/>
  <c r="C82" i="51"/>
  <c r="C84" i="51"/>
  <c r="C85" i="51"/>
  <c r="C86" i="51"/>
  <c r="C87" i="51"/>
  <c r="C88" i="51"/>
  <c r="C89" i="51"/>
  <c r="C90" i="51"/>
  <c r="C91" i="51"/>
  <c r="C94" i="51" a="1"/>
  <c r="C94" i="51"/>
  <c r="D94" i="51"/>
  <c r="E94" i="51"/>
  <c r="F94" i="51"/>
  <c r="G94" i="51"/>
  <c r="H94" i="51"/>
  <c r="I94" i="51"/>
  <c r="J94" i="51"/>
  <c r="K94" i="51"/>
  <c r="C95" i="51"/>
  <c r="D95" i="51"/>
  <c r="E95" i="51"/>
  <c r="F95" i="51"/>
  <c r="G95" i="51"/>
  <c r="H95" i="51"/>
  <c r="I95" i="51"/>
  <c r="J95" i="51"/>
  <c r="K95" i="51"/>
  <c r="C96" i="51"/>
  <c r="D96" i="51"/>
  <c r="E96" i="51"/>
  <c r="F96" i="51"/>
  <c r="G96" i="51"/>
  <c r="H96" i="51"/>
  <c r="I96" i="51"/>
  <c r="J96" i="51"/>
  <c r="K96" i="51"/>
  <c r="C97" i="51"/>
  <c r="D97" i="51"/>
  <c r="E97" i="51"/>
  <c r="F97" i="51"/>
  <c r="G97" i="51"/>
  <c r="H97" i="51"/>
  <c r="I97" i="51"/>
  <c r="J97" i="51"/>
  <c r="K97" i="51"/>
  <c r="C98" i="51"/>
  <c r="D98" i="51"/>
  <c r="E98" i="51"/>
  <c r="F98" i="51"/>
  <c r="G98" i="51"/>
  <c r="H98" i="51"/>
  <c r="I98" i="51"/>
  <c r="J98" i="51"/>
  <c r="K98" i="51"/>
  <c r="C99" i="51"/>
  <c r="D99" i="51"/>
  <c r="E99" i="51"/>
  <c r="F99" i="51"/>
  <c r="G99" i="51"/>
  <c r="H99" i="51"/>
  <c r="I99" i="51"/>
  <c r="J99" i="51"/>
  <c r="K99" i="51"/>
  <c r="C100" i="51"/>
  <c r="D100" i="51"/>
  <c r="E100" i="51"/>
  <c r="F100" i="51"/>
  <c r="G100" i="51"/>
  <c r="H100" i="51"/>
  <c r="I100" i="51"/>
  <c r="J100" i="51"/>
  <c r="K100" i="51"/>
  <c r="C101" i="51"/>
  <c r="D101" i="51"/>
  <c r="E101" i="51"/>
  <c r="F101" i="51"/>
  <c r="G101" i="51"/>
  <c r="H101" i="51"/>
  <c r="I101" i="51"/>
  <c r="J101" i="51"/>
  <c r="K101" i="51"/>
  <c r="C102" i="51"/>
  <c r="D102" i="51"/>
  <c r="E102" i="51"/>
  <c r="F102" i="51"/>
  <c r="G102" i="51"/>
  <c r="H102" i="51"/>
  <c r="I102" i="51"/>
  <c r="J102" i="51"/>
  <c r="K102" i="51"/>
  <c r="K93" i="51"/>
  <c r="B102" i="51"/>
  <c r="J93" i="51"/>
  <c r="B101" i="51"/>
  <c r="I93" i="51"/>
  <c r="B100" i="51"/>
  <c r="H93" i="51"/>
  <c r="B99" i="51"/>
  <c r="G93" i="51"/>
  <c r="B98" i="51"/>
  <c r="F93" i="51"/>
  <c r="B97" i="51"/>
  <c r="E93" i="51"/>
  <c r="B96" i="51"/>
  <c r="D93" i="51"/>
  <c r="B95" i="51"/>
  <c r="C93" i="51"/>
  <c r="B94" i="51"/>
  <c r="B91" i="51"/>
  <c r="B90" i="51"/>
  <c r="B89" i="51"/>
  <c r="B88" i="51"/>
  <c r="B87" i="51"/>
  <c r="B86" i="51"/>
  <c r="B85" i="51"/>
  <c r="B84" i="51"/>
  <c r="B83" i="51"/>
  <c r="B11" i="51"/>
  <c r="K68" i="51"/>
  <c r="B77" i="51"/>
  <c r="J68" i="51"/>
  <c r="B76" i="51"/>
  <c r="I68" i="51"/>
  <c r="B75" i="51"/>
  <c r="H68" i="51"/>
  <c r="B74" i="51"/>
  <c r="G68" i="51"/>
  <c r="B73" i="51"/>
  <c r="F68" i="51"/>
  <c r="B72" i="51"/>
  <c r="E68" i="51"/>
  <c r="B71" i="51"/>
  <c r="D68" i="51"/>
  <c r="B70" i="51"/>
  <c r="C68" i="51"/>
  <c r="B69" i="51"/>
  <c r="J77" i="51"/>
  <c r="I77" i="51"/>
  <c r="H77" i="51"/>
  <c r="G77" i="51"/>
  <c r="F77" i="51"/>
  <c r="E77" i="51"/>
  <c r="D77" i="51"/>
  <c r="C77" i="51"/>
  <c r="K76" i="51"/>
  <c r="I76" i="51"/>
  <c r="H76" i="51"/>
  <c r="G76" i="51"/>
  <c r="F76" i="51"/>
  <c r="E76" i="51"/>
  <c r="D76" i="51"/>
  <c r="C76" i="51"/>
  <c r="K75" i="51"/>
  <c r="J75" i="51"/>
  <c r="H75" i="51"/>
  <c r="G75" i="51"/>
  <c r="F75" i="51"/>
  <c r="E75" i="51"/>
  <c r="D75" i="51"/>
  <c r="C75" i="51"/>
  <c r="K74" i="51"/>
  <c r="J74" i="51"/>
  <c r="I74" i="51"/>
  <c r="G74" i="51"/>
  <c r="F74" i="51"/>
  <c r="E74" i="51"/>
  <c r="D74" i="51"/>
  <c r="C74" i="51"/>
  <c r="K73" i="51"/>
  <c r="J73" i="51"/>
  <c r="I73" i="51"/>
  <c r="H73" i="51"/>
  <c r="F73" i="51"/>
  <c r="E73" i="51"/>
  <c r="D73" i="51"/>
  <c r="C73" i="51"/>
  <c r="K72" i="51"/>
  <c r="J72" i="51"/>
  <c r="I72" i="51"/>
  <c r="H72" i="51"/>
  <c r="G72" i="51"/>
  <c r="E72" i="51"/>
  <c r="D72" i="51"/>
  <c r="C72" i="51"/>
  <c r="K71" i="51"/>
  <c r="J71" i="51"/>
  <c r="I71" i="51"/>
  <c r="H71" i="51"/>
  <c r="G71" i="51"/>
  <c r="F71" i="51"/>
  <c r="D71" i="51"/>
  <c r="C71" i="51"/>
  <c r="K70" i="51"/>
  <c r="J70" i="51"/>
  <c r="I70" i="51"/>
  <c r="H70" i="51"/>
  <c r="G70" i="51"/>
  <c r="F70" i="51"/>
  <c r="E70" i="51"/>
  <c r="C70" i="51"/>
  <c r="K69" i="51"/>
  <c r="J69" i="51"/>
  <c r="I69" i="51"/>
  <c r="H69" i="51"/>
  <c r="G69" i="51"/>
  <c r="F69" i="51"/>
  <c r="E69" i="51"/>
  <c r="D69" i="51"/>
  <c r="C26" i="51"/>
  <c r="D48" i="51" a="1"/>
  <c r="D48" i="51"/>
  <c r="D49" i="51" a="1"/>
  <c r="D49" i="51"/>
  <c r="D50" i="51" a="1"/>
  <c r="D50" i="51"/>
  <c r="D51" i="51" a="1"/>
  <c r="D51" i="51"/>
  <c r="D52" i="51" a="1"/>
  <c r="D52" i="51"/>
  <c r="D53" i="51" a="1"/>
  <c r="D53" i="51"/>
  <c r="D54" i="51" a="1"/>
  <c r="D54" i="51"/>
  <c r="D55" i="51" a="1"/>
  <c r="D55" i="51"/>
  <c r="D58" i="51"/>
  <c r="D47" i="51" a="1"/>
  <c r="D47" i="51"/>
  <c r="D59" i="51" a="1"/>
  <c r="D59" i="51"/>
  <c r="D60" i="51"/>
  <c r="B55" i="51"/>
  <c r="B54" i="51"/>
  <c r="B53" i="51"/>
  <c r="B52" i="51"/>
  <c r="B51" i="51"/>
  <c r="B50" i="51"/>
  <c r="B49" i="51"/>
  <c r="B48" i="51"/>
  <c r="B47" i="51"/>
  <c r="E33" i="51"/>
  <c r="E32" i="51"/>
  <c r="E34" i="51"/>
  <c r="E35" i="51"/>
  <c r="E23" i="51"/>
  <c r="E22" i="51"/>
  <c r="E21" i="51"/>
  <c r="E20" i="51"/>
  <c r="E19" i="51"/>
  <c r="E18" i="51"/>
  <c r="E17" i="51"/>
  <c r="E16" i="51"/>
  <c r="E15" i="51"/>
  <c r="A23" i="51"/>
  <c r="A22" i="51"/>
  <c r="A21" i="51"/>
  <c r="A20" i="51"/>
  <c r="A19" i="51"/>
  <c r="A18" i="51"/>
  <c r="A17" i="51"/>
  <c r="A16" i="51"/>
  <c r="A15" i="51"/>
  <c r="D12" i="51"/>
  <c r="B16" i="49"/>
  <c r="B17" i="49"/>
  <c r="B18" i="49"/>
  <c r="B19" i="49"/>
  <c r="B20" i="49"/>
  <c r="B21" i="49"/>
  <c r="A27" i="49"/>
  <c r="D27" i="49"/>
  <c r="B27" i="49"/>
  <c r="E27" i="49"/>
  <c r="F27" i="49"/>
  <c r="C27" i="49"/>
  <c r="G27" i="49"/>
  <c r="A28" i="49"/>
  <c r="D28" i="49"/>
  <c r="B28" i="49"/>
  <c r="E28" i="49"/>
  <c r="F28" i="49"/>
  <c r="C28" i="49"/>
  <c r="G28" i="49"/>
  <c r="A29" i="49"/>
  <c r="D29" i="49"/>
  <c r="B29" i="49"/>
  <c r="E29" i="49"/>
  <c r="F29" i="49"/>
  <c r="C29" i="49"/>
  <c r="G29" i="49"/>
  <c r="A30" i="49"/>
  <c r="D30" i="49"/>
  <c r="B30" i="49"/>
  <c r="E30" i="49"/>
  <c r="F30" i="49"/>
  <c r="C30" i="49"/>
  <c r="G30" i="49"/>
  <c r="A31" i="49"/>
  <c r="D31" i="49"/>
  <c r="B31" i="49"/>
  <c r="E31" i="49"/>
  <c r="F31" i="49"/>
  <c r="C31" i="49"/>
  <c r="G31" i="49"/>
  <c r="A32" i="49"/>
  <c r="D32" i="49"/>
  <c r="B32" i="49"/>
  <c r="E32" i="49"/>
  <c r="F32" i="49"/>
  <c r="C32" i="49"/>
  <c r="G32" i="49"/>
  <c r="A33" i="49"/>
  <c r="D33" i="49"/>
  <c r="B33" i="49"/>
  <c r="E33" i="49"/>
  <c r="F33" i="49"/>
  <c r="C33" i="49"/>
  <c r="G33" i="49"/>
  <c r="A34" i="49"/>
  <c r="D34" i="49"/>
  <c r="B34" i="49"/>
  <c r="E34" i="49"/>
  <c r="F34" i="49"/>
  <c r="C34" i="49"/>
  <c r="G34" i="49"/>
  <c r="A35" i="49"/>
  <c r="D35" i="49"/>
  <c r="B35" i="49"/>
  <c r="E35" i="49"/>
  <c r="F35" i="49"/>
  <c r="C35" i="49"/>
  <c r="G35" i="49"/>
  <c r="A36" i="49"/>
  <c r="D36" i="49"/>
  <c r="B36" i="49"/>
  <c r="E36" i="49"/>
  <c r="F36" i="49"/>
  <c r="C36" i="49"/>
  <c r="G36" i="49"/>
  <c r="A37" i="49"/>
  <c r="D37" i="49"/>
  <c r="B37" i="49"/>
  <c r="E37" i="49"/>
  <c r="F37" i="49"/>
  <c r="C37" i="49"/>
  <c r="G37" i="49"/>
  <c r="A38" i="49"/>
  <c r="D38" i="49"/>
  <c r="B38" i="49"/>
  <c r="E38" i="49"/>
  <c r="F38" i="49"/>
  <c r="C38" i="49"/>
  <c r="G38" i="49"/>
  <c r="A39" i="49"/>
  <c r="D39" i="49"/>
  <c r="B39" i="49"/>
  <c r="E39" i="49"/>
  <c r="F39" i="49"/>
  <c r="C39" i="49"/>
  <c r="G39" i="49"/>
  <c r="A40" i="49"/>
  <c r="D40" i="49"/>
  <c r="B40" i="49"/>
  <c r="E40" i="49"/>
  <c r="F40" i="49"/>
  <c r="C40" i="49"/>
  <c r="G40" i="49"/>
  <c r="A41" i="49"/>
  <c r="D41" i="49"/>
  <c r="B41" i="49"/>
  <c r="E41" i="49"/>
  <c r="F41" i="49"/>
  <c r="C41" i="49"/>
  <c r="G41" i="49"/>
  <c r="A42" i="49"/>
  <c r="D42" i="49"/>
  <c r="B42" i="49"/>
  <c r="E42" i="49"/>
  <c r="F42" i="49"/>
  <c r="C42" i="49"/>
  <c r="G42" i="49"/>
  <c r="A43" i="49"/>
  <c r="D43" i="49"/>
  <c r="B43" i="49"/>
  <c r="E43" i="49"/>
  <c r="F43" i="49"/>
  <c r="C43" i="49"/>
  <c r="G43" i="49"/>
  <c r="A44" i="49"/>
  <c r="D44" i="49"/>
  <c r="B44" i="49"/>
  <c r="E44" i="49"/>
  <c r="F44" i="49"/>
  <c r="C44" i="49"/>
  <c r="G44" i="49"/>
  <c r="A45" i="49"/>
  <c r="D45" i="49"/>
  <c r="B45" i="49"/>
  <c r="E45" i="49"/>
  <c r="F45" i="49"/>
  <c r="C45" i="49"/>
  <c r="G45" i="49"/>
  <c r="A46" i="49"/>
  <c r="D46" i="49"/>
  <c r="B46" i="49"/>
  <c r="E46" i="49"/>
  <c r="F46" i="49"/>
  <c r="C46" i="49"/>
  <c r="G46" i="49"/>
  <c r="A47" i="49"/>
  <c r="D47" i="49"/>
  <c r="B47" i="49"/>
  <c r="E47" i="49"/>
  <c r="F47" i="49"/>
  <c r="C47" i="49"/>
  <c r="G47" i="49"/>
  <c r="A48" i="49"/>
  <c r="D48" i="49"/>
  <c r="B48" i="49"/>
  <c r="E48" i="49"/>
  <c r="F48" i="49"/>
  <c r="C48" i="49"/>
  <c r="G48" i="49"/>
  <c r="A49" i="49"/>
  <c r="D49" i="49"/>
  <c r="B49" i="49"/>
  <c r="E49" i="49"/>
  <c r="F49" i="49"/>
  <c r="C49" i="49"/>
  <c r="G49" i="49"/>
  <c r="A50" i="49"/>
  <c r="D50" i="49"/>
  <c r="B50" i="49"/>
  <c r="E50" i="49"/>
  <c r="F50" i="49"/>
  <c r="C50" i="49"/>
  <c r="G50" i="49"/>
  <c r="A51" i="49"/>
  <c r="D51" i="49"/>
  <c r="B51" i="49"/>
  <c r="E51" i="49"/>
  <c r="F51" i="49"/>
  <c r="C51" i="49"/>
  <c r="G51" i="49"/>
  <c r="A52" i="49"/>
  <c r="D52" i="49"/>
  <c r="B52" i="49"/>
  <c r="E52" i="49"/>
  <c r="F52" i="49"/>
  <c r="C52" i="49"/>
  <c r="G52" i="49"/>
  <c r="A53" i="49"/>
  <c r="D53" i="49"/>
  <c r="B53" i="49"/>
  <c r="E53" i="49"/>
  <c r="F53" i="49"/>
  <c r="C53" i="49"/>
  <c r="G53" i="49"/>
  <c r="A54" i="49"/>
  <c r="D54" i="49"/>
  <c r="B54" i="49"/>
  <c r="E54" i="49"/>
  <c r="F54" i="49"/>
  <c r="C54" i="49"/>
  <c r="G54" i="49"/>
  <c r="A55" i="49"/>
  <c r="D55" i="49"/>
  <c r="B55" i="49"/>
  <c r="E55" i="49"/>
  <c r="F55" i="49"/>
  <c r="C55" i="49"/>
  <c r="G55" i="49"/>
  <c r="A56" i="49"/>
  <c r="D56" i="49"/>
  <c r="B56" i="49"/>
  <c r="E56" i="49"/>
  <c r="F56" i="49"/>
  <c r="C56" i="49"/>
  <c r="G56" i="49"/>
  <c r="A57" i="49"/>
  <c r="D57" i="49"/>
  <c r="B57" i="49"/>
  <c r="E57" i="49"/>
  <c r="F57" i="49"/>
  <c r="C57" i="49"/>
  <c r="G57" i="49"/>
  <c r="A58" i="49"/>
  <c r="D58" i="49"/>
  <c r="B58" i="49"/>
  <c r="E58" i="49"/>
  <c r="F58" i="49"/>
  <c r="C58" i="49"/>
  <c r="G58" i="49"/>
  <c r="A59" i="49"/>
  <c r="D59" i="49"/>
  <c r="B59" i="49"/>
  <c r="E59" i="49"/>
  <c r="F59" i="49"/>
  <c r="C59" i="49"/>
  <c r="G59" i="49"/>
  <c r="A60" i="49"/>
  <c r="D60" i="49"/>
  <c r="B60" i="49"/>
  <c r="E60" i="49"/>
  <c r="F60" i="49"/>
  <c r="C60" i="49"/>
  <c r="G60" i="49"/>
  <c r="A61" i="49"/>
  <c r="D61" i="49"/>
  <c r="B61" i="49"/>
  <c r="E61" i="49"/>
  <c r="F61" i="49"/>
  <c r="C61" i="49"/>
  <c r="G61" i="49"/>
  <c r="A62" i="49"/>
  <c r="D62" i="49"/>
  <c r="B62" i="49"/>
  <c r="E62" i="49"/>
  <c r="F62" i="49"/>
  <c r="C62" i="49"/>
  <c r="G62" i="49"/>
  <c r="C23" i="49"/>
  <c r="I23" i="49"/>
  <c r="D15" i="49" a="1"/>
  <c r="D15" i="49"/>
  <c r="E15" i="49"/>
  <c r="F15" i="49"/>
  <c r="G15" i="49"/>
  <c r="H15" i="49"/>
  <c r="I15" i="49"/>
  <c r="D7" i="49" a="1"/>
  <c r="D7" i="49"/>
  <c r="E7" i="49"/>
  <c r="F7" i="49"/>
  <c r="G7" i="49"/>
  <c r="H7" i="49"/>
  <c r="I7" i="49"/>
  <c r="B16" i="48"/>
  <c r="A27" i="48"/>
  <c r="D27" i="48"/>
  <c r="B27" i="48"/>
  <c r="E27" i="48"/>
  <c r="F27" i="48"/>
  <c r="C27" i="48"/>
  <c r="G27" i="48"/>
  <c r="A28" i="48"/>
  <c r="D28" i="48"/>
  <c r="B17" i="48"/>
  <c r="B28" i="48"/>
  <c r="E28" i="48"/>
  <c r="F28" i="48"/>
  <c r="C28" i="48"/>
  <c r="G28" i="48"/>
  <c r="A29" i="48"/>
  <c r="D29" i="48"/>
  <c r="B18" i="48"/>
  <c r="B29" i="48"/>
  <c r="E29" i="48"/>
  <c r="F29" i="48"/>
  <c r="C29" i="48"/>
  <c r="G29" i="48"/>
  <c r="A30" i="48"/>
  <c r="D30" i="48"/>
  <c r="B19" i="48"/>
  <c r="B30" i="48"/>
  <c r="E30" i="48"/>
  <c r="F30" i="48"/>
  <c r="C30" i="48"/>
  <c r="G30" i="48"/>
  <c r="A31" i="48"/>
  <c r="D31" i="48"/>
  <c r="B20" i="48"/>
  <c r="B31" i="48"/>
  <c r="E31" i="48"/>
  <c r="F31" i="48"/>
  <c r="C31" i="48"/>
  <c r="G31" i="48"/>
  <c r="A32" i="48"/>
  <c r="D32" i="48"/>
  <c r="B21" i="48"/>
  <c r="B32" i="48"/>
  <c r="E32" i="48"/>
  <c r="F32" i="48"/>
  <c r="C32" i="48"/>
  <c r="G32" i="48"/>
  <c r="A33" i="48"/>
  <c r="D33" i="48"/>
  <c r="B33" i="48"/>
  <c r="E33" i="48"/>
  <c r="F33" i="48"/>
  <c r="C33" i="48"/>
  <c r="G33" i="48"/>
  <c r="A34" i="48"/>
  <c r="D34" i="48"/>
  <c r="B34" i="48"/>
  <c r="E34" i="48"/>
  <c r="F34" i="48"/>
  <c r="C34" i="48"/>
  <c r="G34" i="48"/>
  <c r="A35" i="48"/>
  <c r="D35" i="48"/>
  <c r="B35" i="48"/>
  <c r="E35" i="48"/>
  <c r="F35" i="48"/>
  <c r="C35" i="48"/>
  <c r="G35" i="48"/>
  <c r="A36" i="48"/>
  <c r="D36" i="48"/>
  <c r="B36" i="48"/>
  <c r="E36" i="48"/>
  <c r="F36" i="48"/>
  <c r="C36" i="48"/>
  <c r="G36" i="48"/>
  <c r="A37" i="48"/>
  <c r="D37" i="48"/>
  <c r="B37" i="48"/>
  <c r="E37" i="48"/>
  <c r="F37" i="48"/>
  <c r="C37" i="48"/>
  <c r="G37" i="48"/>
  <c r="A38" i="48"/>
  <c r="D38" i="48"/>
  <c r="B38" i="48"/>
  <c r="E38" i="48"/>
  <c r="F38" i="48"/>
  <c r="C38" i="48"/>
  <c r="G38" i="48"/>
  <c r="A39" i="48"/>
  <c r="D39" i="48"/>
  <c r="B39" i="48"/>
  <c r="E39" i="48"/>
  <c r="F39" i="48"/>
  <c r="C39" i="48"/>
  <c r="G39" i="48"/>
  <c r="A40" i="48"/>
  <c r="D40" i="48"/>
  <c r="B40" i="48"/>
  <c r="E40" i="48"/>
  <c r="F40" i="48"/>
  <c r="C40" i="48"/>
  <c r="G40" i="48"/>
  <c r="A41" i="48"/>
  <c r="D41" i="48"/>
  <c r="B41" i="48"/>
  <c r="E41" i="48"/>
  <c r="F41" i="48"/>
  <c r="C41" i="48"/>
  <c r="G41" i="48"/>
  <c r="A42" i="48"/>
  <c r="D42" i="48"/>
  <c r="B42" i="48"/>
  <c r="E42" i="48"/>
  <c r="F42" i="48"/>
  <c r="C42" i="48"/>
  <c r="G42" i="48"/>
  <c r="A43" i="48"/>
  <c r="D43" i="48"/>
  <c r="B43" i="48"/>
  <c r="E43" i="48"/>
  <c r="F43" i="48"/>
  <c r="C43" i="48"/>
  <c r="G43" i="48"/>
  <c r="A44" i="48"/>
  <c r="D44" i="48"/>
  <c r="B44" i="48"/>
  <c r="E44" i="48"/>
  <c r="F44" i="48"/>
  <c r="C44" i="48"/>
  <c r="G44" i="48"/>
  <c r="A45" i="48"/>
  <c r="D45" i="48"/>
  <c r="B45" i="48"/>
  <c r="E45" i="48"/>
  <c r="F45" i="48"/>
  <c r="C45" i="48"/>
  <c r="G45" i="48"/>
  <c r="A46" i="48"/>
  <c r="D46" i="48"/>
  <c r="B46" i="48"/>
  <c r="E46" i="48"/>
  <c r="F46" i="48"/>
  <c r="C46" i="48"/>
  <c r="G46" i="48"/>
  <c r="A47" i="48"/>
  <c r="D47" i="48"/>
  <c r="B47" i="48"/>
  <c r="E47" i="48"/>
  <c r="F47" i="48"/>
  <c r="C47" i="48"/>
  <c r="G47" i="48"/>
  <c r="A48" i="48"/>
  <c r="D48" i="48"/>
  <c r="B48" i="48"/>
  <c r="E48" i="48"/>
  <c r="F48" i="48"/>
  <c r="C48" i="48"/>
  <c r="G48" i="48"/>
  <c r="A49" i="48"/>
  <c r="D49" i="48"/>
  <c r="B49" i="48"/>
  <c r="E49" i="48"/>
  <c r="F49" i="48"/>
  <c r="C49" i="48"/>
  <c r="G49" i="48"/>
  <c r="A50" i="48"/>
  <c r="D50" i="48"/>
  <c r="B50" i="48"/>
  <c r="E50" i="48"/>
  <c r="F50" i="48"/>
  <c r="C50" i="48"/>
  <c r="G50" i="48"/>
  <c r="A51" i="48"/>
  <c r="D51" i="48"/>
  <c r="B51" i="48"/>
  <c r="E51" i="48"/>
  <c r="F51" i="48"/>
  <c r="C51" i="48"/>
  <c r="G51" i="48"/>
  <c r="A52" i="48"/>
  <c r="D52" i="48"/>
  <c r="B52" i="48"/>
  <c r="E52" i="48"/>
  <c r="F52" i="48"/>
  <c r="C52" i="48"/>
  <c r="G52" i="48"/>
  <c r="A53" i="48"/>
  <c r="D53" i="48"/>
  <c r="B53" i="48"/>
  <c r="E53" i="48"/>
  <c r="F53" i="48"/>
  <c r="C53" i="48"/>
  <c r="G53" i="48"/>
  <c r="A54" i="48"/>
  <c r="D54" i="48"/>
  <c r="B54" i="48"/>
  <c r="E54" i="48"/>
  <c r="F54" i="48"/>
  <c r="C54" i="48"/>
  <c r="G54" i="48"/>
  <c r="A55" i="48"/>
  <c r="D55" i="48"/>
  <c r="B55" i="48"/>
  <c r="E55" i="48"/>
  <c r="F55" i="48"/>
  <c r="C55" i="48"/>
  <c r="G55" i="48"/>
  <c r="A56" i="48"/>
  <c r="D56" i="48"/>
  <c r="B56" i="48"/>
  <c r="E56" i="48"/>
  <c r="F56" i="48"/>
  <c r="C56" i="48"/>
  <c r="G56" i="48"/>
  <c r="A57" i="48"/>
  <c r="D57" i="48"/>
  <c r="B57" i="48"/>
  <c r="E57" i="48"/>
  <c r="F57" i="48"/>
  <c r="C57" i="48"/>
  <c r="G57" i="48"/>
  <c r="A58" i="48"/>
  <c r="D58" i="48"/>
  <c r="B58" i="48"/>
  <c r="E58" i="48"/>
  <c r="F58" i="48"/>
  <c r="C58" i="48"/>
  <c r="G58" i="48"/>
  <c r="A59" i="48"/>
  <c r="D59" i="48"/>
  <c r="B59" i="48"/>
  <c r="E59" i="48"/>
  <c r="F59" i="48"/>
  <c r="C59" i="48"/>
  <c r="G59" i="48"/>
  <c r="A60" i="48"/>
  <c r="D60" i="48"/>
  <c r="B60" i="48"/>
  <c r="E60" i="48"/>
  <c r="F60" i="48"/>
  <c r="C60" i="48"/>
  <c r="G60" i="48"/>
  <c r="A61" i="48"/>
  <c r="D61" i="48"/>
  <c r="B61" i="48"/>
  <c r="E61" i="48"/>
  <c r="F61" i="48"/>
  <c r="C61" i="48"/>
  <c r="G61" i="48"/>
  <c r="A62" i="48"/>
  <c r="D62" i="48"/>
  <c r="B62" i="48"/>
  <c r="E62" i="48"/>
  <c r="F62" i="48"/>
  <c r="C62" i="48"/>
  <c r="G62" i="48"/>
  <c r="C23" i="48"/>
  <c r="I23" i="48"/>
  <c r="D15" i="48" a="1"/>
  <c r="D15" i="48"/>
  <c r="E15" i="48"/>
  <c r="F15" i="48"/>
  <c r="G15" i="48"/>
  <c r="H15" i="48"/>
  <c r="I15" i="48"/>
  <c r="D7" i="48" a="1"/>
  <c r="D7" i="48"/>
  <c r="E7" i="48"/>
  <c r="F7" i="48"/>
  <c r="G7" i="48"/>
  <c r="H7" i="48"/>
  <c r="I7" i="48"/>
  <c r="B16" i="47"/>
  <c r="B18" i="47"/>
  <c r="B17" i="47"/>
  <c r="A27" i="47"/>
  <c r="D27" i="47"/>
  <c r="D26" i="47"/>
  <c r="D25" i="47"/>
  <c r="C27" i="47"/>
  <c r="C26" i="47"/>
  <c r="C25" i="47"/>
  <c r="B27" i="47"/>
  <c r="B26" i="47"/>
  <c r="B25" i="47"/>
  <c r="D22" i="47"/>
  <c r="C22" i="47"/>
  <c r="B22" i="47"/>
  <c r="D21" i="47"/>
  <c r="C21" i="47"/>
  <c r="B21" i="47"/>
  <c r="A20" i="47"/>
  <c r="C18" i="47"/>
  <c r="A18" i="47"/>
  <c r="C17" i="47"/>
  <c r="A17" i="47"/>
  <c r="C16" i="47"/>
  <c r="A16" i="47"/>
  <c r="B14" i="46"/>
  <c r="D16" i="46"/>
  <c r="C16" i="46"/>
  <c r="D15" i="46"/>
  <c r="C15" i="46"/>
  <c r="B15" i="46"/>
  <c r="D14" i="46"/>
  <c r="C14" i="46"/>
  <c r="D16" i="44"/>
  <c r="B15" i="44"/>
  <c r="D17" i="44"/>
  <c r="C16" i="44"/>
  <c r="C17" i="44"/>
  <c r="B11" i="37"/>
  <c r="B17" i="37"/>
  <c r="A28" i="37"/>
  <c r="C28" i="37"/>
  <c r="C27" i="37"/>
  <c r="B28" i="37"/>
  <c r="B27" i="37"/>
  <c r="B21" i="37"/>
  <c r="B22" i="37"/>
  <c r="B23" i="37"/>
  <c r="B20" i="37"/>
  <c r="B18" i="37"/>
  <c r="B16" i="36"/>
  <c r="B17" i="36"/>
  <c r="B18" i="36"/>
  <c r="A27" i="36"/>
  <c r="D27" i="36"/>
  <c r="D26" i="36"/>
  <c r="D25" i="36"/>
  <c r="C27" i="36"/>
  <c r="C26" i="36"/>
  <c r="C25" i="36"/>
  <c r="B27" i="36"/>
  <c r="B26" i="36"/>
  <c r="B25" i="36"/>
  <c r="D22" i="36"/>
  <c r="C22" i="36"/>
  <c r="B22" i="36"/>
  <c r="D21" i="36"/>
  <c r="C21" i="36"/>
  <c r="B21" i="36"/>
  <c r="A20" i="36"/>
  <c r="C18" i="36"/>
  <c r="A18" i="36"/>
  <c r="C17" i="36"/>
  <c r="A17" i="36"/>
  <c r="C16" i="36"/>
  <c r="A16" i="36"/>
  <c r="E8" i="33"/>
  <c r="E10" i="33"/>
  <c r="E11" i="33"/>
  <c r="B12" i="33"/>
  <c r="G10" i="31"/>
  <c r="G11" i="31"/>
  <c r="G12" i="31"/>
  <c r="G15" i="31"/>
  <c r="E32" i="31"/>
  <c r="G16" i="31"/>
  <c r="D32" i="31"/>
  <c r="C32" i="31"/>
  <c r="B32" i="31"/>
  <c r="A32" i="31"/>
  <c r="E31" i="31"/>
  <c r="D31" i="31"/>
  <c r="C31" i="31"/>
  <c r="B31" i="31"/>
  <c r="A31" i="31"/>
  <c r="E30" i="31"/>
  <c r="D30" i="31"/>
  <c r="C30" i="31"/>
  <c r="B30" i="31"/>
  <c r="A30" i="31"/>
  <c r="E29" i="31"/>
  <c r="D29" i="31"/>
  <c r="C29" i="31"/>
  <c r="B29" i="31"/>
  <c r="A29" i="31"/>
  <c r="E28" i="31"/>
  <c r="D28" i="31"/>
  <c r="C28" i="31"/>
  <c r="B28" i="31"/>
  <c r="A28" i="31"/>
  <c r="E27" i="31"/>
  <c r="D27" i="31"/>
  <c r="C27" i="31"/>
  <c r="B27" i="31"/>
  <c r="A27" i="31"/>
  <c r="E26" i="31"/>
  <c r="D26" i="31"/>
  <c r="C26" i="31"/>
  <c r="B26" i="31"/>
  <c r="A26" i="31"/>
  <c r="E25" i="31"/>
  <c r="D25" i="31"/>
  <c r="C25" i="31"/>
  <c r="B25" i="31"/>
  <c r="A25" i="31"/>
  <c r="E24" i="31"/>
  <c r="D24" i="31"/>
  <c r="C24" i="31"/>
  <c r="B24" i="31"/>
  <c r="A24" i="31"/>
  <c r="G9" i="31"/>
  <c r="C18" i="31"/>
  <c r="C17" i="31"/>
  <c r="C16" i="31"/>
  <c r="C15" i="31"/>
  <c r="C14" i="31"/>
  <c r="C13" i="31"/>
  <c r="C12" i="31"/>
  <c r="C11" i="31"/>
  <c r="C10" i="31"/>
  <c r="G10" i="25"/>
  <c r="G9" i="25"/>
  <c r="G11" i="25"/>
  <c r="G12" i="25"/>
  <c r="G15" i="25"/>
  <c r="E54" i="25"/>
  <c r="G16" i="25"/>
  <c r="D54" i="25"/>
  <c r="G17" i="25"/>
  <c r="C54" i="25"/>
  <c r="D29" i="25"/>
  <c r="B54" i="25"/>
  <c r="A54" i="25"/>
  <c r="E53" i="25"/>
  <c r="D53" i="25"/>
  <c r="C53" i="25"/>
  <c r="D28" i="25"/>
  <c r="B53" i="25"/>
  <c r="A53" i="25"/>
  <c r="E52" i="25"/>
  <c r="D52" i="25"/>
  <c r="C52" i="25"/>
  <c r="D27" i="25"/>
  <c r="B52" i="25"/>
  <c r="A52" i="25"/>
  <c r="E51" i="25"/>
  <c r="D51" i="25"/>
  <c r="C51" i="25"/>
  <c r="D26" i="25"/>
  <c r="B51" i="25"/>
  <c r="A51" i="25"/>
  <c r="E50" i="25"/>
  <c r="D50" i="25"/>
  <c r="C50" i="25"/>
  <c r="D25" i="25"/>
  <c r="B50" i="25"/>
  <c r="A50" i="25"/>
  <c r="E49" i="25"/>
  <c r="D49" i="25"/>
  <c r="C49" i="25"/>
  <c r="D24" i="25"/>
  <c r="B49" i="25"/>
  <c r="A49" i="25"/>
  <c r="E48" i="25"/>
  <c r="D48" i="25"/>
  <c r="C48" i="25"/>
  <c r="D23" i="25"/>
  <c r="B48" i="25"/>
  <c r="A48" i="25"/>
  <c r="E47" i="25"/>
  <c r="D47" i="25"/>
  <c r="C47" i="25"/>
  <c r="D22" i="25"/>
  <c r="B47" i="25"/>
  <c r="A47" i="25"/>
  <c r="E46" i="25"/>
  <c r="D46" i="25"/>
  <c r="C46" i="25"/>
  <c r="D21" i="25"/>
  <c r="B46" i="25"/>
  <c r="A46" i="25"/>
  <c r="E45" i="25"/>
  <c r="D45" i="25"/>
  <c r="C45" i="25"/>
  <c r="D20" i="25"/>
  <c r="B45" i="25"/>
  <c r="A45" i="25"/>
  <c r="E44" i="25"/>
  <c r="D44" i="25"/>
  <c r="C44" i="25"/>
  <c r="D19" i="25"/>
  <c r="B44" i="25"/>
  <c r="A44" i="25"/>
  <c r="E43" i="25"/>
  <c r="D43" i="25"/>
  <c r="C43" i="25"/>
  <c r="D18" i="25"/>
  <c r="B43" i="25"/>
  <c r="A43" i="25"/>
  <c r="E42" i="25"/>
  <c r="D42" i="25"/>
  <c r="C42" i="25"/>
  <c r="D17" i="25"/>
  <c r="B42" i="25"/>
  <c r="A42" i="25"/>
  <c r="E41" i="25"/>
  <c r="D41" i="25"/>
  <c r="C41" i="25"/>
  <c r="D16" i="25"/>
  <c r="B41" i="25"/>
  <c r="A41" i="25"/>
  <c r="E40" i="25"/>
  <c r="D40" i="25"/>
  <c r="C40" i="25"/>
  <c r="D15" i="25"/>
  <c r="B40" i="25"/>
  <c r="A40" i="25"/>
  <c r="E39" i="25"/>
  <c r="D39" i="25"/>
  <c r="C39" i="25"/>
  <c r="D14" i="25"/>
  <c r="B39" i="25"/>
  <c r="A39" i="25"/>
  <c r="E38" i="25"/>
  <c r="D38" i="25"/>
  <c r="C38" i="25"/>
  <c r="D13" i="25"/>
  <c r="B38" i="25"/>
  <c r="A38" i="25"/>
  <c r="E37" i="25"/>
  <c r="D37" i="25"/>
  <c r="C37" i="25"/>
  <c r="D12" i="25"/>
  <c r="B37" i="25"/>
  <c r="A37" i="25"/>
  <c r="E36" i="25"/>
  <c r="D36" i="25"/>
  <c r="C36" i="25"/>
  <c r="D11" i="25"/>
  <c r="B36" i="25"/>
  <c r="A36" i="25"/>
  <c r="E35" i="25"/>
  <c r="D35" i="25"/>
  <c r="C35" i="25"/>
  <c r="D10" i="25"/>
  <c r="B35" i="25"/>
  <c r="A35" i="25"/>
  <c r="E29" i="25"/>
  <c r="E28" i="25"/>
  <c r="E27" i="25"/>
  <c r="E26" i="25"/>
  <c r="E25" i="25"/>
  <c r="E24" i="25"/>
  <c r="E23" i="25"/>
  <c r="E22" i="25"/>
  <c r="E21" i="25"/>
  <c r="E20" i="25"/>
  <c r="E19" i="25"/>
  <c r="E18" i="25"/>
  <c r="E17" i="25"/>
  <c r="E16" i="25"/>
  <c r="E15" i="25"/>
  <c r="E14" i="25"/>
  <c r="E13" i="25"/>
  <c r="E12" i="25"/>
  <c r="E11" i="25"/>
  <c r="E10" i="25"/>
  <c r="D13" i="24"/>
  <c r="C13" i="24"/>
  <c r="G35" i="20"/>
  <c r="G36" i="20"/>
  <c r="G37" i="20"/>
  <c r="G38" i="20"/>
  <c r="G39" i="20"/>
  <c r="G40" i="20"/>
  <c r="G41" i="20"/>
  <c r="G42" i="20"/>
  <c r="G43" i="20"/>
  <c r="G44" i="20"/>
  <c r="G45" i="20"/>
  <c r="G34" i="20"/>
  <c r="G23" i="20"/>
  <c r="G24" i="20"/>
  <c r="G25" i="20"/>
  <c r="G26" i="20"/>
  <c r="G27" i="20"/>
  <c r="G28" i="20"/>
  <c r="G29" i="20"/>
  <c r="G30" i="20"/>
  <c r="G31" i="20"/>
  <c r="G32" i="20"/>
  <c r="G33" i="20"/>
  <c r="G22" i="20"/>
  <c r="G11" i="20"/>
  <c r="G12" i="20"/>
  <c r="G13" i="20"/>
  <c r="G14" i="20"/>
  <c r="G15" i="20"/>
  <c r="G16" i="20"/>
  <c r="G17" i="20"/>
  <c r="G18" i="20"/>
  <c r="G19" i="20"/>
  <c r="G20" i="20"/>
  <c r="G21" i="20"/>
  <c r="H21" i="20"/>
  <c r="H45" i="20"/>
  <c r="H11" i="20"/>
  <c r="H35" i="20"/>
  <c r="H12" i="20"/>
  <c r="H36" i="20"/>
  <c r="H13" i="20"/>
  <c r="H37" i="20"/>
  <c r="H14" i="20"/>
  <c r="H38" i="20"/>
  <c r="H15" i="20"/>
  <c r="H39" i="20"/>
  <c r="H16" i="20"/>
  <c r="H40" i="20"/>
  <c r="H17" i="20"/>
  <c r="H41" i="20"/>
  <c r="H18" i="20"/>
  <c r="H42" i="20"/>
  <c r="H19" i="20"/>
  <c r="H43" i="20"/>
  <c r="H20" i="20"/>
  <c r="H44" i="20"/>
  <c r="H10" i="20"/>
  <c r="H34" i="20"/>
  <c r="H23" i="20"/>
  <c r="H24" i="20"/>
  <c r="H25" i="20"/>
  <c r="H26" i="20"/>
  <c r="H27" i="20"/>
  <c r="H28" i="20"/>
  <c r="H29" i="20"/>
  <c r="H30" i="20"/>
  <c r="H31" i="20"/>
  <c r="H32" i="20"/>
  <c r="H33" i="20"/>
  <c r="H22" i="20"/>
  <c r="G10" i="20"/>
  <c r="E21" i="20"/>
  <c r="F21" i="20"/>
  <c r="M52" i="20"/>
  <c r="E33" i="20"/>
  <c r="F33" i="20"/>
  <c r="M53" i="20"/>
  <c r="E45" i="20"/>
  <c r="F45" i="20"/>
  <c r="M54" i="20"/>
  <c r="M55" i="20"/>
  <c r="M58" i="20"/>
  <c r="E20" i="20"/>
  <c r="F20" i="20"/>
  <c r="L52" i="20"/>
  <c r="E32" i="20"/>
  <c r="F32" i="20"/>
  <c r="L53" i="20"/>
  <c r="E44" i="20"/>
  <c r="F44" i="20"/>
  <c r="L54" i="20"/>
  <c r="L55" i="20"/>
  <c r="L58" i="20"/>
  <c r="E19" i="20"/>
  <c r="F19" i="20"/>
  <c r="K52" i="20"/>
  <c r="E31" i="20"/>
  <c r="F31" i="20"/>
  <c r="K53" i="20"/>
  <c r="E43" i="20"/>
  <c r="F43" i="20"/>
  <c r="K54" i="20"/>
  <c r="K55" i="20"/>
  <c r="K58" i="20"/>
  <c r="E18" i="20"/>
  <c r="F18" i="20"/>
  <c r="J52" i="20"/>
  <c r="E30" i="20"/>
  <c r="F30" i="20"/>
  <c r="J53" i="20"/>
  <c r="E42" i="20"/>
  <c r="F42" i="20"/>
  <c r="J54" i="20"/>
  <c r="J55" i="20"/>
  <c r="J58" i="20"/>
  <c r="E17" i="20"/>
  <c r="F17" i="20"/>
  <c r="I52" i="20"/>
  <c r="E29" i="20"/>
  <c r="F29" i="20"/>
  <c r="I53" i="20"/>
  <c r="E41" i="20"/>
  <c r="F41" i="20"/>
  <c r="I54" i="20"/>
  <c r="I55" i="20"/>
  <c r="I58" i="20"/>
  <c r="E16" i="20"/>
  <c r="F16" i="20"/>
  <c r="H52" i="20"/>
  <c r="E28" i="20"/>
  <c r="F28" i="20"/>
  <c r="H53" i="20"/>
  <c r="E40" i="20"/>
  <c r="F40" i="20"/>
  <c r="H54" i="20"/>
  <c r="H55" i="20"/>
  <c r="H58" i="20"/>
  <c r="E15" i="20"/>
  <c r="F15" i="20"/>
  <c r="G52" i="20"/>
  <c r="E27" i="20"/>
  <c r="F27" i="20"/>
  <c r="G53" i="20"/>
  <c r="E39" i="20"/>
  <c r="F39" i="20"/>
  <c r="G54" i="20"/>
  <c r="G55" i="20"/>
  <c r="G58" i="20"/>
  <c r="E14" i="20"/>
  <c r="F14" i="20"/>
  <c r="F52" i="20"/>
  <c r="E26" i="20"/>
  <c r="F26" i="20"/>
  <c r="F53" i="20"/>
  <c r="E38" i="20"/>
  <c r="F38" i="20"/>
  <c r="F54" i="20"/>
  <c r="F55" i="20"/>
  <c r="F58" i="20"/>
  <c r="E13" i="20"/>
  <c r="F13" i="20"/>
  <c r="E52" i="20"/>
  <c r="E25" i="20"/>
  <c r="F25" i="20"/>
  <c r="E53" i="20"/>
  <c r="E37" i="20"/>
  <c r="F37" i="20"/>
  <c r="E54" i="20"/>
  <c r="E55" i="20"/>
  <c r="E58" i="20"/>
  <c r="E12" i="20"/>
  <c r="F12" i="20"/>
  <c r="D52" i="20"/>
  <c r="E24" i="20"/>
  <c r="F24" i="20"/>
  <c r="D53" i="20"/>
  <c r="E36" i="20"/>
  <c r="F36" i="20"/>
  <c r="D54" i="20"/>
  <c r="D55" i="20"/>
  <c r="D58" i="20"/>
  <c r="E11" i="20"/>
  <c r="F11" i="20"/>
  <c r="C52" i="20"/>
  <c r="E23" i="20"/>
  <c r="F23" i="20"/>
  <c r="C53" i="20"/>
  <c r="E35" i="20"/>
  <c r="F35" i="20"/>
  <c r="C54" i="20"/>
  <c r="C55" i="20"/>
  <c r="C58" i="20"/>
  <c r="F10" i="20"/>
  <c r="B52" i="20"/>
  <c r="E22" i="20"/>
  <c r="F22" i="20"/>
  <c r="B53" i="20"/>
  <c r="E34" i="20"/>
  <c r="F34" i="20"/>
  <c r="B54" i="20"/>
  <c r="B55" i="20"/>
  <c r="B58" i="20"/>
  <c r="H22" i="12"/>
  <c r="H23" i="12"/>
  <c r="H20" i="12"/>
  <c r="B18" i="12"/>
  <c r="B19" i="12"/>
  <c r="E10" i="12"/>
  <c r="F10" i="12"/>
  <c r="G10" i="12"/>
  <c r="I10" i="12"/>
  <c r="E11" i="12"/>
  <c r="F11" i="12"/>
  <c r="G11" i="12"/>
  <c r="I11" i="12"/>
  <c r="E12" i="12"/>
  <c r="F12" i="12"/>
  <c r="G12" i="12"/>
  <c r="I12" i="12"/>
  <c r="E13" i="12"/>
  <c r="F13" i="12"/>
  <c r="G13" i="12"/>
  <c r="I13" i="12"/>
  <c r="E14" i="12"/>
  <c r="F14" i="12"/>
  <c r="G14" i="12"/>
  <c r="I14" i="12"/>
  <c r="E15" i="12"/>
  <c r="F15" i="12"/>
  <c r="G15" i="12"/>
  <c r="I15" i="12"/>
  <c r="E16" i="12"/>
  <c r="F16" i="12"/>
  <c r="G16" i="12"/>
  <c r="I16" i="12"/>
  <c r="I18" i="12"/>
  <c r="H10" i="12"/>
  <c r="H11" i="12"/>
  <c r="H12" i="12"/>
  <c r="H13" i="12"/>
  <c r="H14" i="12"/>
  <c r="H15" i="12"/>
  <c r="H16" i="12"/>
  <c r="H18" i="12"/>
  <c r="G18" i="12"/>
  <c r="F18" i="12"/>
  <c r="I17" i="12"/>
  <c r="H17" i="12"/>
  <c r="G17" i="12"/>
  <c r="F17" i="12"/>
  <c r="F11" i="11"/>
  <c r="D12" i="11"/>
  <c r="E12" i="11"/>
  <c r="F12" i="11"/>
  <c r="D13" i="11"/>
  <c r="E13" i="11"/>
  <c r="F13" i="11"/>
  <c r="D14" i="11"/>
  <c r="E14" i="11"/>
  <c r="F14" i="11"/>
  <c r="D15" i="11"/>
  <c r="E15" i="11"/>
  <c r="F15" i="11"/>
  <c r="D16" i="11"/>
  <c r="E16" i="11"/>
  <c r="F16" i="11"/>
  <c r="D17" i="11"/>
  <c r="E17" i="11"/>
  <c r="F17" i="11"/>
  <c r="D18" i="11"/>
  <c r="E18" i="11"/>
  <c r="F18" i="11"/>
  <c r="D19" i="11"/>
  <c r="E19" i="11"/>
  <c r="F19" i="11"/>
  <c r="G19" i="11"/>
  <c r="G18" i="11"/>
  <c r="G17" i="11"/>
  <c r="G16" i="11"/>
  <c r="G15" i="11"/>
  <c r="G14" i="11"/>
  <c r="G13" i="11"/>
  <c r="G12" i="11"/>
  <c r="G11" i="11"/>
  <c r="D20" i="11"/>
  <c r="E20" i="11"/>
  <c r="F20" i="11"/>
  <c r="I12" i="11"/>
  <c r="I13" i="11"/>
  <c r="I14" i="11"/>
  <c r="I15" i="11"/>
  <c r="I16" i="11"/>
  <c r="I17" i="11"/>
  <c r="I18" i="11"/>
  <c r="I19" i="11"/>
  <c r="I11" i="11"/>
  <c r="I25" i="11"/>
  <c r="I21" i="11"/>
  <c r="I24" i="11"/>
  <c r="H11" i="11"/>
  <c r="J11" i="11"/>
  <c r="H12" i="11"/>
  <c r="J12" i="11"/>
  <c r="H13" i="11"/>
  <c r="J13" i="11"/>
  <c r="H14" i="11"/>
  <c r="J14" i="11"/>
  <c r="H15" i="11"/>
  <c r="J15" i="11"/>
  <c r="H16" i="11"/>
  <c r="J16" i="11"/>
  <c r="H17" i="11"/>
  <c r="J17" i="11"/>
  <c r="H18" i="11"/>
  <c r="J18" i="11"/>
  <c r="H19" i="11"/>
  <c r="J19" i="11"/>
  <c r="J22" i="11"/>
  <c r="I22" i="11"/>
  <c r="H22" i="11"/>
  <c r="G22" i="11"/>
  <c r="J21" i="11"/>
  <c r="H21" i="11"/>
  <c r="G21" i="11"/>
  <c r="C8" i="11"/>
  <c r="C7" i="11"/>
  <c r="E12" i="4"/>
  <c r="F12" i="4"/>
  <c r="H12" i="4"/>
  <c r="E13" i="4"/>
  <c r="F13" i="4"/>
  <c r="H13" i="4"/>
  <c r="E14" i="4"/>
  <c r="F14" i="4"/>
  <c r="H14" i="4"/>
  <c r="E15" i="4"/>
  <c r="F15" i="4"/>
  <c r="H15" i="4"/>
  <c r="E16" i="4"/>
  <c r="F16" i="4"/>
  <c r="H16" i="4"/>
  <c r="E17" i="4"/>
  <c r="F17" i="4"/>
  <c r="H17" i="4"/>
  <c r="E18" i="4"/>
  <c r="F18" i="4"/>
  <c r="H18" i="4"/>
  <c r="E19" i="4"/>
  <c r="F19" i="4"/>
  <c r="H19" i="4"/>
  <c r="E20" i="4"/>
  <c r="F20" i="4"/>
  <c r="H20" i="4"/>
  <c r="H25" i="4"/>
  <c r="H21" i="4"/>
  <c r="H24" i="4"/>
  <c r="G12" i="4"/>
  <c r="I12" i="4"/>
  <c r="G13" i="4"/>
  <c r="I13" i="4"/>
  <c r="G14" i="4"/>
  <c r="I14" i="4"/>
  <c r="G15" i="4"/>
  <c r="I15" i="4"/>
  <c r="G16" i="4"/>
  <c r="I16" i="4"/>
  <c r="G17" i="4"/>
  <c r="I17" i="4"/>
  <c r="G18" i="4"/>
  <c r="I18" i="4"/>
  <c r="G19" i="4"/>
  <c r="I19" i="4"/>
  <c r="G20" i="4"/>
  <c r="I20" i="4"/>
  <c r="I22" i="4"/>
  <c r="H22" i="4"/>
  <c r="G22" i="4"/>
  <c r="F22" i="4"/>
  <c r="I21" i="4"/>
  <c r="G21" i="4"/>
  <c r="F21" i="4"/>
  <c r="B25" i="4"/>
  <c r="B26" i="3"/>
  <c r="D13" i="3"/>
  <c r="G13" i="3"/>
  <c r="D14" i="3"/>
  <c r="E14" i="3"/>
  <c r="G14" i="3"/>
  <c r="D15" i="3"/>
  <c r="E15" i="3"/>
  <c r="G15" i="3"/>
  <c r="D16" i="3"/>
  <c r="E16" i="3"/>
  <c r="G16" i="3"/>
  <c r="D17" i="3"/>
  <c r="E17" i="3"/>
  <c r="G17" i="3"/>
  <c r="D18" i="3"/>
  <c r="E18" i="3"/>
  <c r="G18" i="3"/>
  <c r="D19" i="3"/>
  <c r="E19" i="3"/>
  <c r="G19" i="3"/>
  <c r="D20" i="3"/>
  <c r="E20" i="3"/>
  <c r="G20" i="3"/>
  <c r="D21" i="3"/>
  <c r="E21" i="3"/>
  <c r="G21" i="3"/>
  <c r="G22" i="3"/>
  <c r="G25" i="3"/>
  <c r="G26" i="3"/>
  <c r="F13" i="3"/>
  <c r="F14" i="3"/>
  <c r="H14" i="3"/>
  <c r="F15" i="3"/>
  <c r="H15" i="3"/>
  <c r="F16" i="3"/>
  <c r="H16" i="3"/>
  <c r="F17" i="3"/>
  <c r="H17" i="3"/>
  <c r="F18" i="3"/>
  <c r="H18" i="3"/>
  <c r="F19" i="3"/>
  <c r="H19" i="3"/>
  <c r="F20" i="3"/>
  <c r="H20" i="3"/>
  <c r="F21" i="3"/>
  <c r="H21" i="3"/>
  <c r="H23" i="3"/>
  <c r="G23" i="3"/>
  <c r="F23" i="3"/>
  <c r="E23" i="3"/>
  <c r="H22" i="3"/>
  <c r="F22" i="3"/>
  <c r="E22" i="3"/>
  <c r="D62" i="51" a="1"/>
  <c r="D62" i="51"/>
  <c r="D64" i="51"/>
  <c r="E58" i="51"/>
  <c r="D63" i="51"/>
  <c r="C27" i="51"/>
  <c r="D65" i="51"/>
  <c r="E55" i="51"/>
  <c r="E54" i="51"/>
  <c r="E53" i="51"/>
  <c r="E52" i="51"/>
  <c r="E51" i="51"/>
  <c r="E50" i="51"/>
  <c r="E49" i="51"/>
  <c r="E48" i="51"/>
  <c r="E47" i="51"/>
  <c r="E59" i="51" a="1"/>
  <c r="E59" i="51"/>
  <c r="E61" i="51"/>
  <c r="D26" i="51"/>
  <c r="E60" i="51"/>
  <c r="E62" i="51" a="1"/>
  <c r="E62" i="51"/>
  <c r="E64" i="51"/>
  <c r="F58" i="51"/>
  <c r="E63" i="51"/>
  <c r="D27" i="51"/>
  <c r="E65" i="51"/>
  <c r="F55" i="51"/>
  <c r="F54" i="51"/>
  <c r="F53" i="51"/>
  <c r="F52" i="51"/>
  <c r="F51" i="51"/>
  <c r="F50" i="51"/>
  <c r="F49" i="51"/>
  <c r="F48" i="51"/>
  <c r="F47" i="51"/>
  <c r="C28" i="51"/>
  <c r="F59" i="51" a="1"/>
  <c r="F59" i="51"/>
  <c r="F61" i="51"/>
  <c r="E26" i="51"/>
  <c r="D28" i="51"/>
  <c r="F60" i="51"/>
  <c r="F62" i="51" a="1"/>
  <c r="F62" i="51"/>
  <c r="F64" i="51"/>
  <c r="G58" i="51"/>
  <c r="F63" i="51"/>
  <c r="E27" i="51"/>
  <c r="F65" i="51"/>
  <c r="G47" i="51"/>
  <c r="G48" i="51"/>
  <c r="G49" i="51"/>
  <c r="G50" i="51"/>
  <c r="G51" i="51"/>
  <c r="G52" i="51"/>
  <c r="G53" i="51"/>
  <c r="G54" i="51"/>
  <c r="G55" i="51"/>
  <c r="C105" i="51" a="1"/>
  <c r="C105" i="51"/>
  <c r="D105" i="51"/>
  <c r="E105" i="51"/>
  <c r="F105" i="51"/>
  <c r="G105" i="51"/>
  <c r="H105" i="51"/>
  <c r="I105" i="51"/>
  <c r="J105" i="51"/>
  <c r="K105" i="51"/>
  <c r="C106" i="51"/>
  <c r="D106" i="51"/>
  <c r="E106" i="51"/>
  <c r="F106" i="51"/>
  <c r="G106" i="51"/>
  <c r="H106" i="51"/>
  <c r="I106" i="51"/>
  <c r="J106" i="51"/>
  <c r="K106" i="51"/>
  <c r="C107" i="51"/>
  <c r="D107" i="51"/>
  <c r="E107" i="51"/>
  <c r="F107" i="51"/>
  <c r="G107" i="51"/>
  <c r="H107" i="51"/>
  <c r="I107" i="51"/>
  <c r="J107" i="51"/>
  <c r="K107" i="51"/>
  <c r="C108" i="51"/>
  <c r="D108" i="51"/>
  <c r="E108" i="51"/>
  <c r="F108" i="51"/>
  <c r="G108" i="51"/>
  <c r="H108" i="51"/>
  <c r="I108" i="51"/>
  <c r="J108" i="51"/>
  <c r="K108" i="51"/>
  <c r="C109" i="51"/>
  <c r="D109" i="51"/>
  <c r="E109" i="51"/>
  <c r="F109" i="51"/>
  <c r="G109" i="51"/>
  <c r="H109" i="51"/>
  <c r="I109" i="51"/>
  <c r="J109" i="51"/>
  <c r="K109" i="51"/>
  <c r="C110" i="51"/>
  <c r="D110" i="51"/>
  <c r="E110" i="51"/>
  <c r="F110" i="51"/>
  <c r="G110" i="51"/>
  <c r="H110" i="51"/>
  <c r="I110" i="51"/>
  <c r="J110" i="51"/>
  <c r="K110" i="51"/>
  <c r="C111" i="51"/>
  <c r="D111" i="51"/>
  <c r="E111" i="51"/>
  <c r="F111" i="51"/>
  <c r="G111" i="51"/>
  <c r="H111" i="51"/>
  <c r="I111" i="51"/>
  <c r="J111" i="51"/>
  <c r="K111" i="51"/>
  <c r="C112" i="51"/>
  <c r="D112" i="51"/>
  <c r="E112" i="51"/>
  <c r="F112" i="51"/>
  <c r="G112" i="51"/>
  <c r="H112" i="51"/>
  <c r="I112" i="51"/>
  <c r="J112" i="51"/>
  <c r="K112" i="51"/>
  <c r="C113" i="51"/>
  <c r="D113" i="51"/>
  <c r="E113" i="51"/>
  <c r="F113" i="51"/>
  <c r="G113" i="51"/>
  <c r="H113" i="51"/>
  <c r="I113" i="51"/>
  <c r="J113" i="51"/>
  <c r="K113" i="51"/>
  <c r="C116" i="51" a="1"/>
  <c r="C124" i="51"/>
  <c r="D124" i="51"/>
  <c r="E124" i="51"/>
  <c r="F124" i="51"/>
  <c r="G124" i="51"/>
  <c r="H124" i="51"/>
  <c r="I124" i="51"/>
  <c r="J124" i="51"/>
  <c r="K124" i="51"/>
  <c r="L124" i="51"/>
  <c r="H23" i="51"/>
  <c r="K23" i="51"/>
  <c r="C123" i="51"/>
  <c r="D123" i="51"/>
  <c r="E123" i="51"/>
  <c r="F123" i="51"/>
  <c r="G123" i="51"/>
  <c r="H123" i="51"/>
  <c r="I123" i="51"/>
  <c r="J123" i="51"/>
  <c r="K123" i="51"/>
  <c r="L123" i="51"/>
  <c r="H22" i="51"/>
  <c r="K22" i="51"/>
  <c r="C122" i="51"/>
  <c r="D122" i="51"/>
  <c r="E122" i="51"/>
  <c r="F122" i="51"/>
  <c r="G122" i="51"/>
  <c r="H122" i="51"/>
  <c r="I122" i="51"/>
  <c r="J122" i="51"/>
  <c r="K122" i="51"/>
  <c r="L122" i="51"/>
  <c r="H21" i="51"/>
  <c r="K21" i="51"/>
  <c r="C121" i="51"/>
  <c r="D121" i="51"/>
  <c r="E121" i="51"/>
  <c r="F121" i="51"/>
  <c r="G121" i="51"/>
  <c r="H121" i="51"/>
  <c r="I121" i="51"/>
  <c r="J121" i="51"/>
  <c r="K121" i="51"/>
  <c r="L121" i="51"/>
  <c r="H20" i="51"/>
  <c r="K20" i="51"/>
  <c r="C120" i="51"/>
  <c r="D120" i="51"/>
  <c r="E120" i="51"/>
  <c r="F120" i="51"/>
  <c r="G120" i="51"/>
  <c r="H120" i="51"/>
  <c r="I120" i="51"/>
  <c r="J120" i="51"/>
  <c r="K120" i="51"/>
  <c r="L120" i="51"/>
  <c r="H19" i="51"/>
  <c r="K19" i="51"/>
  <c r="C119" i="51"/>
  <c r="D119" i="51"/>
  <c r="E119" i="51"/>
  <c r="F119" i="51"/>
  <c r="G119" i="51"/>
  <c r="H119" i="51"/>
  <c r="I119" i="51"/>
  <c r="J119" i="51"/>
  <c r="K119" i="51"/>
  <c r="L119" i="51"/>
  <c r="H18" i="51"/>
  <c r="K18" i="51"/>
  <c r="C118" i="51"/>
  <c r="D118" i="51"/>
  <c r="E118" i="51"/>
  <c r="F118" i="51"/>
  <c r="G118" i="51"/>
  <c r="H118" i="51"/>
  <c r="I118" i="51"/>
  <c r="J118" i="51"/>
  <c r="K118" i="51"/>
  <c r="L118" i="51"/>
  <c r="H17" i="51"/>
  <c r="K17" i="51"/>
  <c r="C117" i="51"/>
  <c r="D117" i="51"/>
  <c r="E117" i="51"/>
  <c r="F117" i="51"/>
  <c r="G117" i="51"/>
  <c r="H117" i="51"/>
  <c r="I117" i="51"/>
  <c r="J117" i="51"/>
  <c r="K117" i="51"/>
  <c r="L117" i="51"/>
  <c r="H16" i="51"/>
  <c r="K16" i="51"/>
  <c r="K116" i="51"/>
  <c r="J116" i="51"/>
  <c r="I116" i="51"/>
  <c r="H116" i="51"/>
  <c r="G116" i="51"/>
  <c r="F116" i="51"/>
  <c r="E116" i="51"/>
  <c r="D116" i="51"/>
  <c r="C116" i="51"/>
  <c r="L116" i="51"/>
  <c r="H15" i="51"/>
  <c r="K15" i="51"/>
  <c r="M116" i="51" a="1"/>
  <c r="M116" i="51"/>
  <c r="I15" i="51"/>
  <c r="M117" i="51" a="1"/>
  <c r="M117" i="51"/>
  <c r="I16" i="51"/>
  <c r="M118" i="51" a="1"/>
  <c r="M118" i="51"/>
  <c r="I17" i="51"/>
  <c r="M119" i="51" a="1"/>
  <c r="M119" i="51"/>
  <c r="I18" i="51"/>
  <c r="M120" i="51" a="1"/>
  <c r="M120" i="51"/>
  <c r="I19" i="51"/>
  <c r="M121" i="51" a="1"/>
  <c r="M121" i="51"/>
  <c r="I20" i="51"/>
  <c r="M122" i="51" a="1"/>
  <c r="M122" i="51"/>
  <c r="I21" i="51"/>
  <c r="M123" i="51" a="1"/>
  <c r="M123" i="51"/>
  <c r="I22" i="51"/>
  <c r="M124" i="51" a="1"/>
  <c r="M124" i="51"/>
  <c r="I23" i="51"/>
  <c r="G59" i="51" a="1"/>
  <c r="G59" i="51"/>
  <c r="G60" i="51"/>
  <c r="G62" i="51" a="1"/>
  <c r="G62" i="51"/>
  <c r="G64" i="51"/>
  <c r="H58" i="51"/>
  <c r="G61" i="51"/>
  <c r="F26" i="51"/>
  <c r="G63" i="51"/>
  <c r="H55" i="51"/>
  <c r="H47" i="51"/>
  <c r="H48" i="51"/>
  <c r="H49" i="51"/>
  <c r="H50" i="51"/>
  <c r="H51" i="51"/>
  <c r="H52" i="51"/>
  <c r="H53" i="51"/>
  <c r="H54" i="51"/>
  <c r="G65" i="51"/>
  <c r="F27" i="51"/>
  <c r="E28" i="51"/>
  <c r="H59" i="51" a="1"/>
  <c r="H59" i="51"/>
  <c r="H61" i="51"/>
  <c r="G26" i="51"/>
  <c r="F28" i="51"/>
  <c r="H60" i="51"/>
  <c r="H62" i="51" a="1"/>
  <c r="H62" i="51"/>
  <c r="H64" i="51"/>
  <c r="I58" i="51"/>
  <c r="H63" i="51"/>
  <c r="I54" i="51"/>
  <c r="I53" i="51"/>
  <c r="I52" i="51"/>
  <c r="I51" i="51"/>
  <c r="I50" i="51"/>
  <c r="I49" i="51"/>
  <c r="I48" i="51"/>
  <c r="I47" i="51"/>
  <c r="I55" i="51"/>
  <c r="H65" i="51"/>
  <c r="G27" i="51"/>
  <c r="I59" i="51" a="1"/>
  <c r="I59" i="51"/>
  <c r="I60" i="51"/>
  <c r="I62" i="51" a="1"/>
  <c r="I62" i="51"/>
  <c r="I64" i="51"/>
  <c r="J58" i="51"/>
  <c r="I61" i="51"/>
  <c r="H26" i="51"/>
  <c r="I63" i="51"/>
  <c r="J55" i="51"/>
  <c r="J47" i="51"/>
  <c r="J48" i="51"/>
  <c r="J49" i="51"/>
  <c r="J50" i="51"/>
  <c r="J51" i="51"/>
  <c r="J52" i="51"/>
  <c r="J53" i="51"/>
  <c r="J54" i="51"/>
  <c r="I65" i="51"/>
  <c r="H27" i="51"/>
  <c r="G29" i="51"/>
  <c r="G28" i="51"/>
  <c r="J59" i="51" a="1"/>
  <c r="J59" i="51"/>
  <c r="J61" i="51"/>
  <c r="I26" i="51"/>
  <c r="H28" i="51"/>
  <c r="J60" i="51"/>
  <c r="J62" i="51" a="1"/>
  <c r="J62" i="51"/>
  <c r="J64" i="51"/>
  <c r="K58" i="51"/>
  <c r="J63" i="51"/>
  <c r="K54" i="51"/>
  <c r="K53" i="51"/>
  <c r="K52" i="51"/>
  <c r="K51" i="51"/>
  <c r="K50" i="51"/>
  <c r="K49" i="51"/>
  <c r="K48" i="51"/>
  <c r="K47" i="51"/>
  <c r="K55" i="51"/>
  <c r="J65" i="51"/>
  <c r="I27" i="51"/>
  <c r="H29" i="51"/>
  <c r="K59" i="51" a="1"/>
  <c r="K59" i="51"/>
  <c r="K60" i="51"/>
  <c r="K62" i="51" a="1"/>
  <c r="K62" i="51"/>
  <c r="K64" i="51"/>
  <c r="L58" i="51"/>
  <c r="K61" i="51"/>
  <c r="J26" i="51"/>
  <c r="K63" i="51"/>
  <c r="L55" i="51"/>
  <c r="L47" i="51"/>
  <c r="L48" i="51"/>
  <c r="L49" i="51"/>
  <c r="L50" i="51"/>
  <c r="L51" i="51"/>
  <c r="L52" i="51"/>
  <c r="L53" i="51"/>
  <c r="L54" i="51"/>
  <c r="K65" i="51"/>
  <c r="J27" i="51"/>
  <c r="I28" i="51"/>
  <c r="L59" i="51" a="1"/>
  <c r="L59" i="51"/>
  <c r="L61" i="51"/>
  <c r="K26" i="51"/>
  <c r="J28" i="51"/>
  <c r="L60" i="51"/>
  <c r="L62" i="51" a="1"/>
  <c r="L62" i="51"/>
  <c r="L64" i="51"/>
  <c r="L65" i="51"/>
  <c r="K28" i="51"/>
  <c r="E38" i="51"/>
  <c r="E36" i="51"/>
  <c r="E39" i="51"/>
  <c r="E41" i="51"/>
  <c r="E42" i="51"/>
  <c r="E40" i="51"/>
  <c r="L28" i="51"/>
  <c r="D29" i="51"/>
  <c r="C29" i="51"/>
  <c r="M28" i="51"/>
  <c r="E29" i="51"/>
  <c r="F29" i="51"/>
  <c r="I29" i="51"/>
  <c r="J29" i="51"/>
  <c r="K29" i="51"/>
  <c r="M29" i="51"/>
  <c r="L29" i="51"/>
  <c r="F10" i="51"/>
  <c r="L63" i="51"/>
  <c r="M47" i="51"/>
  <c r="M48" i="51"/>
  <c r="M49" i="51"/>
  <c r="M50" i="51"/>
  <c r="M51" i="51"/>
  <c r="M52" i="51"/>
  <c r="M53" i="51"/>
  <c r="M54" i="51"/>
  <c r="M55" i="51"/>
  <c r="K27" i="51"/>
  <c r="F30" i="80"/>
  <c r="F31" i="80"/>
  <c r="F40" i="80"/>
</calcChain>
</file>

<file path=xl/comments1.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8" authorId="0">
      <text>
        <r>
          <rPr>
            <sz val="9"/>
            <color indexed="81"/>
            <rFont val="Calibri"/>
            <family val="2"/>
          </rPr>
          <t>Forecasting: Submodel =  11; Problem size @  12 by 3</t>
        </r>
      </text>
    </comment>
  </commentList>
</comments>
</file>

<file path=xl/comments2.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7" authorId="0">
      <text>
        <r>
          <rPr>
            <sz val="9"/>
            <color indexed="81"/>
            <rFont val="Calibri"/>
            <family val="2"/>
          </rPr>
          <t>Forecasting: Submodel =  12; Problem size @  12 by 3</t>
        </r>
      </text>
    </comment>
  </commentList>
</comments>
</file>

<file path=xl/comments3.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8" authorId="0">
      <text>
        <r>
          <rPr>
            <sz val="9"/>
            <color indexed="81"/>
            <rFont val="Calibri"/>
            <family val="2"/>
          </rPr>
          <t>Forecasting: Submodel =  13; Problem size @  1 by 1</t>
        </r>
      </text>
    </comment>
  </commentList>
</comments>
</file>

<file path=xl/comments4.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9" authorId="0">
      <text>
        <r>
          <rPr>
            <sz val="9"/>
            <color indexed="81"/>
            <rFont val="Calibri"/>
            <family val="2"/>
          </rPr>
          <t>Forecasting: Submodel =  14; Problem size @  9 by 1</t>
        </r>
      </text>
    </comment>
  </commentList>
</comments>
</file>

<file path=xl/comments5.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8" authorId="0">
      <text>
        <r>
          <rPr>
            <sz val="12"/>
            <color theme="1"/>
            <rFont val="Calibri"/>
            <family val="2"/>
            <scheme val="minor"/>
          </rPr>
          <t>Forecasting: Submodel =  14; Problem size @  7 by 1</t>
        </r>
      </text>
    </comment>
  </commentList>
</comments>
</file>

<file path=xl/comments6.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8" authorId="0">
      <text>
        <r>
          <rPr>
            <sz val="12"/>
            <color theme="1"/>
            <rFont val="Calibri"/>
            <family val="2"/>
            <scheme val="minor"/>
          </rPr>
          <t>Forecasting: Submodel =  15; Problem size @  6 by 2</t>
        </r>
      </text>
    </comment>
  </commentList>
</comments>
</file>

<file path=xl/comments7.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8" authorId="0">
      <text>
        <r>
          <rPr>
            <sz val="12"/>
            <color theme="1"/>
            <rFont val="Calibri"/>
            <family val="2"/>
            <scheme val="minor"/>
          </rPr>
          <t>Forecasting: Submodel =  2; Problem size @  36 by 12</t>
        </r>
      </text>
    </comment>
  </commentList>
</comments>
</file>

<file path=xl/comments8.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6" authorId="0">
      <text>
        <r>
          <rPr>
            <sz val="9"/>
            <color indexed="81"/>
            <rFont val="Calibri"/>
            <family val="2"/>
          </rPr>
          <t>Forecasting: Submodel =  3; Problem size @  2 by 2</t>
        </r>
      </text>
    </comment>
  </commentList>
</comments>
</file>

<file path=xl/comments9.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8" authorId="0">
      <text>
        <r>
          <rPr>
            <sz val="12"/>
            <color theme="1"/>
            <rFont val="Calibri"/>
            <family val="2"/>
            <scheme val="minor"/>
          </rPr>
          <t>Forecasting: Submodel =  4; Problem size @  6 by 0</t>
        </r>
      </text>
    </comment>
  </commentList>
</comments>
</file>

<file path=xl/comments10.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8" authorId="0">
      <text>
        <r>
          <rPr>
            <sz val="12"/>
            <color theme="1"/>
            <rFont val="Calibri"/>
            <family val="2"/>
            <scheme val="minor"/>
          </rPr>
          <t>Quality Control: Submodel =  4; Problem size @  20 by 1</t>
        </r>
      </text>
    </comment>
  </commentList>
</comments>
</file>

<file path=xl/comments11.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8" authorId="0">
      <text>
        <r>
          <rPr>
            <sz val="9"/>
            <color indexed="81"/>
            <rFont val="Calibri"/>
            <family val="2"/>
          </rPr>
          <t>Quality Control: Submodel =  5; Problem size @  5 by 4</t>
        </r>
      </text>
    </comment>
  </commentList>
</comments>
</file>

<file path=xl/comments12.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8" authorId="0">
      <text>
        <r>
          <rPr>
            <sz val="12"/>
            <color theme="1"/>
            <rFont val="Calibri"/>
            <family val="2"/>
            <scheme val="minor"/>
          </rPr>
          <t>Quality Control: Submodel =  6; Problem size @  9 by 1</t>
        </r>
      </text>
    </comment>
  </commentList>
</comments>
</file>

<file path=xl/comments13.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7" authorId="0">
      <text>
        <r>
          <rPr>
            <sz val="9"/>
            <color indexed="81"/>
            <rFont val="Calibri"/>
            <family val="2"/>
          </rPr>
          <t>Quality Control: Submodel =  4; Problem size @  4 by 2</t>
        </r>
      </text>
    </comment>
  </commentList>
</comments>
</file>

<file path=xl/comments14.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8" authorId="0">
      <text>
        <r>
          <rPr>
            <sz val="12"/>
            <color theme="1"/>
            <rFont val="Calibri"/>
            <family val="2"/>
            <scheme val="minor"/>
          </rPr>
          <t>Breakeven Analysis: Submodel =  0; Problem size @  1 by 3</t>
        </r>
      </text>
    </comment>
  </commentList>
</comments>
</file>

<file path=xl/comments15.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8" authorId="0">
      <text>
        <r>
          <rPr>
            <sz val="12"/>
            <color theme="1"/>
            <rFont val="Calibri"/>
            <family val="2"/>
            <scheme val="minor"/>
          </rPr>
          <t>Breakeven Analysis: Submodel =  0; Problem size @  2 by 2</t>
        </r>
      </text>
    </comment>
  </commentList>
</comments>
</file>

<file path=xl/comments16.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6" authorId="0">
      <text>
        <r>
          <rPr>
            <sz val="12"/>
            <color theme="1"/>
            <rFont val="Calibri"/>
            <family val="2"/>
            <scheme val="minor"/>
          </rPr>
          <t>Factor rating: Submodel =  0; Problem size @  5 by 2</t>
        </r>
      </text>
    </comment>
  </commentList>
</comments>
</file>

<file path=xl/comments17.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6" authorId="0">
      <text>
        <r>
          <rPr>
            <sz val="12"/>
            <color theme="1"/>
            <rFont val="Calibri"/>
            <family val="2"/>
            <scheme val="minor"/>
          </rPr>
          <t>Location: Submodel =  3; Problem size @  4 by 3</t>
        </r>
      </text>
    </comment>
  </commentList>
</comments>
</file>

<file path=xl/comments18.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8" authorId="0">
      <text>
        <r>
          <rPr>
            <sz val="12"/>
            <color theme="1"/>
            <rFont val="Calibri"/>
            <family val="2"/>
            <scheme val="minor"/>
          </rPr>
          <t>Location: Submodel =  4; Problem size @  1 by 3</t>
        </r>
      </text>
    </comment>
  </commentList>
</comments>
</file>

<file path=xl/comments19.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6" authorId="0">
      <text>
        <r>
          <rPr>
            <sz val="12"/>
            <color theme="1"/>
            <rFont val="Calibri"/>
            <family val="2"/>
            <scheme val="minor"/>
          </rPr>
          <t>Layout: Submodel =  0; Problem size @  6 by 6</t>
        </r>
      </text>
    </comment>
  </commentList>
</comments>
</file>

<file path=xl/comments20.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6" authorId="0">
      <text>
        <r>
          <rPr>
            <sz val="12"/>
            <color theme="1"/>
            <rFont val="Calibri"/>
            <family val="2"/>
            <scheme val="minor"/>
          </rPr>
          <t>Layout: Submodel =  0; Problem size @  6 by 6</t>
        </r>
      </text>
    </comment>
  </commentList>
</comments>
</file>

<file path=xl/comments21.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11" authorId="0">
      <text>
        <r>
          <rPr>
            <sz val="12"/>
            <color theme="1"/>
            <rFont val="Calibri"/>
            <family val="2"/>
            <scheme val="minor"/>
          </rPr>
          <t>Assembly Line Balancing: Submodel =  0; Problem size @  9 by 0</t>
        </r>
      </text>
    </comment>
  </commentList>
</comments>
</file>

<file path=xl/comments22.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8" authorId="0">
      <text>
        <r>
          <rPr>
            <sz val="9"/>
            <color indexed="81"/>
            <rFont val="Calibri"/>
            <family val="2"/>
          </rPr>
          <t>Work Measurement: Submodel =  1; Problem size @  3 by 5</t>
        </r>
      </text>
    </comment>
  </commentList>
</comments>
</file>

<file path=xl/comments23.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List>
</comments>
</file>

<file path=xl/comments24.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B6" authorId="0">
      <text>
        <r>
          <rPr>
            <sz val="12"/>
            <color theme="1"/>
            <rFont val="Calibri"/>
            <family val="2"/>
            <scheme val="minor"/>
          </rPr>
          <t>Inventory: Submodel =  4; Problem size @  10 by 2</t>
        </r>
      </text>
    </comment>
  </commentList>
</comments>
</file>

<file path=xl/comments25.xml><?xml version="1.0" encoding="utf-8"?>
<comments xmlns="http://schemas.openxmlformats.org/spreadsheetml/2006/main">
  <authors>
    <author>Chittampalli Yashaswini</author>
    <author>Howard Weiss</author>
  </authors>
  <commentList>
    <comment ref="A1" authorId="0">
      <text>
        <r>
          <rPr>
            <sz val="9"/>
            <color indexed="81"/>
            <rFont val="Calibri"/>
            <family val="2"/>
          </rPr>
          <t>Created by Excel OM/QM version 5.2.082</t>
        </r>
      </text>
    </comment>
    <comment ref="A7" authorId="1">
      <text>
        <r>
          <rPr>
            <sz val="9"/>
            <color indexed="81"/>
            <rFont val="Tahoma"/>
            <family val="2"/>
          </rPr>
          <t>Inventory: Submodel =  0; Problem size @  4 by 2</t>
        </r>
      </text>
    </comment>
  </commentList>
</comments>
</file>

<file path=xl/comments26.xml><?xml version="1.0" encoding="utf-8"?>
<comments xmlns="http://schemas.openxmlformats.org/spreadsheetml/2006/main">
  <authors>
    <author>Chittampalli Yashaswini</author>
    <author>Howard Weiss</author>
  </authors>
  <commentList>
    <comment ref="A1" authorId="0">
      <text>
        <r>
          <rPr>
            <sz val="9"/>
            <color indexed="81"/>
            <rFont val="Calibri"/>
            <family val="2"/>
          </rPr>
          <t>Created by Excel OM/QM version 5.2.082</t>
        </r>
      </text>
    </comment>
    <comment ref="A7" authorId="1">
      <text>
        <r>
          <rPr>
            <sz val="9"/>
            <color indexed="81"/>
            <rFont val="Tahoma"/>
            <family val="2"/>
          </rPr>
          <t>Inventory: Submodel =  0; Problem size @  4 by 2</t>
        </r>
      </text>
    </comment>
  </commentList>
</comments>
</file>

<file path=xl/comments27.xml><?xml version="1.0" encoding="utf-8"?>
<comments xmlns="http://schemas.openxmlformats.org/spreadsheetml/2006/main">
  <authors>
    <author>Chittampalli Yashaswini</author>
    <author>Howard Weiss</author>
  </authors>
  <commentList>
    <comment ref="A1" authorId="0">
      <text>
        <r>
          <rPr>
            <sz val="9"/>
            <color indexed="81"/>
            <rFont val="Calibri"/>
            <family val="2"/>
          </rPr>
          <t>Created by Excel OM/QM version 5.2.082</t>
        </r>
      </text>
    </comment>
    <comment ref="A7" authorId="1">
      <text>
        <r>
          <rPr>
            <sz val="9"/>
            <color indexed="81"/>
            <rFont val="Tahoma"/>
            <family val="2"/>
          </rPr>
          <t>Inventory: Submodel =  0; Problem size @  2 by 2</t>
        </r>
      </text>
    </comment>
  </commentList>
</comments>
</file>

<file path=xl/comments28.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7" authorId="0">
      <text>
        <r>
          <rPr>
            <sz val="12"/>
            <color theme="1"/>
            <rFont val="Calibri"/>
            <family val="2"/>
            <scheme val="minor"/>
          </rPr>
          <t>Inventory: Submodel =  5; Problem size @  3 by 5</t>
        </r>
      </text>
    </comment>
  </commentList>
</comments>
</file>

<file path=xl/comments29.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6" authorId="0">
      <text>
        <r>
          <rPr>
            <sz val="12"/>
            <color theme="1"/>
            <rFont val="Calibri"/>
            <family val="2"/>
            <scheme val="minor"/>
          </rPr>
          <t>Inventory: Submodel =  8; Problem size @  5 by 0</t>
        </r>
      </text>
    </comment>
  </commentList>
</comments>
</file>

<file path=xl/comments30.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List>
</comments>
</file>

<file path=xl/comments31.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14" authorId="0">
      <text>
        <r>
          <rPr>
            <sz val="12"/>
            <color theme="1"/>
            <rFont val="Calibri"/>
            <family val="2"/>
            <scheme val="minor"/>
          </rPr>
          <t>Aggregate Planning: Submodel =  2; Problem size @  10 by 4</t>
        </r>
      </text>
    </comment>
  </commentList>
</comments>
</file>

<file path=xl/comments32.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14" authorId="0">
      <text>
        <r>
          <rPr>
            <sz val="12"/>
            <color theme="1"/>
            <rFont val="Calibri"/>
            <family val="2"/>
            <scheme val="minor"/>
          </rPr>
          <t>Aggregate Planning: Submodel =  2; Problem size @  10 by 4</t>
        </r>
      </text>
    </comment>
  </commentList>
</comments>
</file>

<file path=xl/comments33.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List>
</comments>
</file>

<file path=xl/comments34.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B12" authorId="0">
      <text>
        <r>
          <rPr>
            <sz val="12"/>
            <color theme="1"/>
            <rFont val="Calibri"/>
            <family val="2"/>
            <scheme val="minor"/>
          </rPr>
          <t>Lot sizing: Submodel =  0; Problem size @  10 by 0</t>
        </r>
      </text>
    </comment>
  </commentList>
</comments>
</file>

<file path=xl/comments35.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8" authorId="0">
      <text>
        <r>
          <rPr>
            <sz val="9"/>
            <color indexed="81"/>
            <rFont val="Calibri"/>
            <family val="2"/>
          </rPr>
          <t>Assignment: Submodel =  0; Problem size @  3 by 3</t>
        </r>
      </text>
    </comment>
  </commentList>
</comments>
</file>

<file path=xl/comments36.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7" authorId="0">
      <text>
        <r>
          <rPr>
            <sz val="9"/>
            <color indexed="81"/>
            <rFont val="Calibri"/>
            <family val="2"/>
          </rPr>
          <t>Jobshop sequencing: Submodel =  1; Problem size @  5 by 3</t>
        </r>
      </text>
    </comment>
  </commentList>
</comments>
</file>

<file path=xl/comments37.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7" authorId="0">
      <text>
        <r>
          <rPr>
            <sz val="9"/>
            <color indexed="81"/>
            <rFont val="Calibri"/>
            <family val="2"/>
          </rPr>
          <t>Jobshop sequencing: Submodel =  2; Problem size @  5 by 2</t>
        </r>
      </text>
    </comment>
  </commentList>
</comments>
</file>

<file path=xl/comments38.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7" authorId="0">
      <text>
        <r>
          <rPr>
            <sz val="9"/>
            <color indexed="81"/>
            <rFont val="Calibri"/>
            <family val="2"/>
          </rPr>
          <t>Kanban: Submodel =  0; Problem size @  5 by 0</t>
        </r>
      </text>
    </comment>
  </commentList>
</comments>
</file>

<file path=xl/comments39.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List>
</comments>
</file>

<file path=xl/comments40.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6" authorId="0">
      <text>
        <r>
          <rPr>
            <sz val="9"/>
            <color indexed="81"/>
            <rFont val="Calibri"/>
            <family val="2"/>
          </rPr>
          <t>Reliability: Submodel =  0; Problem size @  1 by 3</t>
        </r>
      </text>
    </comment>
  </commentList>
</comments>
</file>

<file path=xl/comments41.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6" authorId="0">
      <text>
        <r>
          <rPr>
            <sz val="9"/>
            <color indexed="81"/>
            <rFont val="Calibri"/>
            <family val="2"/>
          </rPr>
          <t>Statistics: Submodel =  0; Problem size @  4 by 2</t>
        </r>
      </text>
    </comment>
  </commentList>
</comments>
</file>

<file path=xl/comments42.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6" authorId="0">
      <text>
        <r>
          <rPr>
            <sz val="9"/>
            <color indexed="81"/>
            <rFont val="Calibri"/>
            <family val="2"/>
          </rPr>
          <t>Decision Tables: Submodel =  0; Problem size @  3 by 2</t>
        </r>
      </text>
    </comment>
  </commentList>
</comments>
</file>

<file path=xl/comments43.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10" authorId="0">
      <text>
        <r>
          <rPr>
            <sz val="9"/>
            <color indexed="81"/>
            <rFont val="Calibri"/>
            <family val="2"/>
          </rPr>
          <t>Linear Programming: Submodel =  0; Problem size @  3 by 2</t>
        </r>
      </text>
    </comment>
  </commentList>
</comments>
</file>

<file path=xl/comments44.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8" authorId="0">
      <text>
        <r>
          <rPr>
            <sz val="9"/>
            <color indexed="81"/>
            <rFont val="Calibri"/>
            <family val="2"/>
          </rPr>
          <t>Transportation: Submodel =  0; Problem size @  3 by 3</t>
        </r>
      </text>
    </comment>
  </commentList>
</comments>
</file>

<file path=xl/comments45.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6" authorId="0">
      <text>
        <r>
          <rPr>
            <sz val="9"/>
            <color indexed="81"/>
            <rFont val="Calibri"/>
            <family val="2"/>
          </rPr>
          <t>Waiting Lines: Submodel =  0; Problem size @  2 by 2</t>
        </r>
      </text>
    </comment>
  </commentList>
</comments>
</file>

<file path=xl/comments46.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6" authorId="0">
      <text>
        <r>
          <rPr>
            <sz val="12"/>
            <color theme="1"/>
            <rFont val="Calibri"/>
            <family val="2"/>
            <scheme val="minor"/>
          </rPr>
          <t>Waiting Lines: Submodel =  0; Problem size @  2 by 2</t>
        </r>
      </text>
    </comment>
  </commentList>
</comments>
</file>

<file path=xl/comments47.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6" authorId="0">
      <text>
        <r>
          <rPr>
            <sz val="12"/>
            <color theme="1"/>
            <rFont val="Calibri"/>
            <family val="2"/>
            <scheme val="minor"/>
          </rPr>
          <t>Waiting Lines: Submodel =  0; Problem size @  2 by 2</t>
        </r>
      </text>
    </comment>
  </commentList>
</comments>
</file>

<file path=xl/comments48.xml><?xml version="1.0" encoding="utf-8"?>
<comments xmlns="http://schemas.openxmlformats.org/spreadsheetml/2006/main">
  <authors>
    <author>Chittampalli Yashaswini</author>
  </authors>
  <commentList>
    <comment ref="A4" authorId="0">
      <text>
        <r>
          <rPr>
            <sz val="9"/>
            <color indexed="81"/>
            <rFont val="Calibri"/>
            <family val="2"/>
          </rPr>
          <t>Waiting Lines: Submodel =  0; Problem size @  3 by 3</t>
        </r>
      </text>
    </comment>
  </commentList>
</comments>
</file>

<file path=xl/comments49.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6" authorId="0">
      <text>
        <r>
          <rPr>
            <sz val="9"/>
            <color indexed="81"/>
            <rFont val="Calibri"/>
            <family val="2"/>
          </rPr>
          <t>Learning Curves: Submodel =  0; Problem size @  3 by 0</t>
        </r>
      </text>
    </comment>
  </commentList>
</comments>
</file>

<file path=xl/comments50.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A6" authorId="0">
      <text>
        <r>
          <rPr>
            <sz val="9"/>
            <color indexed="81"/>
            <rFont val="Calibri"/>
            <family val="2"/>
          </rPr>
          <t>Learning Curves: Submodel =  0; Problem size @  45 by 0</t>
        </r>
      </text>
    </comment>
  </commentList>
</comments>
</file>

<file path=xl/comments51.xml><?xml version="1.0" encoding="utf-8"?>
<comments xmlns="http://schemas.openxmlformats.org/spreadsheetml/2006/main">
  <authors>
    <author>Chittampalli Yashaswini</author>
  </authors>
  <commentList>
    <comment ref="A1" authorId="0">
      <text>
        <r>
          <rPr>
            <sz val="9"/>
            <color indexed="81"/>
            <rFont val="Calibri"/>
            <family val="2"/>
          </rPr>
          <t>Created by Excel OM/QM version 5.2.082</t>
        </r>
      </text>
    </comment>
    <comment ref="B6" authorId="0">
      <text>
        <r>
          <rPr>
            <sz val="9"/>
            <color indexed="81"/>
            <rFont val="Calibri"/>
            <family val="2"/>
          </rPr>
          <t>Simulation: Submodel =  0; Problem size @  6 by 10</t>
        </r>
      </text>
    </comment>
  </commentList>
</comments>
</file>

<file path=xl/sharedStrings.xml><?xml version="1.0" encoding="utf-8"?>
<sst xmlns="http://schemas.openxmlformats.org/spreadsheetml/2006/main" count="1757" uniqueCount="938">
  <si>
    <t>Forecasting</t>
  </si>
  <si>
    <t>Data</t>
  </si>
  <si>
    <t>Period</t>
  </si>
  <si>
    <t>Demand</t>
  </si>
  <si>
    <t>Forecast</t>
  </si>
  <si>
    <t>Error</t>
  </si>
  <si>
    <t>Absolute</t>
  </si>
  <si>
    <t>Squared</t>
  </si>
  <si>
    <t>Abs Pct Err</t>
  </si>
  <si>
    <t>Period 1</t>
  </si>
  <si>
    <t>Period 2</t>
  </si>
  <si>
    <t>Period 3</t>
  </si>
  <si>
    <t>Period 4</t>
  </si>
  <si>
    <t>Period 5</t>
  </si>
  <si>
    <t>Period 6</t>
  </si>
  <si>
    <t>Period 7</t>
  </si>
  <si>
    <t>Period 8</t>
  </si>
  <si>
    <t>Period 9</t>
  </si>
  <si>
    <t>Total</t>
  </si>
  <si>
    <t>Average</t>
  </si>
  <si>
    <t>Bias</t>
  </si>
  <si>
    <t>MAD</t>
  </si>
  <si>
    <t>MSE</t>
  </si>
  <si>
    <t>MAPE</t>
  </si>
  <si>
    <t>SE</t>
  </si>
  <si>
    <t>Next period</t>
  </si>
  <si>
    <t>Forecasts and Error Analysis</t>
  </si>
  <si>
    <t>Num pds</t>
  </si>
  <si>
    <t>To change the number of periods use the scrollbar, do not change the cell itself</t>
  </si>
  <si>
    <t xml:space="preserve"> </t>
  </si>
  <si>
    <t>Moving averages -  3 period moving average</t>
  </si>
  <si>
    <t>Determining Moving Average</t>
  </si>
  <si>
    <t>Weighted moving averages -  3 period moving average</t>
  </si>
  <si>
    <t>Weights</t>
  </si>
  <si>
    <t xml:space="preserve"> 1 periods ago</t>
  </si>
  <si>
    <t xml:space="preserve"> 2 periods ago</t>
  </si>
  <si>
    <t xml:space="preserve"> 3 periods ago</t>
  </si>
  <si>
    <t>Weighted Moving Average</t>
  </si>
  <si>
    <t>Exponential smoothing</t>
  </si>
  <si>
    <t>Alpha</t>
  </si>
  <si>
    <t>Trend adjusted exponential smoothing</t>
  </si>
  <si>
    <t>Beta</t>
  </si>
  <si>
    <r>
      <t>Smoothed Forecast, F</t>
    </r>
    <r>
      <rPr>
        <vertAlign val="subscript"/>
        <sz val="10"/>
        <color indexed="63"/>
        <rFont val="Arial"/>
      </rPr>
      <t>t</t>
    </r>
  </si>
  <si>
    <r>
      <t>Smoothed Trend, T</t>
    </r>
    <r>
      <rPr>
        <vertAlign val="subscript"/>
        <sz val="10"/>
        <color indexed="63"/>
        <rFont val="Arial"/>
      </rPr>
      <t>t</t>
    </r>
  </si>
  <si>
    <r>
      <t>Forecast Including Trend, FIT</t>
    </r>
    <r>
      <rPr>
        <vertAlign val="subscript"/>
        <sz val="10"/>
        <color indexed="63"/>
        <rFont val="Arial"/>
      </rPr>
      <t>t</t>
    </r>
  </si>
  <si>
    <t>Trend-Adjusted Smoothing</t>
  </si>
  <si>
    <t xml:space="preserve"> Trend Projection</t>
  </si>
  <si>
    <t>Trend projection</t>
  </si>
  <si>
    <t>Demand (y)</t>
  </si>
  <si>
    <t>Period(x)</t>
  </si>
  <si>
    <t>Intercept</t>
  </si>
  <si>
    <t>Slope</t>
  </si>
  <si>
    <t>Correlation</t>
  </si>
  <si>
    <t>Coefficient of determination</t>
  </si>
  <si>
    <t>Future period</t>
  </si>
  <si>
    <t>Trend Projection</t>
  </si>
  <si>
    <t>Simple Linear Regression</t>
  </si>
  <si>
    <t>Coefficients</t>
  </si>
  <si>
    <t>Multiplicative seasonal model</t>
  </si>
  <si>
    <t>Ratio</t>
  </si>
  <si>
    <t>Time (x)</t>
  </si>
  <si>
    <t>Ratios</t>
  </si>
  <si>
    <t>Season 1</t>
  </si>
  <si>
    <t>Season 2</t>
  </si>
  <si>
    <t>Season 3</t>
  </si>
  <si>
    <t>Forecast for one complete cycle</t>
  </si>
  <si>
    <t xml:space="preserve"> 12 seasons</t>
  </si>
  <si>
    <t>Season 4</t>
  </si>
  <si>
    <t>Season 5</t>
  </si>
  <si>
    <t>Season 6</t>
  </si>
  <si>
    <t>Season 7</t>
  </si>
  <si>
    <t>Season 8</t>
  </si>
  <si>
    <t>Season 9</t>
  </si>
  <si>
    <t>Season 10</t>
  </si>
  <si>
    <t>Season 11</t>
  </si>
  <si>
    <t>Season 12</t>
  </si>
  <si>
    <t>Multiplicative Seasonal Model</t>
  </si>
  <si>
    <t xml:space="preserve"> Regression Projector</t>
  </si>
  <si>
    <t>X 1</t>
  </si>
  <si>
    <t>X 2</t>
  </si>
  <si>
    <t>Forecast 1</t>
  </si>
  <si>
    <t>Forecast 2</t>
  </si>
  <si>
    <t>Results</t>
  </si>
  <si>
    <t>Regression Projector</t>
  </si>
  <si>
    <t>Quality Control</t>
  </si>
  <si>
    <t>p chart</t>
  </si>
  <si>
    <t>Number of samples</t>
  </si>
  <si>
    <t>Sample size</t>
  </si>
  <si>
    <t>Clerks 1</t>
  </si>
  <si>
    <t>Clerks 2</t>
  </si>
  <si>
    <t>Clerks 3</t>
  </si>
  <si>
    <t>Clerks 4</t>
  </si>
  <si>
    <t>Clerks 5</t>
  </si>
  <si>
    <t>Clerks 6</t>
  </si>
  <si>
    <t>Clerks 7</t>
  </si>
  <si>
    <t>Clerks 8</t>
  </si>
  <si>
    <t>Clerks 9</t>
  </si>
  <si>
    <t>Clerks 10</t>
  </si>
  <si>
    <t>Clerks 11</t>
  </si>
  <si>
    <t>Clerks 12</t>
  </si>
  <si>
    <t>Clerks 13</t>
  </si>
  <si>
    <t>Clerks 14</t>
  </si>
  <si>
    <t>Clerks 15</t>
  </si>
  <si>
    <t>Clerks 16</t>
  </si>
  <si>
    <t>Clerks 17</t>
  </si>
  <si>
    <t>Clerks 18</t>
  </si>
  <si>
    <t>Clerks 19</t>
  </si>
  <si>
    <t>Clerks 20</t>
  </si>
  <si>
    <t># Defects</t>
  </si>
  <si>
    <t>% Defects</t>
  </si>
  <si>
    <t>Total Sample Size</t>
  </si>
  <si>
    <t>Total Defects</t>
  </si>
  <si>
    <t>Percentage defects</t>
  </si>
  <si>
    <t>Std dev of p-bar</t>
  </si>
  <si>
    <t>Upper Control Limit</t>
  </si>
  <si>
    <t>Center Line</t>
  </si>
  <si>
    <t>Lower Control Limit</t>
  </si>
  <si>
    <t>z value</t>
  </si>
  <si>
    <t>Graph information</t>
  </si>
  <si>
    <t>p-chart</t>
  </si>
  <si>
    <t>x bar chart</t>
  </si>
  <si>
    <t>Mean</t>
  </si>
  <si>
    <t>Range</t>
  </si>
  <si>
    <t>Sample 1</t>
  </si>
  <si>
    <t>Sample 2</t>
  </si>
  <si>
    <t>Sample 3</t>
  </si>
  <si>
    <t>Sample 4</t>
  </si>
  <si>
    <t>Sample 5</t>
  </si>
  <si>
    <t>Sample 6</t>
  </si>
  <si>
    <t>Sample 7</t>
  </si>
  <si>
    <t>Sample 8</t>
  </si>
  <si>
    <t>Sample 9</t>
  </si>
  <si>
    <t>x-bar value</t>
  </si>
  <si>
    <t>Xbar</t>
  </si>
  <si>
    <t>R bar</t>
  </si>
  <si>
    <t>Upper control limit</t>
  </si>
  <si>
    <t>Center line</t>
  </si>
  <si>
    <t>Lower control limit</t>
  </si>
  <si>
    <t xml:space="preserve">Table </t>
  </si>
  <si>
    <t>Sample size, n</t>
  </si>
  <si>
    <t>Mean Factor, A2</t>
  </si>
  <si>
    <t>Upper Range, D4</t>
  </si>
  <si>
    <t>Lower Range, D3</t>
  </si>
  <si>
    <t>Graph</t>
  </si>
  <si>
    <t>LCL</t>
  </si>
  <si>
    <t>CL</t>
  </si>
  <si>
    <t>UCL</t>
  </si>
  <si>
    <t>Range Data</t>
  </si>
  <si>
    <t>x-bar and R Charts</t>
  </si>
  <si>
    <t>c chart</t>
  </si>
  <si>
    <t>Total units sampled</t>
  </si>
  <si>
    <r>
      <t xml:space="preserve">Defect rate, </t>
    </r>
    <r>
      <rPr>
        <sz val="12"/>
        <color rgb="FF3F3F3F"/>
        <rFont val="Symbol"/>
      </rPr>
      <t>l</t>
    </r>
  </si>
  <si>
    <t>Standard deviation</t>
  </si>
  <si>
    <t>c-chart</t>
  </si>
  <si>
    <t>Process Capability</t>
  </si>
  <si>
    <t>Upper tolerance limit</t>
  </si>
  <si>
    <t>Lower tolerance limit</t>
  </si>
  <si>
    <t>Mean (optional)</t>
  </si>
  <si>
    <t>Process Capability Ratio, Cp</t>
  </si>
  <si>
    <t>Upper one-sided index</t>
  </si>
  <si>
    <t>Lower one-sided index</t>
  </si>
  <si>
    <t>Process capability index, Cpk</t>
  </si>
  <si>
    <t>Breakeven Analysis</t>
  </si>
  <si>
    <t>Cost-volume analysis</t>
  </si>
  <si>
    <t>Fixed cost</t>
  </si>
  <si>
    <t>Variable cost</t>
  </si>
  <si>
    <t>Option 1</t>
  </si>
  <si>
    <t>Option 2</t>
  </si>
  <si>
    <t>Option 3</t>
  </si>
  <si>
    <t>Volume(optional)</t>
  </si>
  <si>
    <t>Breakeven points</t>
  </si>
  <si>
    <t>Units</t>
  </si>
  <si>
    <t>Dollars</t>
  </si>
  <si>
    <t>Total cost</t>
  </si>
  <si>
    <t>X-axis Min and max</t>
  </si>
  <si>
    <t xml:space="preserve">Crossover Volume </t>
  </si>
  <si>
    <t>Revenue</t>
  </si>
  <si>
    <t>Volume Analysis @</t>
  </si>
  <si>
    <t>units</t>
  </si>
  <si>
    <t>Costs</t>
  </si>
  <si>
    <t>Profit</t>
  </si>
  <si>
    <t>Cost vs. Revenue</t>
  </si>
  <si>
    <t>Factor rating</t>
  </si>
  <si>
    <t>Weight</t>
  </si>
  <si>
    <t>Weighted sum</t>
  </si>
  <si>
    <t>Weighted average</t>
  </si>
  <si>
    <t>Factor-Rating Method</t>
  </si>
  <si>
    <t>France</t>
  </si>
  <si>
    <t>Denmark</t>
  </si>
  <si>
    <t>Labor Availability and Attitude</t>
  </si>
  <si>
    <t>People-to-Car Ratio</t>
  </si>
  <si>
    <t>Per Capita Income</t>
  </si>
  <si>
    <t>Tax Structure</t>
  </si>
  <si>
    <t>Education and Health</t>
  </si>
  <si>
    <t>Location</t>
  </si>
  <si>
    <t>Center of gravity</t>
  </si>
  <si>
    <t>X coord</t>
  </si>
  <si>
    <t>Y coord</t>
  </si>
  <si>
    <t>Sum</t>
  </si>
  <si>
    <t>Center of Gravity (Wtd Avg)</t>
  </si>
  <si>
    <t>Chicago</t>
  </si>
  <si>
    <t>Center of Gravity</t>
  </si>
  <si>
    <t>Pittsburgh</t>
  </si>
  <si>
    <t>New York</t>
  </si>
  <si>
    <t>Atlanta</t>
  </si>
  <si>
    <t>Locational Breakeven Analysis</t>
  </si>
  <si>
    <t>Locational Analysis</t>
  </si>
  <si>
    <t>Lisbon</t>
  </si>
  <si>
    <t>Brussel</t>
  </si>
  <si>
    <t>Athens</t>
  </si>
  <si>
    <t>Layout</t>
  </si>
  <si>
    <t>Assigned Room</t>
  </si>
  <si>
    <t>Flow/Load Table</t>
  </si>
  <si>
    <t>Room 1</t>
  </si>
  <si>
    <t>Room 2</t>
  </si>
  <si>
    <t>Room 3</t>
  </si>
  <si>
    <t>Room 4</t>
  </si>
  <si>
    <t>Room 5</t>
  </si>
  <si>
    <t>Room 6</t>
  </si>
  <si>
    <t>NOTE: The distance from Room J to Room I should not be a blank but should be the same as the distance from Room I to Room J.</t>
  </si>
  <si>
    <t>Assigned Dept</t>
  </si>
  <si>
    <t>Distance/Cost table</t>
  </si>
  <si>
    <t>Total movement</t>
  </si>
  <si>
    <t>Cost/Movement</t>
  </si>
  <si>
    <t>First dept</t>
  </si>
  <si>
    <t>Second dept</t>
  </si>
  <si>
    <t>Load/Flow</t>
  </si>
  <si>
    <t>First room</t>
  </si>
  <si>
    <t>Second room</t>
  </si>
  <si>
    <t>Cost/Distance</t>
  </si>
  <si>
    <t>Product</t>
  </si>
  <si>
    <t>Movement computations</t>
  </si>
  <si>
    <t>Process Layout</t>
  </si>
  <si>
    <t>Assembly</t>
  </si>
  <si>
    <t>Painting</t>
  </si>
  <si>
    <t>Machine Shop</t>
  </si>
  <si>
    <t>Receiving</t>
  </si>
  <si>
    <t xml:space="preserve">Shipping </t>
  </si>
  <si>
    <t>Testing</t>
  </si>
  <si>
    <t>Process Layout 2</t>
  </si>
  <si>
    <t>Assembly Line Balancing</t>
  </si>
  <si>
    <t>Priority rule</t>
  </si>
  <si>
    <t>Cycle time</t>
  </si>
  <si>
    <t>Lookup Criterion</t>
  </si>
  <si>
    <t>Task Name</t>
  </si>
  <si>
    <t>Task Time</t>
  </si>
  <si>
    <t>Immediate Predecessors</t>
  </si>
  <si>
    <t>Row number</t>
  </si>
  <si>
    <t>Longest operation time</t>
  </si>
  <si>
    <t>Most following tasks</t>
  </si>
  <si>
    <t>Ranked Positional Weight</t>
  </si>
  <si>
    <t>Shortest operation time</t>
  </si>
  <si>
    <t>Least following tasks</t>
  </si>
  <si>
    <t>A</t>
  </si>
  <si>
    <t>B</t>
  </si>
  <si>
    <t>C</t>
  </si>
  <si>
    <t>D</t>
  </si>
  <si>
    <t>E</t>
  </si>
  <si>
    <t>F</t>
  </si>
  <si>
    <t>Station Assignments</t>
  </si>
  <si>
    <t>Minimum</t>
  </si>
  <si>
    <t>Station</t>
  </si>
  <si>
    <t>Activities</t>
  </si>
  <si>
    <t>Idle Time(orig. cycle time)</t>
  </si>
  <si>
    <t>Idle Time (improved cyc. time)</t>
  </si>
  <si>
    <t>Results Summary</t>
  </si>
  <si>
    <t>Min (theoretical) # of stations</t>
  </si>
  <si>
    <t>Theoretical efficiency (using MAX cycle time)</t>
  </si>
  <si>
    <t>Actual number of stations</t>
  </si>
  <si>
    <t>Improved cycle time = Maximum station cycle time</t>
  </si>
  <si>
    <t>Time allocated per cycle</t>
  </si>
  <si>
    <t>Idle time per cycle</t>
  </si>
  <si>
    <t>Efficiency</t>
  </si>
  <si>
    <t>Balance delay</t>
  </si>
  <si>
    <r>
      <t xml:space="preserve">Time needed per cycle </t>
    </r>
    <r>
      <rPr>
        <b/>
        <sz val="10"/>
        <color rgb="FF3F3F3F"/>
        <rFont val="Symbol"/>
      </rPr>
      <t xml:space="preserve">(S </t>
    </r>
    <r>
      <rPr>
        <b/>
        <sz val="12"/>
        <color rgb="FF3F3F3F"/>
        <rFont val="Calibri"/>
        <family val="2"/>
        <scheme val="minor"/>
      </rPr>
      <t>task times)</t>
    </r>
  </si>
  <si>
    <t>Iterations (left to right)</t>
  </si>
  <si>
    <t>Task Code (-1= Completed, 0 = Ready, N&gt;0 = number of unmet precedences)</t>
  </si>
  <si>
    <t>Task</t>
  </si>
  <si>
    <t>Iteration 1</t>
  </si>
  <si>
    <t>Iteration 2</t>
  </si>
  <si>
    <t>Iteration 3</t>
  </si>
  <si>
    <t>Iteration 4</t>
  </si>
  <si>
    <t>Iteration 5</t>
  </si>
  <si>
    <t>Iteration 6</t>
  </si>
  <si>
    <t>Selecting the next task</t>
  </si>
  <si>
    <t>Time available</t>
  </si>
  <si>
    <t>Step 1a: Number of ready tasks that fit</t>
  </si>
  <si>
    <t>Step 1b: Adjust time if new station is needed</t>
  </si>
  <si>
    <t>Step 1c: Station</t>
  </si>
  <si>
    <t>Step 2a: Activity code</t>
  </si>
  <si>
    <t>Step 2b: Activity name</t>
  </si>
  <si>
    <t>Step 2c: Activity time</t>
  </si>
  <si>
    <t>Time remaining</t>
  </si>
  <si>
    <t>Name check</t>
  </si>
  <si>
    <t>Check that one name does not appear in another - e.g.,  A and AA or Task 1 and Task 10</t>
  </si>
  <si>
    <t>Computations of following tasks and ranked positional weight</t>
  </si>
  <si>
    <t>The following table contains a 1 if row follows column</t>
  </si>
  <si>
    <t>Task name</t>
  </si>
  <si>
    <t>Follows</t>
  </si>
  <si>
    <t>Num followers</t>
  </si>
  <si>
    <t>Summary Table(Actual number of stations vs Priority Rule)</t>
  </si>
  <si>
    <t>Priority Rule</t>
  </si>
  <si>
    <t># stations</t>
  </si>
  <si>
    <t>G</t>
  </si>
  <si>
    <t>H</t>
  </si>
  <si>
    <t>I</t>
  </si>
  <si>
    <t>Iteration 7</t>
  </si>
  <si>
    <t>Iteration 8</t>
  </si>
  <si>
    <t>Iteration 9</t>
  </si>
  <si>
    <t>C,D</t>
  </si>
  <si>
    <t>G,H</t>
  </si>
  <si>
    <t>Work Measurement</t>
  </si>
  <si>
    <t>Time Study</t>
  </si>
  <si>
    <t>Allowance factor</t>
  </si>
  <si>
    <t>Element 1</t>
  </si>
  <si>
    <t>Element 2</t>
  </si>
  <si>
    <t>Element 3</t>
  </si>
  <si>
    <t>Performance rating</t>
  </si>
  <si>
    <t>Obs 1</t>
  </si>
  <si>
    <t>Obs 2</t>
  </si>
  <si>
    <t>Obs 3</t>
  </si>
  <si>
    <t>Obs 4</t>
  </si>
  <si>
    <t>Obs 5</t>
  </si>
  <si>
    <t>Element Average</t>
  </si>
  <si>
    <t>Element Normal</t>
  </si>
  <si>
    <t>Job Normal proc time</t>
  </si>
  <si>
    <t>Job Standard time</t>
  </si>
  <si>
    <t>Sample size computations</t>
  </si>
  <si>
    <t>Accuracy, h</t>
  </si>
  <si>
    <t>z-value</t>
  </si>
  <si>
    <t>Samples required</t>
  </si>
  <si>
    <t>Table:Common z Values</t>
  </si>
  <si>
    <t>Desired Confidence</t>
  </si>
  <si>
    <t>z-Value</t>
  </si>
  <si>
    <t>21*</t>
  </si>
  <si>
    <t>5*</t>
  </si>
  <si>
    <t>Computing the sample size</t>
  </si>
  <si>
    <t>Determining the number of work sample observations</t>
  </si>
  <si>
    <t>Mean, xbar</t>
  </si>
  <si>
    <t>Proportion, p</t>
  </si>
  <si>
    <t>Standard deviation, s</t>
  </si>
  <si>
    <t>z-value (confidence)</t>
  </si>
  <si>
    <t>Confidence</t>
  </si>
  <si>
    <t>Table: Common z Values</t>
  </si>
  <si>
    <t>Computing the Sample Size</t>
  </si>
  <si>
    <t>Inventory</t>
  </si>
  <si>
    <t>ABC Analysis</t>
  </si>
  <si>
    <t>Dollar Volume Rank</t>
  </si>
  <si>
    <t>Item</t>
  </si>
  <si>
    <t>Volume</t>
  </si>
  <si>
    <t>Unit Cost</t>
  </si>
  <si>
    <t>Dollar volume</t>
  </si>
  <si>
    <t>Percent of Dollar Volume</t>
  </si>
  <si>
    <t>Results - sorted by dollar volume</t>
  </si>
  <si>
    <t>Dollar Volume</t>
  </si>
  <si>
    <t>Cum Percent of Dollar Volume</t>
  </si>
  <si>
    <t>Percent of dollar volume accounted for by A items</t>
  </si>
  <si>
    <t>Percent of dollar volume accounted for by B items</t>
  </si>
  <si>
    <t>Category</t>
  </si>
  <si>
    <t>ABC</t>
  </si>
  <si>
    <t>Economic Order Quantity Model</t>
  </si>
  <si>
    <t>Order Quantity Data</t>
  </si>
  <si>
    <t>Annual Demand Rate, D</t>
  </si>
  <si>
    <t>Setup/Ordering Cost, S</t>
  </si>
  <si>
    <t>Holding/Carrying Cost per Unit per Year, H</t>
  </si>
  <si>
    <t>(fixed amount)</t>
  </si>
  <si>
    <t>Unit price, P</t>
  </si>
  <si>
    <t>Reorder Point Data (optional)</t>
  </si>
  <si>
    <t>Days per year or ...</t>
  </si>
  <si>
    <t>...Daily demand rate, d</t>
  </si>
  <si>
    <t>Lead time in days, L</t>
  </si>
  <si>
    <t>Safety stock, ss</t>
  </si>
  <si>
    <t>Reorder Point, dL+ss</t>
  </si>
  <si>
    <t>Optimum Order Quantity, Q* (EOQ)</t>
  </si>
  <si>
    <t>Maximum Inventory, Q*</t>
  </si>
  <si>
    <t>Average Inventory, Q*/2</t>
  </si>
  <si>
    <t>Number of Orders, D/Q*</t>
  </si>
  <si>
    <t>Annual Holding Cost, HQ*/2</t>
  </si>
  <si>
    <t>Annual Order Cost, DS/Q*</t>
  </si>
  <si>
    <t>Annual Unit Costs, PD</t>
  </si>
  <si>
    <t>Cost Table (Sensitivity)</t>
  </si>
  <si>
    <t>Start graph at</t>
  </si>
  <si>
    <t>Increment by</t>
  </si>
  <si>
    <t>Order Quantity, Q</t>
  </si>
  <si>
    <t>Setup/Order cost</t>
  </si>
  <si>
    <t>Holding cost</t>
  </si>
  <si>
    <r>
      <t>Total Annual Cost, T</t>
    </r>
    <r>
      <rPr>
        <b/>
        <vertAlign val="subscript"/>
        <sz val="12"/>
        <color indexed="63"/>
        <rFont val="Calibri"/>
      </rPr>
      <t>c</t>
    </r>
  </si>
  <si>
    <t>EOQ Model</t>
  </si>
  <si>
    <t>Production Order Quantity Model</t>
  </si>
  <si>
    <t>Demand rate, D</t>
  </si>
  <si>
    <t>Ordering/setup cost, S</t>
  </si>
  <si>
    <t>Holding/carrying cost, H</t>
  </si>
  <si>
    <t>Daily production rate, p</t>
  </si>
  <si>
    <t>... Daily demand rate, d</t>
  </si>
  <si>
    <t>Optimal production quantity, Q*</t>
  </si>
  <si>
    <t>Maximum Inventory Level</t>
  </si>
  <si>
    <t>Average Inventory</t>
  </si>
  <si>
    <t>Number of Setups</t>
  </si>
  <si>
    <t>Setup cost</t>
  </si>
  <si>
    <t>Unit costs</t>
  </si>
  <si>
    <t>Production Order Quantity, Q</t>
  </si>
  <si>
    <r>
      <t>Total cost, T</t>
    </r>
    <r>
      <rPr>
        <b/>
        <vertAlign val="subscript"/>
        <sz val="12"/>
        <color indexed="63"/>
        <rFont val="Calibri"/>
      </rPr>
      <t>c</t>
    </r>
  </si>
  <si>
    <t>POQ Model</t>
  </si>
  <si>
    <t>Quantity Discount Model</t>
  </si>
  <si>
    <t>Order cost, S</t>
  </si>
  <si>
    <t>Holding cost %, I</t>
  </si>
  <si>
    <t>(percentage)</t>
  </si>
  <si>
    <t>Range 1</t>
  </si>
  <si>
    <t>Minimum quantity</t>
  </si>
  <si>
    <t>Unit Price, P</t>
  </si>
  <si>
    <t>Range 2</t>
  </si>
  <si>
    <t>Range 3</t>
  </si>
  <si>
    <t>Q* (Square root formula)</t>
  </si>
  <si>
    <t>Order Quantity</t>
  </si>
  <si>
    <t>Order cost</t>
  </si>
  <si>
    <r>
      <t>Total cost, T</t>
    </r>
    <r>
      <rPr>
        <b/>
        <vertAlign val="subscript"/>
        <sz val="12"/>
        <color rgb="FF3F3F3F"/>
        <rFont val="Calibri"/>
        <family val="2"/>
        <scheme val="minor"/>
      </rPr>
      <t>c</t>
    </r>
  </si>
  <si>
    <t>Base inc on</t>
  </si>
  <si>
    <t>Cost table</t>
  </si>
  <si>
    <t>Q</t>
  </si>
  <si>
    <t>Unit cost</t>
  </si>
  <si>
    <t>Total unit costs</t>
  </si>
  <si>
    <t>Total Costs</t>
  </si>
  <si>
    <t>Safety stock - marginal analysis</t>
  </si>
  <si>
    <t>Reorder point</t>
  </si>
  <si>
    <t>Annual carrying cost</t>
  </si>
  <si>
    <t>Stockout cost</t>
  </si>
  <si>
    <t>Orders per year</t>
  </si>
  <si>
    <t>Profit Table</t>
  </si>
  <si>
    <t>Probability</t>
  </si>
  <si>
    <t>Safety stock\Demand</t>
  </si>
  <si>
    <t>EMV</t>
  </si>
  <si>
    <t>Maximum</t>
  </si>
  <si>
    <t>Expected Value of Perfect Information</t>
  </si>
  <si>
    <t>Column best</t>
  </si>
  <si>
    <t>&lt;-Expected value under certainty</t>
  </si>
  <si>
    <t>&lt;-Best expected value</t>
  </si>
  <si>
    <t>&lt;-Expected value of perfect information</t>
  </si>
  <si>
    <t>Regret</t>
  </si>
  <si>
    <t>Expected</t>
  </si>
  <si>
    <t>Safety stock - Normal distribution</t>
  </si>
  <si>
    <t>Model: Demand during leadtime and its standard deviation given</t>
  </si>
  <si>
    <t>Model: Daily demand and its standard deviation are given</t>
  </si>
  <si>
    <t>Average demand during lead time, µ</t>
  </si>
  <si>
    <t>Average daily demand</t>
  </si>
  <si>
    <t>Service level (% of demand met)</t>
  </si>
  <si>
    <t>Lead time days</t>
  </si>
  <si>
    <t>Z-value</t>
  </si>
  <si>
    <t>Safety stock</t>
  </si>
  <si>
    <t>Average demand during lead time</t>
  </si>
  <si>
    <t>Reorder Point</t>
  </si>
  <si>
    <t>Models: Either daily demand, lead time or both are variable</t>
  </si>
  <si>
    <t xml:space="preserve">Average daily demand </t>
  </si>
  <si>
    <t>Standard deviation of daily demand</t>
  </si>
  <si>
    <t>Enter 0 if demand is constant</t>
  </si>
  <si>
    <t>Average lead time (in days)</t>
  </si>
  <si>
    <t>Enter 0 if lead time is constant</t>
  </si>
  <si>
    <r>
      <t xml:space="preserve">Standard deviation of </t>
    </r>
    <r>
      <rPr>
        <sz val="12"/>
        <color theme="1"/>
        <rFont val="Calibri"/>
      </rPr>
      <t>σ</t>
    </r>
    <r>
      <rPr>
        <vertAlign val="subscript"/>
        <sz val="12"/>
        <rFont val="Calibri"/>
      </rPr>
      <t>dLT</t>
    </r>
  </si>
  <si>
    <r>
      <t xml:space="preserve">Standard deviation of daily demand, </t>
    </r>
    <r>
      <rPr>
        <sz val="12"/>
        <color theme="1"/>
        <rFont val="Calibri"/>
      </rPr>
      <t>σ</t>
    </r>
    <r>
      <rPr>
        <vertAlign val="subscript"/>
        <sz val="12"/>
        <rFont val="Calibri"/>
      </rPr>
      <t>d</t>
    </r>
  </si>
  <si>
    <r>
      <t>Standard deviation of demand during lead time, σ</t>
    </r>
    <r>
      <rPr>
        <b/>
        <vertAlign val="subscript"/>
        <sz val="12"/>
        <rFont val="Calibri"/>
      </rPr>
      <t>dLT</t>
    </r>
  </si>
  <si>
    <r>
      <t xml:space="preserve">Standard deviation of lead time, </t>
    </r>
    <r>
      <rPr>
        <sz val="12"/>
        <color theme="1"/>
        <rFont val="Calibri"/>
      </rPr>
      <t>σ</t>
    </r>
    <r>
      <rPr>
        <vertAlign val="subscript"/>
        <sz val="12"/>
        <rFont val="Calibri"/>
      </rPr>
      <t>LT</t>
    </r>
  </si>
  <si>
    <t>Normal Distribution Safety Stock</t>
  </si>
  <si>
    <t>Marginal Safety Stock</t>
  </si>
  <si>
    <t>Aggregate Planning</t>
  </si>
  <si>
    <t>Holding</t>
  </si>
  <si>
    <t>Initial inventory</t>
  </si>
  <si>
    <t>Month 1</t>
  </si>
  <si>
    <t>Month 2</t>
  </si>
  <si>
    <t>Month 3</t>
  </si>
  <si>
    <t>Total Cost</t>
  </si>
  <si>
    <t>COSTS</t>
  </si>
  <si>
    <t>Column Total</t>
  </si>
  <si>
    <t>Transportation Method</t>
  </si>
  <si>
    <t>Beginning inventory</t>
  </si>
  <si>
    <t>Month 1 reg time</t>
  </si>
  <si>
    <t>Month 1 overtime</t>
  </si>
  <si>
    <t>Month 1 subcontracting</t>
  </si>
  <si>
    <t>Month 2 reg time</t>
  </si>
  <si>
    <t>Month 2 overtime</t>
  </si>
  <si>
    <t>Month 2 subcontracting</t>
  </si>
  <si>
    <t>Month 3 reg time</t>
  </si>
  <si>
    <t>Month 3 overtime</t>
  </si>
  <si>
    <t>Month 3 subcontracting</t>
  </si>
  <si>
    <t>Excess Capacity</t>
  </si>
  <si>
    <t>Capacity</t>
  </si>
  <si>
    <t>Production Quantities</t>
  </si>
  <si>
    <t>Row Total</t>
  </si>
  <si>
    <t>Cost per unit</t>
  </si>
  <si>
    <t>Regular time</t>
  </si>
  <si>
    <t>Overtime cost</t>
  </si>
  <si>
    <t>Subcontract cost</t>
  </si>
  <si>
    <t>Transportation Model</t>
  </si>
  <si>
    <t>MRP</t>
  </si>
  <si>
    <t>Indented Bill of Materials</t>
  </si>
  <si>
    <t>Item name</t>
  </si>
  <si>
    <t>Level</t>
  </si>
  <si>
    <t>Number per parent</t>
  </si>
  <si>
    <t>Indented BOM</t>
  </si>
  <si>
    <t>Distinct items</t>
  </si>
  <si>
    <t>Lead time</t>
  </si>
  <si>
    <t>Safety Stock</t>
  </si>
  <si>
    <t>Lot size</t>
  </si>
  <si>
    <t>Gross requirements</t>
  </si>
  <si>
    <t>Scheduled receipts</t>
  </si>
  <si>
    <t>On Hand Inventory</t>
  </si>
  <si>
    <t>Planned receipts</t>
  </si>
  <si>
    <t>Planned orders</t>
  </si>
  <si>
    <t>Material Requirements Planning</t>
  </si>
  <si>
    <t>Lot sizing</t>
  </si>
  <si>
    <t>Period Number</t>
  </si>
  <si>
    <t>Demands</t>
  </si>
  <si>
    <t>Planned Receipts</t>
  </si>
  <si>
    <t>Planned Order Releases</t>
  </si>
  <si>
    <t>End of Pd Inventory</t>
  </si>
  <si>
    <t>Setup</t>
  </si>
  <si>
    <t>Totals</t>
  </si>
  <si>
    <t>Net requirements plan</t>
  </si>
  <si>
    <t>On hand beg period</t>
  </si>
  <si>
    <t>On hand end period</t>
  </si>
  <si>
    <t>Net requirements</t>
  </si>
  <si>
    <t>Order receipt</t>
  </si>
  <si>
    <t>Order release</t>
  </si>
  <si>
    <t>Week 0</t>
  </si>
  <si>
    <t>Week 1</t>
  </si>
  <si>
    <t>Week 2</t>
  </si>
  <si>
    <t>Week 3</t>
  </si>
  <si>
    <t>Week 4</t>
  </si>
  <si>
    <t>Week 5</t>
  </si>
  <si>
    <t>Week 6</t>
  </si>
  <si>
    <t>Week 7</t>
  </si>
  <si>
    <t>Week 8</t>
  </si>
  <si>
    <t xml:space="preserve">Last method tried = </t>
  </si>
  <si>
    <t>Economic Order Quantity</t>
  </si>
  <si>
    <t>Week 9</t>
  </si>
  <si>
    <t>Week 10</t>
  </si>
  <si>
    <t>Wagner / Whitin</t>
  </si>
  <si>
    <t>Lot for Lot</t>
  </si>
  <si>
    <t>Lot-Sizing</t>
  </si>
  <si>
    <t>Method</t>
  </si>
  <si>
    <t>EOQ</t>
  </si>
  <si>
    <t>POQ</t>
  </si>
  <si>
    <t>PPB</t>
  </si>
  <si>
    <t>Assignment costs</t>
  </si>
  <si>
    <t>Assignment</t>
  </si>
  <si>
    <t>Job 1</t>
  </si>
  <si>
    <t>Job 2</t>
  </si>
  <si>
    <t>Job 3</t>
  </si>
  <si>
    <t>Machine 1</t>
  </si>
  <si>
    <t>Machine 2</t>
  </si>
  <si>
    <t>Machine 3</t>
  </si>
  <si>
    <t>Assignments</t>
  </si>
  <si>
    <t>Shipments</t>
  </si>
  <si>
    <t>Microsoft Excel 14.2 Answer Report</t>
  </si>
  <si>
    <t>Worksheet: [BUS 670 Individual Project (version 1).xlsb]Assignment</t>
  </si>
  <si>
    <t>Report Created: 2/10/2017 1:25:40 PM</t>
  </si>
  <si>
    <t>Result: Solver found a solution.  All constraints and optimality conditions are satisfied.</t>
  </si>
  <si>
    <t>Solver Engine</t>
  </si>
  <si>
    <t>Engine: Simplex LP</t>
  </si>
  <si>
    <t>Solution Time: 0.701281 Seconds.</t>
  </si>
  <si>
    <t>Iterations: 8 Subproblems: 0</t>
  </si>
  <si>
    <t>Solver Options</t>
  </si>
  <si>
    <t>Max Time 100 sec, Iterations 100, Precision 0.000001</t>
  </si>
  <si>
    <t>Max Subproblems Unlimited, Max Integer Sols Unlimited, Integer Tolerance 5%, Solve Without Integer Constraints, Assume NonNegative</t>
  </si>
  <si>
    <t>Objective Cell (Min)</t>
  </si>
  <si>
    <t>Cell</t>
  </si>
  <si>
    <t>Name</t>
  </si>
  <si>
    <t>Original Value</t>
  </si>
  <si>
    <t>Final Value</t>
  </si>
  <si>
    <t>Variable Cells</t>
  </si>
  <si>
    <t>Integer</t>
  </si>
  <si>
    <t>Constraints</t>
  </si>
  <si>
    <t>Cell Value</t>
  </si>
  <si>
    <t>Formula</t>
  </si>
  <si>
    <t>Status</t>
  </si>
  <si>
    <t>Slack</t>
  </si>
  <si>
    <t>$B$21</t>
  </si>
  <si>
    <t>Total Cost Machine 1</t>
  </si>
  <si>
    <t>$B$16</t>
  </si>
  <si>
    <t>Job 1 Machine 1</t>
  </si>
  <si>
    <t>Contin</t>
  </si>
  <si>
    <t>$C$16</t>
  </si>
  <si>
    <t>Job 1 Machine 2</t>
  </si>
  <si>
    <t>$D$16</t>
  </si>
  <si>
    <t>Job 1 Machine 3</t>
  </si>
  <si>
    <t>$B$17</t>
  </si>
  <si>
    <t>Job 2 Machine 1</t>
  </si>
  <si>
    <t>$C$17</t>
  </si>
  <si>
    <t>Job 2 Machine 2</t>
  </si>
  <si>
    <t>$D$17</t>
  </si>
  <si>
    <t>Job 2 Machine 3</t>
  </si>
  <si>
    <t>$B$18</t>
  </si>
  <si>
    <t>Job 3 Machine 1</t>
  </si>
  <si>
    <t>$C$18</t>
  </si>
  <si>
    <t>Job 3 Machine 2</t>
  </si>
  <si>
    <t>$D$18</t>
  </si>
  <si>
    <t>Job 3 Machine 3</t>
  </si>
  <si>
    <t>$E$16</t>
  </si>
  <si>
    <t>Job 1 Row Total</t>
  </si>
  <si>
    <t>$E$16=1</t>
  </si>
  <si>
    <t>Binding</t>
  </si>
  <si>
    <t>$E$17</t>
  </si>
  <si>
    <t>Job 2 Row Total</t>
  </si>
  <si>
    <t>$E$17=1</t>
  </si>
  <si>
    <t>$E$18</t>
  </si>
  <si>
    <t>Job 3 Row Total</t>
  </si>
  <si>
    <t>$E$18=1</t>
  </si>
  <si>
    <t>$B$19</t>
  </si>
  <si>
    <t>Column Total Machine 1</t>
  </si>
  <si>
    <t>$B$19=1</t>
  </si>
  <si>
    <t>$C$19</t>
  </si>
  <si>
    <t>Column Total Machine 2</t>
  </si>
  <si>
    <t>$C$19=1</t>
  </si>
  <si>
    <t>$D$19</t>
  </si>
  <si>
    <t>Column Total Machine 3</t>
  </si>
  <si>
    <t>$D$19=1</t>
  </si>
  <si>
    <t>Microsoft Excel 14.2 Sensitivity Report</t>
  </si>
  <si>
    <t>Final</t>
  </si>
  <si>
    <t>Value</t>
  </si>
  <si>
    <t>Reduced</t>
  </si>
  <si>
    <t>Cost</t>
  </si>
  <si>
    <t>Objective</t>
  </si>
  <si>
    <t>Coefficient</t>
  </si>
  <si>
    <t>Allowable</t>
  </si>
  <si>
    <t>Increase</t>
  </si>
  <si>
    <t>Decrease</t>
  </si>
  <si>
    <t>Shadow</t>
  </si>
  <si>
    <t>Price</t>
  </si>
  <si>
    <t>Constraint</t>
  </si>
  <si>
    <t>R.H. Side</t>
  </si>
  <si>
    <t>Jobshop sequencing</t>
  </si>
  <si>
    <t>1 machine</t>
  </si>
  <si>
    <t>Start day</t>
  </si>
  <si>
    <t>Received</t>
  </si>
  <si>
    <t>Time</t>
  </si>
  <si>
    <t>Due Date</t>
  </si>
  <si>
    <t>Crit ratio</t>
  </si>
  <si>
    <t>Flow time</t>
  </si>
  <si>
    <t>Task end</t>
  </si>
  <si>
    <t>Late days</t>
  </si>
  <si>
    <t>Total job work (processing) time since start</t>
  </si>
  <si>
    <t>Late jobs</t>
  </si>
  <si>
    <t>Average number of jobs in system since start</t>
  </si>
  <si>
    <t>Utilization since start</t>
  </si>
  <si>
    <t>Average Flow Time</t>
  </si>
  <si>
    <t>Average number of jobs in system</t>
  </si>
  <si>
    <t>Utiization</t>
  </si>
  <si>
    <t>Number of late jobs</t>
  </si>
  <si>
    <t>Average Late Time</t>
  </si>
  <si>
    <t>FCFS</t>
  </si>
  <si>
    <t>SPT</t>
  </si>
  <si>
    <t>LPT</t>
  </si>
  <si>
    <t>Crit Ratio</t>
  </si>
  <si>
    <t>Moore</t>
  </si>
  <si>
    <t>2 machines, Johnson's method</t>
  </si>
  <si>
    <t>Job</t>
  </si>
  <si>
    <t>(Idle time before the listed job begins on the second machine)</t>
  </si>
  <si>
    <t>Makespan</t>
  </si>
  <si>
    <t>Iterations</t>
  </si>
  <si>
    <t>number of jobs</t>
  </si>
  <si>
    <t>Step</t>
  </si>
  <si>
    <t>Overall Minimum</t>
  </si>
  <si>
    <t>Machine Scheduling 2</t>
  </si>
  <si>
    <t>Kanban</t>
  </si>
  <si>
    <t>Kanban size given</t>
  </si>
  <si>
    <t>Daily Demand</t>
  </si>
  <si>
    <t>Lead Time</t>
  </si>
  <si>
    <t>Kanban Size</t>
  </si>
  <si>
    <t>Number of Kanbans</t>
  </si>
  <si>
    <t>Computing Number of Kanbans</t>
  </si>
  <si>
    <t>Reliability</t>
  </si>
  <si>
    <t>Identical components in series or in parallel</t>
  </si>
  <si>
    <t>Identical components in series - determine system reliabilty</t>
  </si>
  <si>
    <t>Identical components in parallel - determine overall reliabilty</t>
  </si>
  <si>
    <t>Number of components in series</t>
  </si>
  <si>
    <t>Number of components in parallel</t>
  </si>
  <si>
    <t>Component Reliability</t>
  </si>
  <si>
    <t>System reliability</t>
  </si>
  <si>
    <t>Overall reliability</t>
  </si>
  <si>
    <t>Identical components in series - determine required component reliability</t>
  </si>
  <si>
    <t>Identical components in parallel - determine required component reliabilty</t>
  </si>
  <si>
    <t>Overall reliabilty</t>
  </si>
  <si>
    <t>Identical components in series - determine required number of components</t>
  </si>
  <si>
    <t>Number of components</t>
  </si>
  <si>
    <t>Identical Components</t>
  </si>
  <si>
    <t>Component</t>
  </si>
  <si>
    <t>Series 1</t>
  </si>
  <si>
    <t>Series 2</t>
  </si>
  <si>
    <t>Series 3</t>
  </si>
  <si>
    <t>Sys Reliability</t>
  </si>
  <si>
    <t>Network</t>
  </si>
  <si>
    <t>Statistics</t>
  </si>
  <si>
    <t>Population variance</t>
  </si>
  <si>
    <t>Population standard deviation</t>
  </si>
  <si>
    <t>Sample variance</t>
  </si>
  <si>
    <t>Sample standard deviation</t>
  </si>
  <si>
    <t>Frequency Table</t>
  </si>
  <si>
    <t>Frequency Tables</t>
  </si>
  <si>
    <t>Computations</t>
  </si>
  <si>
    <t>Class Interval</t>
  </si>
  <si>
    <t>Midpoint or value, xi</t>
  </si>
  <si>
    <t>Frequency, fi</t>
  </si>
  <si>
    <t>Percent</t>
  </si>
  <si>
    <t>Val * Freq, xi * fi</t>
  </si>
  <si>
    <t>xi-xbar</t>
  </si>
  <si>
    <t>(xi-xbar)^2</t>
  </si>
  <si>
    <t>(xi-xbar)^2*fi</t>
  </si>
  <si>
    <t>Value 1</t>
  </si>
  <si>
    <t>Value 2</t>
  </si>
  <si>
    <t>Value 3</t>
  </si>
  <si>
    <t>Value 4</t>
  </si>
  <si>
    <t>Expected Monthly Breakdown Cost</t>
  </si>
  <si>
    <t>Average Monthly Breakdowns</t>
  </si>
  <si>
    <t>Cost  Per Breakdown</t>
  </si>
  <si>
    <t>Cost of Service Contract</t>
  </si>
  <si>
    <t>Preventive Maintenance Cost</t>
  </si>
  <si>
    <t>Decision Tables</t>
  </si>
  <si>
    <t>Decision Table</t>
  </si>
  <si>
    <t>&lt;-Expected value WITH perfect information</t>
  </si>
  <si>
    <t>&lt;-Expected value OF perfect information</t>
  </si>
  <si>
    <t>Large Plant</t>
  </si>
  <si>
    <t>Small Plant</t>
  </si>
  <si>
    <t>Nothing</t>
  </si>
  <si>
    <t>Favorable</t>
  </si>
  <si>
    <t>Unfavorable</t>
  </si>
  <si>
    <t>Linear Programming</t>
  </si>
  <si>
    <t>Signs</t>
  </si>
  <si>
    <t>&lt;</t>
  </si>
  <si>
    <t>less than or equal to</t>
  </si>
  <si>
    <t>=</t>
  </si>
  <si>
    <t>equals (You need to enter an apostrophe first.)</t>
  </si>
  <si>
    <t>&gt;</t>
  </si>
  <si>
    <t>greater than or equal to</t>
  </si>
  <si>
    <t>Problem setup area</t>
  </si>
  <si>
    <t>LHS</t>
  </si>
  <si>
    <t>Slack/Surplus</t>
  </si>
  <si>
    <t>Maximize</t>
  </si>
  <si>
    <t>sign</t>
  </si>
  <si>
    <t>RHS</t>
  </si>
  <si>
    <t>&lt; constraints</t>
  </si>
  <si>
    <t>&gt; constraints</t>
  </si>
  <si>
    <t>Variables</t>
  </si>
  <si>
    <t>Constraint 1</t>
  </si>
  <si>
    <t>Constraint 2</t>
  </si>
  <si>
    <t>Constraint 3</t>
  </si>
  <si>
    <t>It is difficult to create a nice LP graph in Excel so we have created the objective and constraints below that</t>
  </si>
  <si>
    <t>can be graphed into a Web LP site. One such site (as of 9/24/2016) is:</t>
  </si>
  <si>
    <t>http://www.zweigmedia.com/utilities/lpg/index.html?lang=en</t>
  </si>
  <si>
    <t>Using this site: copy the objective, copy the constraints, press Solve.</t>
  </si>
  <si>
    <t>Subject to</t>
  </si>
  <si>
    <t>Minimize</t>
  </si>
  <si>
    <t>y</t>
  </si>
  <si>
    <t>x</t>
  </si>
  <si>
    <t>Supply</t>
  </si>
  <si>
    <t>Transportation</t>
  </si>
  <si>
    <t>The problem is balanced.</t>
  </si>
  <si>
    <t>Waiting Lines</t>
  </si>
  <si>
    <t>Single Server Model(M/M/1)</t>
  </si>
  <si>
    <r>
      <t>Arrival rate (</t>
    </r>
    <r>
      <rPr>
        <sz val="12"/>
        <color theme="1"/>
        <rFont val="Symbol"/>
      </rPr>
      <t>l</t>
    </r>
    <r>
      <rPr>
        <sz val="12"/>
        <color theme="1"/>
        <rFont val="Calibri"/>
        <family val="2"/>
        <scheme val="minor"/>
      </rPr>
      <t>)</t>
    </r>
  </si>
  <si>
    <r>
      <t>Service rate (</t>
    </r>
    <r>
      <rPr>
        <sz val="12"/>
        <color theme="1"/>
        <rFont val="Symbol"/>
      </rPr>
      <t>m</t>
    </r>
    <r>
      <rPr>
        <sz val="12"/>
        <color theme="1"/>
        <rFont val="Calibri"/>
        <family val="2"/>
        <scheme val="minor"/>
      </rPr>
      <t>)</t>
    </r>
  </si>
  <si>
    <t>Number of servers</t>
  </si>
  <si>
    <t>Average server utilization(r)</t>
  </si>
  <si>
    <r>
      <t>Average server utilization(</t>
    </r>
    <r>
      <rPr>
        <b/>
        <sz val="12"/>
        <color rgb="FF3F3F3F"/>
        <rFont val="Symbol"/>
      </rPr>
      <t>r</t>
    </r>
    <r>
      <rPr>
        <b/>
        <sz val="12"/>
        <color rgb="FF3F3F3F"/>
        <rFont val="Calibri"/>
        <family val="2"/>
        <scheme val="minor"/>
      </rPr>
      <t>)</t>
    </r>
  </si>
  <si>
    <r>
      <t>Average number of customers in the queue(L</t>
    </r>
    <r>
      <rPr>
        <b/>
        <vertAlign val="subscript"/>
        <sz val="12"/>
        <color rgb="FF3F3F3F"/>
        <rFont val="Calibri"/>
        <family val="2"/>
        <scheme val="minor"/>
      </rPr>
      <t>q</t>
    </r>
    <r>
      <rPr>
        <b/>
        <sz val="12"/>
        <color rgb="FF3F3F3F"/>
        <rFont val="Calibri"/>
        <family val="2"/>
        <scheme val="minor"/>
      </rPr>
      <t>)</t>
    </r>
  </si>
  <si>
    <r>
      <t>Average number of customers in the system(L</t>
    </r>
    <r>
      <rPr>
        <b/>
        <vertAlign val="subscript"/>
        <sz val="12"/>
        <color rgb="FF3F3F3F"/>
        <rFont val="Calibri"/>
        <family val="2"/>
        <scheme val="minor"/>
      </rPr>
      <t>s</t>
    </r>
    <r>
      <rPr>
        <b/>
        <sz val="12"/>
        <color rgb="FF3F3F3F"/>
        <rFont val="Calibri"/>
        <family val="2"/>
        <scheme val="minor"/>
      </rPr>
      <t>)</t>
    </r>
  </si>
  <si>
    <r>
      <t>Average waiting time in the queue(W</t>
    </r>
    <r>
      <rPr>
        <b/>
        <vertAlign val="subscript"/>
        <sz val="12"/>
        <color rgb="FF3F3F3F"/>
        <rFont val="Calibri"/>
        <family val="2"/>
        <scheme val="minor"/>
      </rPr>
      <t>q</t>
    </r>
    <r>
      <rPr>
        <b/>
        <sz val="12"/>
        <color rgb="FF3F3F3F"/>
        <rFont val="Calibri"/>
        <family val="2"/>
        <scheme val="minor"/>
      </rPr>
      <t>)</t>
    </r>
  </si>
  <si>
    <r>
      <t>Average time in the system(W</t>
    </r>
    <r>
      <rPr>
        <b/>
        <vertAlign val="subscript"/>
        <sz val="12"/>
        <color rgb="FF3F3F3F"/>
        <rFont val="Calibri"/>
        <family val="2"/>
        <scheme val="minor"/>
      </rPr>
      <t>s</t>
    </r>
    <r>
      <rPr>
        <b/>
        <sz val="12"/>
        <color rgb="FF3F3F3F"/>
        <rFont val="Calibri"/>
        <family val="2"/>
        <scheme val="minor"/>
      </rPr>
      <t>)</t>
    </r>
  </si>
  <si>
    <r>
      <t>Probability (% of time) system is empty (P</t>
    </r>
    <r>
      <rPr>
        <b/>
        <vertAlign val="subscript"/>
        <sz val="12"/>
        <color rgb="FF3F3F3F"/>
        <rFont val="Calibri"/>
        <family val="2"/>
        <scheme val="minor"/>
      </rPr>
      <t>0</t>
    </r>
    <r>
      <rPr>
        <b/>
        <sz val="12"/>
        <color rgb="FF3F3F3F"/>
        <rFont val="Calibri"/>
        <family val="2"/>
        <scheme val="minor"/>
      </rPr>
      <t>)</t>
    </r>
  </si>
  <si>
    <t>Number</t>
  </si>
  <si>
    <t>Cumulative Probability</t>
  </si>
  <si>
    <t>Probabilities</t>
  </si>
  <si>
    <t>Single Channel Model</t>
  </si>
  <si>
    <t>Multiple server model (M/M/s)</t>
  </si>
  <si>
    <t>Number of servers(s)</t>
  </si>
  <si>
    <t>term2</t>
  </si>
  <si>
    <t>P0(s)</t>
  </si>
  <si>
    <t>Rho(s)</t>
  </si>
  <si>
    <t>Lq(s)</t>
  </si>
  <si>
    <t>L(s)</t>
  </si>
  <si>
    <t>Wq(s)</t>
  </si>
  <si>
    <t>W(S)</t>
  </si>
  <si>
    <t>Sensitivity Table</t>
  </si>
  <si>
    <t>Multiple Channel Model</t>
  </si>
  <si>
    <t>Constant/Deterministic Service Times Model (M/D/1)</t>
  </si>
  <si>
    <t>M/M/s with a limited population</t>
  </si>
  <si>
    <t>Number of servers/channels, M</t>
  </si>
  <si>
    <t>Population size (potential customers), N</t>
  </si>
  <si>
    <t>Effective arrival rate</t>
  </si>
  <si>
    <t>Service Factor, X</t>
  </si>
  <si>
    <t>Probability that a customer will have to wait in line, D</t>
  </si>
  <si>
    <t>Efficiency Factor, F</t>
  </si>
  <si>
    <t>Average number of customers being served, H</t>
  </si>
  <si>
    <t>Average number of customers not in queue or service, J</t>
  </si>
  <si>
    <t>Number, n</t>
  </si>
  <si>
    <t>Probability, P(n)</t>
  </si>
  <si>
    <t>Number waiting</t>
  </si>
  <si>
    <t>Arrival rate(n)</t>
  </si>
  <si>
    <t>Term 1</t>
  </si>
  <si>
    <t>Sum term 1</t>
  </si>
  <si>
    <t>Term 2</t>
  </si>
  <si>
    <t>Sum term 2</t>
  </si>
  <si>
    <t>Decum term 2</t>
  </si>
  <si>
    <t>wtdsum2 term</t>
  </si>
  <si>
    <t>Average number of customers in the queue(L)</t>
  </si>
  <si>
    <t>Average waiting time in the queue(W)</t>
  </si>
  <si>
    <r>
      <t>(l</t>
    </r>
    <r>
      <rPr>
        <sz val="12"/>
        <color theme="1"/>
        <rFont val="Calibri"/>
      </rPr>
      <t xml:space="preserve"> - used for computations)</t>
    </r>
  </si>
  <si>
    <r>
      <t>(m</t>
    </r>
    <r>
      <rPr>
        <sz val="12"/>
        <color theme="1"/>
        <rFont val="Calibri"/>
      </rPr>
      <t xml:space="preserve"> - used for computations)</t>
    </r>
  </si>
  <si>
    <r>
      <t xml:space="preserve">Arrival </t>
    </r>
    <r>
      <rPr>
        <b/>
        <sz val="12"/>
        <rFont val="Calibri"/>
      </rPr>
      <t>rate</t>
    </r>
    <r>
      <rPr>
        <sz val="12"/>
        <color theme="1"/>
        <rFont val="Calibri"/>
      </rPr>
      <t xml:space="preserve"> per customer</t>
    </r>
  </si>
  <si>
    <r>
      <t xml:space="preserve">Service </t>
    </r>
    <r>
      <rPr>
        <b/>
        <sz val="12"/>
        <rFont val="Calibri"/>
      </rPr>
      <t>rate</t>
    </r>
  </si>
  <si>
    <r>
      <t>Average number of customers in the system(L</t>
    </r>
    <r>
      <rPr>
        <b/>
        <vertAlign val="subscript"/>
        <sz val="12"/>
        <color indexed="63"/>
        <rFont val="Calibri"/>
      </rPr>
      <t>s</t>
    </r>
    <r>
      <rPr>
        <b/>
        <sz val="12"/>
        <color indexed="63"/>
        <rFont val="Calibri"/>
      </rPr>
      <t xml:space="preserve"> = N - J)</t>
    </r>
  </si>
  <si>
    <r>
      <t>Average time in the system(W</t>
    </r>
    <r>
      <rPr>
        <b/>
        <vertAlign val="subscript"/>
        <sz val="12"/>
        <color indexed="63"/>
        <rFont val="Calibri"/>
      </rPr>
      <t>s</t>
    </r>
    <r>
      <rPr>
        <b/>
        <sz val="12"/>
        <color indexed="63"/>
        <rFont val="Calibri"/>
      </rPr>
      <t>)</t>
    </r>
  </si>
  <si>
    <r>
      <t>Probability (% of time) system is empty (P</t>
    </r>
    <r>
      <rPr>
        <b/>
        <vertAlign val="subscript"/>
        <sz val="12"/>
        <color indexed="63"/>
        <rFont val="Calibri"/>
      </rPr>
      <t>0</t>
    </r>
    <r>
      <rPr>
        <b/>
        <sz val="12"/>
        <color indexed="63"/>
        <rFont val="Calibri"/>
      </rPr>
      <t>)</t>
    </r>
  </si>
  <si>
    <t>hours</t>
  </si>
  <si>
    <t>Learning Curves</t>
  </si>
  <si>
    <t>Determining times</t>
  </si>
  <si>
    <t>Unit number of base unit</t>
  </si>
  <si>
    <t>Time for base unit</t>
  </si>
  <si>
    <t>Learning curve coefficient</t>
  </si>
  <si>
    <t>Time for first unit</t>
  </si>
  <si>
    <t>b</t>
  </si>
  <si>
    <t>Unit</t>
  </si>
  <si>
    <t>Cumulative time</t>
  </si>
  <si>
    <t>Unit 1</t>
  </si>
  <si>
    <t>Unit 2</t>
  </si>
  <si>
    <t>Unit 3</t>
  </si>
  <si>
    <t>Determining Times</t>
  </si>
  <si>
    <t>(Do not change this value)</t>
  </si>
  <si>
    <t>Find coefficient</t>
  </si>
  <si>
    <t>Unit number</t>
  </si>
  <si>
    <t>First</t>
  </si>
  <si>
    <t>Last</t>
  </si>
  <si>
    <t>Unit 4</t>
  </si>
  <si>
    <t>Unit 5</t>
  </si>
  <si>
    <t>Unit 6</t>
  </si>
  <si>
    <t>Unit 7</t>
  </si>
  <si>
    <t>Unit 8</t>
  </si>
  <si>
    <t>Unit 9</t>
  </si>
  <si>
    <t>Unit 10</t>
  </si>
  <si>
    <t>Unit 11</t>
  </si>
  <si>
    <t>Unit 12</t>
  </si>
  <si>
    <t>Unit 13</t>
  </si>
  <si>
    <t>Unit 14</t>
  </si>
  <si>
    <t>Unit 15</t>
  </si>
  <si>
    <t>Unit 16</t>
  </si>
  <si>
    <t>Unit 17</t>
  </si>
  <si>
    <t>Unit 18</t>
  </si>
  <si>
    <t>Unit 19</t>
  </si>
  <si>
    <t>Unit 20</t>
  </si>
  <si>
    <t>Unit 21</t>
  </si>
  <si>
    <t>Unit 22</t>
  </si>
  <si>
    <t>Unit 23</t>
  </si>
  <si>
    <t>Unit 24</t>
  </si>
  <si>
    <t>Unit 25</t>
  </si>
  <si>
    <t>Unit 26</t>
  </si>
  <si>
    <t>Unit 27</t>
  </si>
  <si>
    <t>Unit 28</t>
  </si>
  <si>
    <t>Unit 29</t>
  </si>
  <si>
    <t>Unit 30</t>
  </si>
  <si>
    <t>Unit 31</t>
  </si>
  <si>
    <t>Unit 32</t>
  </si>
  <si>
    <t>Unit 33</t>
  </si>
  <si>
    <t>Unit 34</t>
  </si>
  <si>
    <t>Unit 35</t>
  </si>
  <si>
    <t>Unit 36</t>
  </si>
  <si>
    <t>Unit 37</t>
  </si>
  <si>
    <t>Unit 38</t>
  </si>
  <si>
    <t>Unit 39</t>
  </si>
  <si>
    <t>Unit 40</t>
  </si>
  <si>
    <t>Unit 41</t>
  </si>
  <si>
    <t>Unit 42</t>
  </si>
  <si>
    <t>Unit 43</t>
  </si>
  <si>
    <t>Unit 44</t>
  </si>
  <si>
    <t>Unit 45</t>
  </si>
  <si>
    <t>Determining Rates</t>
  </si>
  <si>
    <t>Simulation</t>
  </si>
  <si>
    <t>Expected Value</t>
  </si>
  <si>
    <t>Simulation results</t>
  </si>
  <si>
    <t>Random Number Sorter</t>
  </si>
  <si>
    <t>Category name</t>
  </si>
  <si>
    <t>Frequency</t>
  </si>
  <si>
    <t>Value * Frequency</t>
  </si>
  <si>
    <t>Simulation Occurrences</t>
  </si>
  <si>
    <t>Percentage</t>
  </si>
  <si>
    <t>Occurences * Value</t>
  </si>
  <si>
    <t>Category 1</t>
  </si>
  <si>
    <t>Category 2</t>
  </si>
  <si>
    <t>Simulation trials</t>
  </si>
  <si>
    <t>Trial</t>
  </si>
  <si>
    <t>Random Number</t>
  </si>
  <si>
    <t>Category 3</t>
  </si>
  <si>
    <t>Category 4</t>
  </si>
  <si>
    <t>Category 5</t>
  </si>
  <si>
    <t>Category 6</t>
  </si>
  <si>
    <t>Exponential Smoothing</t>
  </si>
  <si>
    <t>January</t>
  </si>
  <si>
    <t>February</t>
  </si>
  <si>
    <t>March</t>
  </si>
  <si>
    <t>April</t>
  </si>
  <si>
    <t>May</t>
  </si>
  <si>
    <t>June</t>
  </si>
  <si>
    <t>July</t>
  </si>
  <si>
    <t>August</t>
  </si>
  <si>
    <t>September</t>
  </si>
  <si>
    <t>October</t>
  </si>
  <si>
    <t>November</t>
  </si>
  <si>
    <t>December</t>
  </si>
  <si>
    <t>Month</t>
  </si>
  <si>
    <t>Error Analysis</t>
  </si>
  <si>
    <t>Error analysis</t>
  </si>
  <si>
    <t>Quarter 1</t>
  </si>
  <si>
    <t>Quarter 2</t>
  </si>
  <si>
    <t>Quarter 3</t>
  </si>
  <si>
    <t>Quarter 4</t>
  </si>
  <si>
    <t>Quarter 5</t>
  </si>
  <si>
    <t>Quarter 6</t>
  </si>
  <si>
    <t>Tracking Signal</t>
  </si>
  <si>
    <t>Cum error</t>
  </si>
  <si>
    <t>Cum Abs Err</t>
  </si>
  <si>
    <t>Mad</t>
  </si>
  <si>
    <t>Track Signal (Cum error/MAD)</t>
  </si>
  <si>
    <t>Simple linear regression</t>
  </si>
  <si>
    <t>Year 1</t>
  </si>
  <si>
    <t>Year 2</t>
  </si>
  <si>
    <t>Year 3</t>
  </si>
  <si>
    <t>Year 4</t>
  </si>
  <si>
    <t>Year 5</t>
  </si>
  <si>
    <t>Year 6</t>
  </si>
  <si>
    <t>Least Squares</t>
  </si>
  <si>
    <t>Waiting cost ($/time)</t>
  </si>
  <si>
    <t>Cost - based on waiting</t>
  </si>
  <si>
    <t>Constant Time Model</t>
  </si>
  <si>
    <t>Old average waiting time</t>
  </si>
  <si>
    <t>Old waiting cost</t>
  </si>
  <si>
    <t>Server cost $/customer)</t>
  </si>
  <si>
    <t>Net Savings</t>
  </si>
  <si>
    <t>Beginning Inventory</t>
  </si>
  <si>
    <t>Ending Inventory</t>
  </si>
  <si>
    <t>Order</t>
  </si>
  <si>
    <t>Lost Sales</t>
  </si>
  <si>
    <t>EOQ Model 2</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</si>
</sst>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5" formatCode="&quot;$&quot;#,##0;\-&quot;$&quot;#,##0"/>
    <numFmt numFmtId="6" formatCode="&quot;$&quot;#,##0;[Red]\-&quot;$&quot;#,##0"/>
    <numFmt numFmtId="7" formatCode="&quot;$&quot;#,##0.00;\-&quot;$&quot;#,##0.00"/>
    <numFmt numFmtId="8" formatCode="&quot;$&quot;#,##0.00;[Red]\-&quot;$&quot;#,##0.00"/>
    <numFmt numFmtId="44" formatCode="_-&quot;$&quot;* #,##0.00_-;\-&quot;$&quot;* #,##0.00_-;_-&quot;$&quot;* &quot;-&quot;??_-;_-@_-"/>
    <numFmt numFmtId="164" formatCode="00.00%"/>
    <numFmt numFmtId="165" formatCode="General_)"/>
    <numFmt numFmtId="166" formatCode="##"/>
    <numFmt numFmtId="167" formatCode="0.000000"/>
    <numFmt numFmtId="168" formatCode="0.0000"/>
    <numFmt numFmtId="169" formatCode="00%"/>
  </numFmts>
  <fonts count="67" x14ac:knownFonts="1">
    <font>
      <sz val="12"/>
      <color theme="1"/>
      <name val="Calibri"/>
      <family val="2"/>
      <scheme val="minor"/>
    </font>
    <font>
      <sz val="12"/>
      <color theme="1"/>
      <name val="Calibri"/>
      <family val="2"/>
      <scheme val="minor"/>
    </font>
    <font>
      <b/>
      <sz val="12"/>
      <color rgb="FF3F3F3F"/>
      <name val="Calibri"/>
      <family val="2"/>
      <scheme val="minor"/>
    </font>
    <font>
      <sz val="12"/>
      <color rgb="FFFF0000"/>
      <name val="Calibri"/>
      <family val="2"/>
      <scheme val="minor"/>
    </font>
    <font>
      <sz val="12"/>
      <color rgb="FF0000FF"/>
      <name val="Calibri"/>
      <family val="2"/>
      <scheme val="minor"/>
    </font>
    <font>
      <b/>
      <sz val="14"/>
      <color rgb="FF1F497D"/>
      <name val="Calibri"/>
      <scheme val="minor"/>
    </font>
    <font>
      <sz val="9"/>
      <color indexed="81"/>
      <name val="Calibri"/>
      <family val="2"/>
    </font>
    <font>
      <sz val="12"/>
      <color rgb="FFFF6600"/>
      <name val="Calibri"/>
      <family val="2"/>
      <scheme val="minor"/>
    </font>
    <font>
      <b/>
      <sz val="12"/>
      <color rgb="FFFF6600"/>
      <name val="Calibri"/>
      <scheme val="minor"/>
    </font>
    <font>
      <sz val="12"/>
      <color rgb="FF3F3F3F"/>
      <name val="Calibri"/>
      <family val="2"/>
      <scheme val="minor"/>
    </font>
    <font>
      <u/>
      <sz val="12"/>
      <color theme="10"/>
      <name val="Calibri"/>
      <family val="2"/>
      <scheme val="minor"/>
    </font>
    <font>
      <u/>
      <sz val="12"/>
      <color theme="11"/>
      <name val="Calibri"/>
      <family val="2"/>
      <scheme val="minor"/>
    </font>
    <font>
      <b/>
      <sz val="14"/>
      <color rgb="FF800000"/>
      <name val="Calibri"/>
      <scheme val="minor"/>
    </font>
    <font>
      <b/>
      <sz val="12"/>
      <color rgb="FFFF0000"/>
      <name val="Calibri"/>
      <scheme val="minor"/>
    </font>
    <font>
      <sz val="10"/>
      <color indexed="63"/>
      <name val="Arial"/>
    </font>
    <font>
      <vertAlign val="subscript"/>
      <sz val="10"/>
      <color indexed="63"/>
      <name val="Arial"/>
    </font>
    <font>
      <sz val="12"/>
      <color rgb="FF000000"/>
      <name val="Calibri"/>
      <family val="2"/>
      <scheme val="minor"/>
    </font>
    <font>
      <sz val="10"/>
      <color indexed="12"/>
      <name val="Arial"/>
      <family val="2"/>
    </font>
    <font>
      <sz val="12"/>
      <color rgb="FF3F3F3F"/>
      <name val="Symbol"/>
    </font>
    <font>
      <b/>
      <sz val="12"/>
      <color rgb="FF000000"/>
      <name val="Calibri"/>
      <scheme val="minor"/>
    </font>
    <font>
      <sz val="12"/>
      <color rgb="FF000000"/>
      <name val="Lucida Grande"/>
    </font>
    <font>
      <b/>
      <sz val="12"/>
      <color theme="1"/>
      <name val="Calibri"/>
      <family val="2"/>
      <scheme val="minor"/>
    </font>
    <font>
      <b/>
      <sz val="16"/>
      <color rgb="FF1F497D"/>
      <name val="Calibri"/>
      <scheme val="minor"/>
    </font>
    <font>
      <sz val="12"/>
      <color theme="1"/>
      <name val="Calibri"/>
    </font>
    <font>
      <sz val="11"/>
      <color theme="1"/>
      <name val="Calibri"/>
      <scheme val="minor"/>
    </font>
    <font>
      <b/>
      <sz val="11"/>
      <color rgb="FFFF0000"/>
      <name val="Calibri"/>
      <scheme val="minor"/>
    </font>
    <font>
      <b/>
      <sz val="10"/>
      <color rgb="FF3F3F3F"/>
      <name val="Symbol"/>
    </font>
    <font>
      <sz val="10"/>
      <name val="Arial"/>
    </font>
    <font>
      <b/>
      <sz val="12"/>
      <color indexed="62"/>
      <name val="Calibri"/>
    </font>
    <font>
      <sz val="12"/>
      <name val="Calibri"/>
    </font>
    <font>
      <sz val="12"/>
      <color indexed="12"/>
      <name val="Calibri"/>
    </font>
    <font>
      <b/>
      <sz val="12"/>
      <name val="Calibri"/>
    </font>
    <font>
      <b/>
      <sz val="12"/>
      <color indexed="53"/>
      <name val="Calibri"/>
    </font>
    <font>
      <b/>
      <sz val="12"/>
      <color indexed="63"/>
      <name val="Calibri"/>
    </font>
    <font>
      <b/>
      <sz val="12"/>
      <color indexed="12"/>
      <name val="Calibri"/>
    </font>
    <font>
      <b/>
      <sz val="13"/>
      <color indexed="62"/>
      <name val="Calibri"/>
    </font>
    <font>
      <b/>
      <sz val="14"/>
      <color rgb="FF800000"/>
      <name val="Calibri"/>
    </font>
    <font>
      <sz val="9"/>
      <color indexed="81"/>
      <name val="Tahoma"/>
      <family val="2"/>
    </font>
    <font>
      <b/>
      <sz val="13"/>
      <color rgb="FF1F497D"/>
      <name val="Calibri"/>
    </font>
    <font>
      <sz val="12"/>
      <color rgb="FF0000FF"/>
      <name val="Calibri"/>
    </font>
    <font>
      <b/>
      <sz val="12"/>
      <color rgb="FFFF6600"/>
      <name val="Calibri"/>
    </font>
    <font>
      <b/>
      <sz val="12"/>
      <color rgb="FF3F3F3F"/>
      <name val="Calibri"/>
    </font>
    <font>
      <b/>
      <sz val="12"/>
      <color rgb="FFFF0000"/>
      <name val="Calibri"/>
    </font>
    <font>
      <b/>
      <vertAlign val="subscript"/>
      <sz val="12"/>
      <color indexed="63"/>
      <name val="Calibri"/>
    </font>
    <font>
      <sz val="13"/>
      <name val="Calibri"/>
    </font>
    <font>
      <b/>
      <vertAlign val="subscript"/>
      <sz val="12"/>
      <color rgb="FF3F3F3F"/>
      <name val="Calibri"/>
      <family val="2"/>
      <scheme val="minor"/>
    </font>
    <font>
      <sz val="10"/>
      <color indexed="8"/>
      <name val="Arial"/>
      <family val="2"/>
    </font>
    <font>
      <vertAlign val="subscript"/>
      <sz val="12"/>
      <name val="Calibri"/>
    </font>
    <font>
      <b/>
      <vertAlign val="subscript"/>
      <sz val="12"/>
      <name val="Calibri"/>
    </font>
    <font>
      <sz val="12"/>
      <color indexed="10"/>
      <name val="Calibri"/>
    </font>
    <font>
      <sz val="12"/>
      <color indexed="8"/>
      <name val="Calibri"/>
    </font>
    <font>
      <b/>
      <sz val="12"/>
      <color indexed="20"/>
      <name val="Calibri"/>
    </font>
    <font>
      <sz val="14"/>
      <color rgb="FF1F497D"/>
      <name val="Calibri"/>
    </font>
    <font>
      <b/>
      <sz val="14"/>
      <color rgb="FF1F497D"/>
      <name val="Calibri"/>
    </font>
    <font>
      <sz val="12"/>
      <color indexed="10"/>
      <name val="Calibri"/>
      <family val="2"/>
      <scheme val="minor"/>
    </font>
    <font>
      <sz val="12"/>
      <color rgb="FF3F3F3F"/>
      <name val="Calibri"/>
    </font>
    <font>
      <b/>
      <sz val="12"/>
      <color indexed="18"/>
      <name val="Calibri"/>
      <family val="2"/>
      <scheme val="minor"/>
    </font>
    <font>
      <b/>
      <sz val="12"/>
      <color indexed="10"/>
      <name val="Calibri"/>
    </font>
    <font>
      <b/>
      <sz val="13"/>
      <name val="Calibri"/>
    </font>
    <font>
      <sz val="8"/>
      <name val="Calibri"/>
      <family val="2"/>
      <scheme val="minor"/>
    </font>
    <font>
      <sz val="12"/>
      <color theme="1"/>
      <name val="Symbol"/>
    </font>
    <font>
      <b/>
      <sz val="12"/>
      <color rgb="FF3F3F3F"/>
      <name val="Symbol"/>
    </font>
    <font>
      <b/>
      <sz val="11"/>
      <color theme="1"/>
      <name val="Calibri"/>
      <scheme val="minor"/>
    </font>
    <font>
      <b/>
      <sz val="15"/>
      <color indexed="62"/>
      <name val="Calibri"/>
    </font>
    <font>
      <sz val="12"/>
      <name val="Calibri"/>
      <scheme val="minor"/>
    </font>
    <font>
      <sz val="12"/>
      <color rgb="FF000000"/>
      <name val="Calibri"/>
    </font>
    <font>
      <sz val="11"/>
      <color rgb="FF000000"/>
      <name val="Calibri"/>
    </font>
  </fonts>
  <fills count="19">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theme="5" tint="0.39994506668294322"/>
        <bgColor indexed="64"/>
      </patternFill>
    </fill>
    <fill>
      <patternFill patternType="solid">
        <fgColor rgb="FFFF6600"/>
        <bgColor indexed="64"/>
      </patternFill>
    </fill>
    <fill>
      <patternFill patternType="solid">
        <fgColor rgb="FFFFC7CE"/>
        <bgColor indexed="64"/>
      </patternFill>
    </fill>
    <fill>
      <patternFill patternType="solid">
        <fgColor rgb="FFFFC7CE"/>
        <bgColor rgb="FF160000"/>
      </patternFill>
    </fill>
    <fill>
      <patternFill patternType="solid">
        <fgColor rgb="FFFFCC99"/>
        <bgColor rgb="FF000000"/>
      </patternFill>
    </fill>
    <fill>
      <patternFill patternType="solid">
        <fgColor indexed="22"/>
        <bgColor indexed="64"/>
      </patternFill>
    </fill>
    <fill>
      <patternFill patternType="solid">
        <fgColor indexed="47"/>
        <bgColor indexed="64"/>
      </patternFill>
    </fill>
    <fill>
      <patternFill patternType="solid">
        <fgColor theme="5" tint="0.59999389629810485"/>
        <bgColor indexed="64"/>
      </patternFill>
    </fill>
    <fill>
      <patternFill patternType="solid">
        <fgColor theme="6" tint="0.79995117038483843"/>
        <bgColor indexed="64"/>
      </patternFill>
    </fill>
    <fill>
      <patternFill patternType="solid">
        <fgColor rgb="FFFF9900"/>
        <bgColor indexed="64"/>
      </patternFill>
    </fill>
    <fill>
      <patternFill patternType="solid">
        <fgColor indexed="45"/>
        <bgColor indexed="64"/>
      </patternFill>
    </fill>
    <fill>
      <patternFill patternType="solid">
        <fgColor theme="0" tint="-4.9989318521683403E-2"/>
        <bgColor indexed="64"/>
      </patternFill>
    </fill>
    <fill>
      <patternFill patternType="solid">
        <fgColor indexed="42"/>
        <bgColor indexed="64"/>
      </patternFill>
    </fill>
    <fill>
      <patternFill patternType="solid">
        <fgColor indexed="9"/>
        <bgColor indexed="64"/>
      </patternFill>
    </fill>
    <fill>
      <patternFill patternType="solid">
        <fgColor rgb="FFFFFF00"/>
        <bgColor indexed="64"/>
      </patternFill>
    </fill>
  </fills>
  <borders count="9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medium">
        <color auto="1"/>
      </top>
      <bottom/>
      <diagonal/>
    </border>
    <border>
      <left/>
      <right style="medium">
        <color auto="1"/>
      </right>
      <top/>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thin">
        <color auto="1"/>
      </left>
      <right style="medium">
        <color auto="1"/>
      </right>
      <top style="thin">
        <color auto="1"/>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medium">
        <color auto="1"/>
      </bottom>
      <diagonal/>
    </border>
    <border>
      <left style="medium">
        <color indexed="8"/>
      </left>
      <right/>
      <top style="medium">
        <color indexed="8"/>
      </top>
      <bottom/>
      <diagonal/>
    </border>
    <border>
      <left style="thin">
        <color auto="1"/>
      </left>
      <right style="medium">
        <color indexed="8"/>
      </right>
      <top style="medium">
        <color indexed="8"/>
      </top>
      <bottom style="thin">
        <color auto="1"/>
      </bottom>
      <diagonal/>
    </border>
    <border>
      <left style="medium">
        <color indexed="8"/>
      </left>
      <right/>
      <top/>
      <bottom/>
      <diagonal/>
    </border>
    <border>
      <left style="thin">
        <color auto="1"/>
      </left>
      <right style="medium">
        <color indexed="8"/>
      </right>
      <top style="thin">
        <color auto="1"/>
      </top>
      <bottom style="thin">
        <color auto="1"/>
      </bottom>
      <diagonal/>
    </border>
    <border>
      <left style="medium">
        <color indexed="8"/>
      </left>
      <right/>
      <top/>
      <bottom style="medium">
        <color indexed="8"/>
      </bottom>
      <diagonal/>
    </border>
    <border>
      <left style="thin">
        <color auto="1"/>
      </left>
      <right style="medium">
        <color indexed="8"/>
      </right>
      <top style="thin">
        <color auto="1"/>
      </top>
      <bottom style="medium">
        <color indexed="8"/>
      </bottom>
      <diagonal/>
    </border>
    <border>
      <left style="thin">
        <color auto="1"/>
      </left>
      <right/>
      <top style="medium">
        <color auto="1"/>
      </top>
      <bottom style="thin">
        <color auto="1"/>
      </bottom>
      <diagonal/>
    </border>
    <border>
      <left style="thin">
        <color auto="1"/>
      </left>
      <right/>
      <top/>
      <bottom/>
      <diagonal/>
    </border>
    <border>
      <left style="thin">
        <color auto="1"/>
      </left>
      <right style="thin">
        <color auto="1"/>
      </right>
      <top style="thin">
        <color auto="1"/>
      </top>
      <bottom style="double">
        <color auto="1"/>
      </bottom>
      <diagonal/>
    </border>
    <border>
      <left style="medium">
        <color auto="1"/>
      </left>
      <right style="medium">
        <color rgb="FF000000"/>
      </right>
      <top style="medium">
        <color auto="1"/>
      </top>
      <bottom style="medium">
        <color rgb="FF000000"/>
      </bottom>
      <diagonal/>
    </border>
    <border>
      <left style="thin">
        <color auto="1"/>
      </left>
      <right style="thin">
        <color auto="1"/>
      </right>
      <top style="medium">
        <color auto="1"/>
      </top>
      <bottom style="medium">
        <color rgb="FF000000"/>
      </bottom>
      <diagonal/>
    </border>
    <border>
      <left style="thin">
        <color auto="1"/>
      </left>
      <right style="medium">
        <color auto="1"/>
      </right>
      <top style="medium">
        <color auto="1"/>
      </top>
      <bottom style="medium">
        <color rgb="FF000000"/>
      </bottom>
      <diagonal/>
    </border>
    <border>
      <left style="medium">
        <color auto="1"/>
      </left>
      <right style="medium">
        <color rgb="FF000000"/>
      </right>
      <top/>
      <bottom style="double">
        <color auto="1"/>
      </bottom>
      <diagonal/>
    </border>
    <border>
      <left style="thin">
        <color auto="1"/>
      </left>
      <right style="medium">
        <color auto="1"/>
      </right>
      <top style="thin">
        <color auto="1"/>
      </top>
      <bottom style="double">
        <color auto="1"/>
      </bottom>
      <diagonal/>
    </border>
    <border>
      <left style="medium">
        <color auto="1"/>
      </left>
      <right style="medium">
        <color rgb="FF000000"/>
      </right>
      <top/>
      <bottom/>
      <diagonal/>
    </border>
    <border>
      <left style="medium">
        <color auto="1"/>
      </left>
      <right style="medium">
        <color rgb="FF000000"/>
      </right>
      <top/>
      <bottom style="medium">
        <color auto="1"/>
      </bottom>
      <diagonal/>
    </border>
    <border>
      <left style="thin">
        <color auto="1"/>
      </left>
      <right style="thin">
        <color auto="1"/>
      </right>
      <top style="medium">
        <color auto="1"/>
      </top>
      <bottom style="medium">
        <color rgb="FF3F3F3F"/>
      </bottom>
      <diagonal/>
    </border>
    <border>
      <left style="medium">
        <color auto="1"/>
      </left>
      <right style="medium">
        <color rgb="FF3F3F3F"/>
      </right>
      <top style="medium">
        <color auto="1"/>
      </top>
      <bottom style="medium">
        <color rgb="FF3F3F3F"/>
      </bottom>
      <diagonal/>
    </border>
    <border>
      <left style="medium">
        <color auto="1"/>
      </left>
      <right style="medium">
        <color rgb="FF3F3F3F"/>
      </right>
      <top style="thin">
        <color auto="1"/>
      </top>
      <bottom style="double">
        <color auto="1"/>
      </bottom>
      <diagonal/>
    </border>
    <border>
      <left style="medium">
        <color auto="1"/>
      </left>
      <right style="medium">
        <color rgb="FF3F3F3F"/>
      </right>
      <top style="thin">
        <color auto="1"/>
      </top>
      <bottom style="thin">
        <color auto="1"/>
      </bottom>
      <diagonal/>
    </border>
    <border>
      <left style="medium">
        <color auto="1"/>
      </left>
      <right style="medium">
        <color rgb="FF3F3F3F"/>
      </right>
      <top style="thin">
        <color auto="1"/>
      </top>
      <bottom style="medium">
        <color auto="1"/>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medium">
        <color auto="1"/>
      </left>
      <right style="hair">
        <color auto="1"/>
      </right>
      <top style="medium">
        <color auto="1"/>
      </top>
      <bottom style="hair">
        <color auto="1"/>
      </bottom>
      <diagonal/>
    </border>
    <border>
      <left style="medium">
        <color auto="1"/>
      </left>
      <right style="hair">
        <color auto="1"/>
      </right>
      <top style="hair">
        <color auto="1"/>
      </top>
      <bottom style="hair">
        <color auto="1"/>
      </bottom>
      <diagonal/>
    </border>
    <border>
      <left style="medium">
        <color auto="1"/>
      </left>
      <right style="hair">
        <color auto="1"/>
      </right>
      <top style="hair">
        <color auto="1"/>
      </top>
      <bottom style="medium">
        <color auto="1"/>
      </bottom>
      <diagonal/>
    </border>
    <border>
      <left/>
      <right style="medium">
        <color auto="1"/>
      </right>
      <top style="thin">
        <color auto="1"/>
      </top>
      <bottom style="thin">
        <color auto="1"/>
      </bottom>
      <diagonal/>
    </border>
    <border>
      <left style="thin">
        <color auto="1"/>
      </left>
      <right style="thin">
        <color auto="1"/>
      </right>
      <top style="medium">
        <color auto="1"/>
      </top>
      <bottom/>
      <diagonal/>
    </border>
    <border>
      <left style="hair">
        <color auto="1"/>
      </left>
      <right style="hair">
        <color auto="1"/>
      </right>
      <top/>
      <bottom/>
      <diagonal/>
    </border>
    <border>
      <left style="thin">
        <color auto="1"/>
      </left>
      <right style="medium">
        <color auto="1"/>
      </right>
      <top style="medium">
        <color auto="1"/>
      </top>
      <bottom/>
      <diagonal/>
    </border>
    <border>
      <left style="thin">
        <color auto="1"/>
      </left>
      <right style="thin">
        <color auto="1"/>
      </right>
      <top/>
      <bottom/>
      <diagonal/>
    </border>
    <border>
      <left style="thin">
        <color auto="1"/>
      </left>
      <right/>
      <top style="medium">
        <color auto="1"/>
      </top>
      <bottom/>
      <diagonal/>
    </border>
    <border>
      <left/>
      <right/>
      <top style="medium">
        <color indexed="23"/>
      </top>
      <bottom/>
      <diagonal/>
    </border>
    <border>
      <left/>
      <right/>
      <top/>
      <bottom style="medium">
        <color indexed="23"/>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
      <left style="thin">
        <color auto="1"/>
      </left>
      <right style="medium">
        <color auto="1"/>
      </right>
      <top/>
      <bottom style="medium">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medium">
        <color auto="1"/>
      </left>
      <right style="medium">
        <color rgb="FFFF6600"/>
      </right>
      <top style="medium">
        <color auto="1"/>
      </top>
      <bottom style="medium">
        <color rgb="FFFF6600"/>
      </bottom>
      <diagonal/>
    </border>
    <border>
      <left/>
      <right/>
      <top style="medium">
        <color auto="1"/>
      </top>
      <bottom style="medium">
        <color rgb="FFFF6600"/>
      </bottom>
      <diagonal/>
    </border>
    <border>
      <left/>
      <right style="medium">
        <color auto="1"/>
      </right>
      <top style="medium">
        <color auto="1"/>
      </top>
      <bottom style="medium">
        <color rgb="FFFF6600"/>
      </bottom>
      <diagonal/>
    </border>
    <border>
      <left style="medium">
        <color auto="1"/>
      </left>
      <right style="medium">
        <color rgb="FFFF6600"/>
      </right>
      <top/>
      <bottom style="double">
        <color auto="1"/>
      </bottom>
      <diagonal/>
    </border>
    <border>
      <left style="medium">
        <color auto="1"/>
      </left>
      <right style="medium">
        <color rgb="FFFF6600"/>
      </right>
      <top/>
      <bottom/>
      <diagonal/>
    </border>
    <border>
      <left style="medium">
        <color auto="1"/>
      </left>
      <right style="medium">
        <color rgb="FFFF6600"/>
      </right>
      <top/>
      <bottom style="medium">
        <color auto="1"/>
      </bottom>
      <diagonal/>
    </border>
    <border>
      <left style="medium">
        <color auto="1"/>
      </left>
      <right/>
      <top/>
      <bottom style="thin">
        <color auto="1"/>
      </bottom>
      <diagonal/>
    </border>
  </borders>
  <cellStyleXfs count="208">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44" fontId="1"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27" fillId="0" borderId="0"/>
    <xf numFmtId="44" fontId="27" fillId="0" borderId="0" applyFont="0" applyFill="0" applyBorder="0" applyAlignment="0" applyProtection="0"/>
    <xf numFmtId="0" fontId="24" fillId="0" borderId="0"/>
    <xf numFmtId="9" fontId="27" fillId="0" borderId="0" applyFont="0" applyFill="0" applyBorder="0" applyAlignment="0" applyProtection="0"/>
    <xf numFmtId="165" fontId="46" fillId="0" borderId="64"/>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165" fontId="46" fillId="0" borderId="64"/>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536">
    <xf numFmtId="0" fontId="0" fillId="0" borderId="0" xfId="0"/>
    <xf numFmtId="0" fontId="4" fillId="0" borderId="0" xfId="0" applyFont="1"/>
    <xf numFmtId="0" fontId="0" fillId="0" borderId="0" xfId="0" applyFont="1"/>
    <xf numFmtId="0" fontId="5" fillId="0" borderId="0" xfId="0" applyFont="1"/>
    <xf numFmtId="0" fontId="7" fillId="0" borderId="0" xfId="0" applyFont="1"/>
    <xf numFmtId="0" fontId="8" fillId="0" borderId="0" xfId="0" applyFont="1"/>
    <xf numFmtId="164" fontId="0" fillId="0" borderId="0" xfId="0" applyNumberFormat="1" applyFont="1"/>
    <xf numFmtId="0" fontId="0" fillId="2" borderId="2" xfId="0" applyFont="1" applyFill="1" applyBorder="1"/>
    <xf numFmtId="0" fontId="0" fillId="0" borderId="3" xfId="0" applyFont="1" applyBorder="1"/>
    <xf numFmtId="0" fontId="0" fillId="0" borderId="4" xfId="0" applyFont="1" applyBorder="1"/>
    <xf numFmtId="0" fontId="0" fillId="0" borderId="5" xfId="0" applyFont="1" applyBorder="1"/>
    <xf numFmtId="0" fontId="0" fillId="2" borderId="6" xfId="0" applyFont="1" applyFill="1" applyBorder="1"/>
    <xf numFmtId="0" fontId="0" fillId="0" borderId="7" xfId="0" applyFont="1" applyBorder="1"/>
    <xf numFmtId="0" fontId="0" fillId="2" borderId="8" xfId="0" applyFont="1" applyFill="1" applyBorder="1"/>
    <xf numFmtId="0" fontId="0" fillId="0" borderId="0" xfId="0" applyFont="1" applyBorder="1"/>
    <xf numFmtId="0" fontId="3" fillId="0" borderId="0" xfId="0" applyFont="1"/>
    <xf numFmtId="0" fontId="9" fillId="3" borderId="9" xfId="0" applyFont="1" applyFill="1" applyBorder="1"/>
    <xf numFmtId="0" fontId="9" fillId="3" borderId="2" xfId="0" applyFont="1" applyFill="1" applyBorder="1"/>
    <xf numFmtId="0" fontId="9" fillId="3" borderId="10" xfId="0" applyFont="1" applyFill="1" applyBorder="1"/>
    <xf numFmtId="0" fontId="9" fillId="3" borderId="11" xfId="0" applyFont="1" applyFill="1" applyBorder="1"/>
    <xf numFmtId="0" fontId="9" fillId="3" borderId="12" xfId="0" applyFont="1" applyFill="1" applyBorder="1"/>
    <xf numFmtId="0" fontId="2" fillId="3" borderId="13" xfId="0" applyFont="1" applyFill="1" applyBorder="1"/>
    <xf numFmtId="0" fontId="2" fillId="3" borderId="15" xfId="0" applyFont="1" applyFill="1" applyBorder="1"/>
    <xf numFmtId="0" fontId="2" fillId="0" borderId="0" xfId="0" applyFont="1"/>
    <xf numFmtId="0" fontId="0" fillId="0" borderId="16" xfId="0" applyFont="1" applyBorder="1"/>
    <xf numFmtId="0" fontId="0" fillId="0" borderId="17" xfId="0" applyFont="1" applyBorder="1"/>
    <xf numFmtId="0" fontId="0" fillId="0" borderId="18" xfId="0" applyFont="1" applyBorder="1"/>
    <xf numFmtId="0" fontId="2" fillId="3" borderId="2" xfId="0" applyFont="1" applyFill="1" applyBorder="1"/>
    <xf numFmtId="0" fontId="2" fillId="3" borderId="10" xfId="0" applyFont="1" applyFill="1" applyBorder="1"/>
    <xf numFmtId="0" fontId="2" fillId="3" borderId="11" xfId="0" applyFont="1" applyFill="1" applyBorder="1"/>
    <xf numFmtId="0" fontId="2" fillId="3" borderId="12" xfId="0" applyFont="1" applyFill="1" applyBorder="1"/>
    <xf numFmtId="0" fontId="2" fillId="3" borderId="22" xfId="0" applyFont="1" applyFill="1" applyBorder="1"/>
    <xf numFmtId="0" fontId="2" fillId="3" borderId="23" xfId="0" applyFont="1" applyFill="1" applyBorder="1"/>
    <xf numFmtId="164" fontId="2" fillId="3" borderId="24" xfId="0" applyNumberFormat="1" applyFont="1" applyFill="1" applyBorder="1"/>
    <xf numFmtId="164" fontId="2" fillId="3" borderId="6" xfId="0" applyNumberFormat="1" applyFont="1" applyFill="1" applyBorder="1"/>
    <xf numFmtId="0" fontId="2" fillId="3" borderId="6" xfId="0" applyFont="1" applyFill="1" applyBorder="1"/>
    <xf numFmtId="0" fontId="2" fillId="3" borderId="8" xfId="0" applyFont="1" applyFill="1" applyBorder="1"/>
    <xf numFmtId="164" fontId="9" fillId="3" borderId="6" xfId="0" applyNumberFormat="1" applyFont="1" applyFill="1" applyBorder="1"/>
    <xf numFmtId="0" fontId="0" fillId="4" borderId="0" xfId="0" applyFont="1" applyFill="1"/>
    <xf numFmtId="0" fontId="12" fillId="0" borderId="0" xfId="0" applyFont="1"/>
    <xf numFmtId="0" fontId="0" fillId="2" borderId="23" xfId="0" applyFont="1" applyFill="1" applyBorder="1"/>
    <xf numFmtId="0" fontId="13" fillId="0" borderId="0" xfId="0" applyFont="1"/>
    <xf numFmtId="0" fontId="2" fillId="3" borderId="2" xfId="0" applyFont="1" applyFill="1" applyBorder="1" applyAlignment="1">
      <alignment horizontal="center"/>
    </xf>
    <xf numFmtId="0" fontId="2" fillId="3" borderId="10" xfId="0" applyFont="1" applyFill="1" applyBorder="1" applyAlignment="1">
      <alignment horizontal="right"/>
    </xf>
    <xf numFmtId="0" fontId="2" fillId="3" borderId="23" xfId="0" applyFont="1" applyFill="1" applyBorder="1" applyAlignment="1">
      <alignment horizontal="right"/>
    </xf>
    <xf numFmtId="0" fontId="9" fillId="3" borderId="6" xfId="0" applyFont="1" applyFill="1" applyBorder="1"/>
    <xf numFmtId="0" fontId="9" fillId="3" borderId="10" xfId="0" applyFont="1" applyFill="1" applyBorder="1" applyAlignment="1">
      <alignment horizontal="right"/>
    </xf>
    <xf numFmtId="0" fontId="9" fillId="2" borderId="2" xfId="0" applyFont="1" applyFill="1" applyBorder="1"/>
    <xf numFmtId="164" fontId="9" fillId="3" borderId="24" xfId="0" applyNumberFormat="1" applyFont="1" applyFill="1" applyBorder="1"/>
    <xf numFmtId="0" fontId="2" fillId="3" borderId="9" xfId="0" applyFont="1" applyFill="1" applyBorder="1" applyAlignment="1">
      <alignment horizontal="right"/>
    </xf>
    <xf numFmtId="0" fontId="2" fillId="3" borderId="9" xfId="0" applyFont="1" applyFill="1" applyBorder="1"/>
    <xf numFmtId="0" fontId="2" fillId="3" borderId="26" xfId="0" applyFont="1" applyFill="1" applyBorder="1"/>
    <xf numFmtId="0" fontId="0" fillId="0" borderId="3" xfId="0" applyFont="1" applyBorder="1" applyAlignment="1">
      <alignment wrapText="1"/>
    </xf>
    <xf numFmtId="0" fontId="0" fillId="0" borderId="4" xfId="0" applyFont="1" applyBorder="1" applyAlignment="1">
      <alignment wrapText="1"/>
    </xf>
    <xf numFmtId="0" fontId="0" fillId="0" borderId="0" xfId="0" applyFont="1" applyAlignment="1">
      <alignment wrapText="1"/>
    </xf>
    <xf numFmtId="0" fontId="9" fillId="3" borderId="12" xfId="0" applyFont="1" applyFill="1" applyBorder="1" applyAlignment="1">
      <alignment wrapText="1"/>
    </xf>
    <xf numFmtId="164" fontId="9" fillId="3" borderId="24" xfId="0" applyNumberFormat="1" applyFont="1" applyFill="1" applyBorder="1" applyAlignment="1">
      <alignment wrapText="1"/>
    </xf>
    <xf numFmtId="0" fontId="0" fillId="2" borderId="27" xfId="0" applyFont="1" applyFill="1" applyBorder="1"/>
    <xf numFmtId="0" fontId="9" fillId="3" borderId="28" xfId="0" applyFont="1" applyFill="1" applyBorder="1"/>
    <xf numFmtId="0" fontId="9" fillId="3" borderId="19" xfId="0" applyFont="1" applyFill="1" applyBorder="1"/>
    <xf numFmtId="0" fontId="9" fillId="3" borderId="29" xfId="0" applyFont="1" applyFill="1" applyBorder="1" applyAlignment="1">
      <alignment horizontal="right"/>
    </xf>
    <xf numFmtId="0" fontId="9" fillId="3" borderId="20" xfId="0" applyFont="1" applyFill="1" applyBorder="1" applyAlignment="1">
      <alignment horizontal="right"/>
    </xf>
    <xf numFmtId="0" fontId="2" fillId="3" borderId="14" xfId="0" applyFont="1" applyFill="1" applyBorder="1"/>
    <xf numFmtId="0" fontId="14" fillId="3" borderId="11" xfId="0" applyFont="1" applyFill="1" applyBorder="1" applyAlignment="1">
      <alignment wrapText="1"/>
    </xf>
    <xf numFmtId="0" fontId="14" fillId="3" borderId="25" xfId="0" applyFont="1" applyFill="1" applyBorder="1" applyAlignment="1">
      <alignment wrapText="1"/>
    </xf>
    <xf numFmtId="0" fontId="0" fillId="5" borderId="0" xfId="0" applyFont="1" applyFill="1"/>
    <xf numFmtId="0" fontId="9" fillId="3" borderId="1" xfId="0" applyFont="1" applyFill="1" applyBorder="1"/>
    <xf numFmtId="164" fontId="9" fillId="3" borderId="27" xfId="0" applyNumberFormat="1" applyFont="1" applyFill="1" applyBorder="1"/>
    <xf numFmtId="0" fontId="2" fillId="3" borderId="24" xfId="0" applyFont="1" applyFill="1" applyBorder="1"/>
    <xf numFmtId="0" fontId="0" fillId="6" borderId="0" xfId="0" applyFont="1" applyFill="1"/>
    <xf numFmtId="0" fontId="0" fillId="7" borderId="17" xfId="0" applyFont="1" applyFill="1" applyBorder="1"/>
    <xf numFmtId="0" fontId="0" fillId="7" borderId="18" xfId="0" applyFont="1" applyFill="1" applyBorder="1"/>
    <xf numFmtId="0" fontId="7" fillId="2" borderId="2" xfId="0" applyFont="1" applyFill="1" applyBorder="1"/>
    <xf numFmtId="0" fontId="16" fillId="8" borderId="2" xfId="0" applyFont="1" applyFill="1" applyBorder="1"/>
    <xf numFmtId="0" fontId="16" fillId="8" borderId="21" xfId="0" applyFont="1" applyFill="1" applyBorder="1"/>
    <xf numFmtId="0" fontId="16" fillId="8" borderId="30" xfId="0" applyFont="1" applyFill="1" applyBorder="1"/>
    <xf numFmtId="0" fontId="0" fillId="6" borderId="2" xfId="0" applyFont="1" applyFill="1" applyBorder="1"/>
    <xf numFmtId="0" fontId="0" fillId="6" borderId="6" xfId="0" applyFont="1" applyFill="1" applyBorder="1"/>
    <xf numFmtId="0" fontId="9" fillId="3" borderId="27" xfId="0" applyFont="1" applyFill="1" applyBorder="1"/>
    <xf numFmtId="0" fontId="9" fillId="3" borderId="31" xfId="0" applyFont="1" applyFill="1" applyBorder="1"/>
    <xf numFmtId="0" fontId="9" fillId="3" borderId="32" xfId="0" applyFont="1" applyFill="1" applyBorder="1"/>
    <xf numFmtId="0" fontId="9" fillId="3" borderId="33" xfId="0" applyFont="1" applyFill="1" applyBorder="1"/>
    <xf numFmtId="0" fontId="9" fillId="3" borderId="24" xfId="0" applyFont="1" applyFill="1" applyBorder="1"/>
    <xf numFmtId="0" fontId="17" fillId="0" borderId="0" xfId="0" applyFont="1"/>
    <xf numFmtId="0" fontId="0" fillId="0" borderId="0" xfId="0" applyAlignment="1">
      <alignment wrapText="1"/>
    </xf>
    <xf numFmtId="0" fontId="0" fillId="2" borderId="24" xfId="0" applyFont="1" applyFill="1" applyBorder="1"/>
    <xf numFmtId="0" fontId="19" fillId="0" borderId="0" xfId="0" applyFont="1"/>
    <xf numFmtId="0" fontId="21" fillId="0" borderId="0" xfId="0" applyFont="1"/>
    <xf numFmtId="0" fontId="22" fillId="0" borderId="0" xfId="0" applyFont="1"/>
    <xf numFmtId="0" fontId="0" fillId="2" borderId="1" xfId="0" applyFont="1" applyFill="1" applyBorder="1"/>
    <xf numFmtId="0" fontId="0" fillId="2" borderId="12" xfId="0" applyFont="1" applyFill="1" applyBorder="1"/>
    <xf numFmtId="0" fontId="0" fillId="6" borderId="0" xfId="0" applyFont="1" applyFill="1" applyBorder="1"/>
    <xf numFmtId="0" fontId="0" fillId="0" borderId="34" xfId="0" applyFont="1" applyBorder="1"/>
    <xf numFmtId="44" fontId="0" fillId="0" borderId="0" xfId="23" applyFont="1"/>
    <xf numFmtId="44" fontId="2" fillId="3" borderId="2" xfId="23" applyFont="1" applyFill="1" applyBorder="1"/>
    <xf numFmtId="44" fontId="2" fillId="3" borderId="23" xfId="23" applyFont="1" applyFill="1" applyBorder="1"/>
    <xf numFmtId="44" fontId="2" fillId="3" borderId="8" xfId="23" applyFont="1" applyFill="1" applyBorder="1"/>
    <xf numFmtId="44" fontId="9" fillId="3" borderId="2" xfId="23" applyFont="1" applyFill="1" applyBorder="1"/>
    <xf numFmtId="0" fontId="9" fillId="3" borderId="23" xfId="0" applyFont="1" applyFill="1" applyBorder="1"/>
    <xf numFmtId="0" fontId="9" fillId="3" borderId="8" xfId="0" applyFont="1" applyFill="1" applyBorder="1"/>
    <xf numFmtId="8" fontId="0" fillId="0" borderId="0" xfId="0" applyNumberFormat="1" applyFont="1"/>
    <xf numFmtId="0" fontId="9" fillId="3" borderId="26" xfId="0" applyFont="1" applyFill="1" applyBorder="1"/>
    <xf numFmtId="0" fontId="0" fillId="0" borderId="16" xfId="0" applyFont="1" applyBorder="1" applyAlignment="1">
      <alignment wrapText="1"/>
    </xf>
    <xf numFmtId="0" fontId="25" fillId="0" borderId="5" xfId="0" applyFont="1" applyBorder="1"/>
    <xf numFmtId="0" fontId="0" fillId="0" borderId="0" xfId="0" applyFont="1" applyBorder="1" applyAlignment="1">
      <alignment wrapText="1"/>
    </xf>
    <xf numFmtId="0" fontId="0" fillId="6" borderId="34" xfId="0" applyFont="1" applyFill="1" applyBorder="1"/>
    <xf numFmtId="6" fontId="0" fillId="2" borderId="2" xfId="0" applyNumberFormat="1" applyFont="1" applyFill="1" applyBorder="1"/>
    <xf numFmtId="6" fontId="0" fillId="2" borderId="6" xfId="0" applyNumberFormat="1" applyFont="1" applyFill="1" applyBorder="1"/>
    <xf numFmtId="6" fontId="0" fillId="2" borderId="23" xfId="0" applyNumberFormat="1" applyFont="1" applyFill="1" applyBorder="1"/>
    <xf numFmtId="2" fontId="0" fillId="6" borderId="0" xfId="0" applyNumberFormat="1" applyFont="1" applyFill="1"/>
    <xf numFmtId="0" fontId="3" fillId="0" borderId="4" xfId="0" applyFont="1" applyBorder="1"/>
    <xf numFmtId="0" fontId="0" fillId="0" borderId="5" xfId="0" applyFont="1" applyBorder="1" applyAlignment="1">
      <alignment wrapText="1"/>
    </xf>
    <xf numFmtId="0" fontId="0" fillId="0" borderId="17" xfId="0" applyFont="1" applyBorder="1" applyAlignment="1">
      <alignment wrapText="1"/>
    </xf>
    <xf numFmtId="0" fontId="0" fillId="2" borderId="10" xfId="0" applyFont="1" applyFill="1" applyBorder="1"/>
    <xf numFmtId="0" fontId="0" fillId="2" borderId="22" xfId="0" applyFont="1" applyFill="1" applyBorder="1"/>
    <xf numFmtId="0" fontId="0" fillId="0" borderId="0" xfId="0" applyFont="1" applyAlignment="1">
      <alignment horizontal="right"/>
    </xf>
    <xf numFmtId="0" fontId="2" fillId="3" borderId="12" xfId="0" applyFont="1" applyFill="1" applyBorder="1" applyAlignment="1">
      <alignment horizontal="center"/>
    </xf>
    <xf numFmtId="0" fontId="2" fillId="3" borderId="24" xfId="0" applyFont="1" applyFill="1" applyBorder="1" applyAlignment="1">
      <alignment horizontal="center"/>
    </xf>
    <xf numFmtId="0" fontId="2" fillId="3" borderId="6" xfId="0" applyFont="1" applyFill="1" applyBorder="1" applyAlignment="1">
      <alignment horizontal="center"/>
    </xf>
    <xf numFmtId="0" fontId="2" fillId="3" borderId="23" xfId="0" applyFont="1" applyFill="1" applyBorder="1" applyAlignment="1">
      <alignment horizontal="center"/>
    </xf>
    <xf numFmtId="0" fontId="2" fillId="3" borderId="8" xfId="0" applyFont="1" applyFill="1" applyBorder="1" applyAlignment="1">
      <alignment horizontal="center"/>
    </xf>
    <xf numFmtId="10" fontId="2" fillId="3" borderId="6" xfId="0" applyNumberFormat="1" applyFont="1" applyFill="1" applyBorder="1"/>
    <xf numFmtId="10" fontId="2" fillId="3" borderId="8" xfId="0" applyNumberFormat="1" applyFont="1" applyFill="1" applyBorder="1"/>
    <xf numFmtId="0" fontId="0" fillId="0" borderId="0" xfId="0" applyFont="1" applyAlignment="1">
      <alignment horizontal="center"/>
    </xf>
    <xf numFmtId="0" fontId="0" fillId="0" borderId="2" xfId="0" applyFont="1" applyBorder="1"/>
    <xf numFmtId="0" fontId="0" fillId="0" borderId="10" xfId="0" applyFont="1" applyBorder="1"/>
    <xf numFmtId="0" fontId="0" fillId="0" borderId="11" xfId="0" applyFont="1" applyBorder="1"/>
    <xf numFmtId="0" fontId="0" fillId="0" borderId="12" xfId="0" applyFont="1" applyBorder="1"/>
    <xf numFmtId="0" fontId="0" fillId="0" borderId="22" xfId="0" applyFont="1" applyBorder="1"/>
    <xf numFmtId="0" fontId="0" fillId="0" borderId="23" xfId="0" applyFont="1" applyBorder="1"/>
    <xf numFmtId="0" fontId="0" fillId="0" borderId="24" xfId="0" applyFont="1" applyBorder="1"/>
    <xf numFmtId="0" fontId="0" fillId="0" borderId="6" xfId="0" applyFont="1" applyBorder="1"/>
    <xf numFmtId="0" fontId="0" fillId="0" borderId="8" xfId="0" applyFont="1" applyBorder="1"/>
    <xf numFmtId="9" fontId="0" fillId="2" borderId="2" xfId="0" applyNumberFormat="1" applyFont="1" applyFill="1" applyBorder="1"/>
    <xf numFmtId="9" fontId="0" fillId="2" borderId="23" xfId="0" applyNumberFormat="1" applyFont="1" applyFill="1" applyBorder="1"/>
    <xf numFmtId="0" fontId="29" fillId="0" borderId="0" xfId="30" applyFont="1"/>
    <xf numFmtId="0" fontId="30" fillId="0" borderId="0" xfId="30" applyFont="1"/>
    <xf numFmtId="0" fontId="29" fillId="9" borderId="0" xfId="30" applyFont="1" applyFill="1"/>
    <xf numFmtId="0" fontId="31" fillId="0" borderId="0" xfId="30" applyFont="1"/>
    <xf numFmtId="0" fontId="32" fillId="0" borderId="0" xfId="30" applyFont="1"/>
    <xf numFmtId="0" fontId="29" fillId="0" borderId="43" xfId="30" applyFont="1" applyBorder="1"/>
    <xf numFmtId="0" fontId="29" fillId="10" borderId="44" xfId="30" applyFont="1" applyFill="1" applyBorder="1"/>
    <xf numFmtId="0" fontId="29" fillId="0" borderId="45" xfId="30" applyFont="1" applyBorder="1"/>
    <xf numFmtId="0" fontId="29" fillId="10" borderId="46" xfId="30" applyFont="1" applyFill="1" applyBorder="1"/>
    <xf numFmtId="9" fontId="29" fillId="10" borderId="46" xfId="30" applyNumberFormat="1" applyFont="1" applyFill="1" applyBorder="1"/>
    <xf numFmtId="0" fontId="29" fillId="0" borderId="47" xfId="30" applyFont="1" applyBorder="1"/>
    <xf numFmtId="0" fontId="29" fillId="10" borderId="48" xfId="30" applyFont="1" applyFill="1" applyBorder="1"/>
    <xf numFmtId="0" fontId="33" fillId="0" borderId="0" xfId="30" applyFont="1"/>
    <xf numFmtId="0" fontId="33" fillId="9" borderId="11" xfId="30" applyFont="1" applyFill="1" applyBorder="1"/>
    <xf numFmtId="2" fontId="33" fillId="9" borderId="24" xfId="30" applyNumberFormat="1" applyFont="1" applyFill="1" applyBorder="1"/>
    <xf numFmtId="0" fontId="33" fillId="9" borderId="22" xfId="30" applyFont="1" applyFill="1" applyBorder="1"/>
    <xf numFmtId="10" fontId="33" fillId="9" borderId="8" xfId="30" applyNumberFormat="1" applyFont="1" applyFill="1" applyBorder="1"/>
    <xf numFmtId="0" fontId="34" fillId="0" borderId="0" xfId="30" applyFont="1"/>
    <xf numFmtId="0" fontId="29" fillId="0" borderId="0" xfId="30" applyFont="1" applyFill="1"/>
    <xf numFmtId="0" fontId="31" fillId="0" borderId="2" xfId="30" applyFont="1" applyBorder="1"/>
    <xf numFmtId="0" fontId="29" fillId="0" borderId="2" xfId="30" applyFont="1" applyBorder="1"/>
    <xf numFmtId="0" fontId="29" fillId="0" borderId="2" xfId="30" applyFont="1" applyFill="1" applyBorder="1"/>
    <xf numFmtId="0" fontId="36" fillId="0" borderId="0" xfId="30" applyFont="1"/>
    <xf numFmtId="9" fontId="29" fillId="10" borderId="48" xfId="30" applyNumberFormat="1" applyFont="1" applyFill="1" applyBorder="1"/>
    <xf numFmtId="164" fontId="0" fillId="2" borderId="2" xfId="0" applyNumberFormat="1" applyFont="1" applyFill="1" applyBorder="1"/>
    <xf numFmtId="164" fontId="0" fillId="6" borderId="2" xfId="0" applyNumberFormat="1" applyFont="1" applyFill="1" applyBorder="1"/>
    <xf numFmtId="44" fontId="0" fillId="6" borderId="0" xfId="23" applyFont="1" applyFill="1"/>
    <xf numFmtId="164" fontId="9" fillId="3" borderId="2" xfId="0" applyNumberFormat="1" applyFont="1" applyFill="1" applyBorder="1"/>
    <xf numFmtId="44" fontId="9" fillId="3" borderId="23" xfId="23" applyFont="1" applyFill="1" applyBorder="1"/>
    <xf numFmtId="164" fontId="9" fillId="3" borderId="23" xfId="0" applyNumberFormat="1" applyFont="1" applyFill="1" applyBorder="1"/>
    <xf numFmtId="0" fontId="9" fillId="3" borderId="37" xfId="0" applyFont="1" applyFill="1" applyBorder="1" applyAlignment="1">
      <alignment wrapText="1"/>
    </xf>
    <xf numFmtId="0" fontId="9" fillId="3" borderId="39" xfId="0" applyFont="1" applyFill="1" applyBorder="1"/>
    <xf numFmtId="0" fontId="9" fillId="3" borderId="40" xfId="0" applyFont="1" applyFill="1" applyBorder="1"/>
    <xf numFmtId="0" fontId="9" fillId="3" borderId="25" xfId="0" applyFont="1" applyFill="1" applyBorder="1" applyAlignment="1">
      <alignment wrapText="1"/>
    </xf>
    <xf numFmtId="0" fontId="2" fillId="3" borderId="31" xfId="0" applyFont="1" applyFill="1" applyBorder="1" applyAlignment="1">
      <alignment wrapText="1"/>
    </xf>
    <xf numFmtId="0" fontId="2" fillId="3" borderId="32" xfId="0" applyFont="1" applyFill="1" applyBorder="1"/>
    <xf numFmtId="0" fontId="2" fillId="3" borderId="33" xfId="0" applyFont="1" applyFill="1" applyBorder="1"/>
    <xf numFmtId="0" fontId="9" fillId="3" borderId="49" xfId="0" applyFont="1" applyFill="1" applyBorder="1" applyAlignment="1">
      <alignment wrapText="1"/>
    </xf>
    <xf numFmtId="164" fontId="9" fillId="3" borderId="35" xfId="0" applyNumberFormat="1" applyFont="1" applyFill="1" applyBorder="1"/>
    <xf numFmtId="164" fontId="9" fillId="3" borderId="42" xfId="0" applyNumberFormat="1" applyFont="1" applyFill="1" applyBorder="1"/>
    <xf numFmtId="0" fontId="2" fillId="3" borderId="32" xfId="0" applyFont="1" applyFill="1" applyBorder="1" applyAlignment="1">
      <alignment horizontal="center"/>
    </xf>
    <xf numFmtId="0" fontId="2" fillId="3" borderId="33" xfId="0" applyFont="1" applyFill="1" applyBorder="1" applyAlignment="1">
      <alignment horizontal="center"/>
    </xf>
    <xf numFmtId="0" fontId="38" fillId="0" borderId="0" xfId="30" applyFont="1"/>
    <xf numFmtId="44" fontId="23" fillId="2" borderId="6" xfId="31" applyFont="1" applyFill="1" applyBorder="1"/>
    <xf numFmtId="9" fontId="23" fillId="0" borderId="0" xfId="33" applyFont="1"/>
    <xf numFmtId="0" fontId="39" fillId="0" borderId="0" xfId="30" applyFont="1"/>
    <xf numFmtId="0" fontId="40" fillId="0" borderId="0" xfId="30" applyFont="1"/>
    <xf numFmtId="0" fontId="29" fillId="0" borderId="3" xfId="30" applyFont="1" applyBorder="1"/>
    <xf numFmtId="0" fontId="29" fillId="2" borderId="24" xfId="30" applyFont="1" applyFill="1" applyBorder="1"/>
    <xf numFmtId="0" fontId="29" fillId="0" borderId="5" xfId="30" applyFont="1" applyBorder="1"/>
    <xf numFmtId="0" fontId="29" fillId="2" borderId="6" xfId="30" applyFont="1" applyFill="1" applyBorder="1"/>
    <xf numFmtId="0" fontId="29" fillId="0" borderId="7" xfId="30" applyFont="1" applyBorder="1"/>
    <xf numFmtId="0" fontId="29" fillId="2" borderId="8" xfId="30" applyFont="1" applyFill="1" applyBorder="1"/>
    <xf numFmtId="0" fontId="41" fillId="3" borderId="22" xfId="30" applyFont="1" applyFill="1" applyBorder="1"/>
    <xf numFmtId="1" fontId="41" fillId="3" borderId="8" xfId="31" applyNumberFormat="1" applyFont="1" applyFill="1" applyBorder="1"/>
    <xf numFmtId="0" fontId="41" fillId="0" borderId="0" xfId="30" applyFont="1" applyFill="1" applyBorder="1"/>
    <xf numFmtId="0" fontId="42" fillId="0" borderId="0" xfId="30" applyFont="1" applyFill="1" applyBorder="1"/>
    <xf numFmtId="0" fontId="41" fillId="0" borderId="0" xfId="30" applyFont="1"/>
    <xf numFmtId="0" fontId="31" fillId="3" borderId="11" xfId="30" applyFont="1" applyFill="1" applyBorder="1"/>
    <xf numFmtId="2" fontId="41" fillId="3" borderId="24" xfId="30" applyNumberFormat="1" applyFont="1" applyFill="1" applyBorder="1"/>
    <xf numFmtId="0" fontId="41" fillId="3" borderId="10" xfId="30" applyFont="1" applyFill="1" applyBorder="1"/>
    <xf numFmtId="2" fontId="41" fillId="3" borderId="6" xfId="30" applyNumberFormat="1" applyFont="1" applyFill="1" applyBorder="1"/>
    <xf numFmtId="0" fontId="41" fillId="3" borderId="6" xfId="30" applyFont="1" applyFill="1" applyBorder="1"/>
    <xf numFmtId="7" fontId="41" fillId="3" borderId="6" xfId="30" applyNumberFormat="1" applyFont="1" applyFill="1" applyBorder="1"/>
    <xf numFmtId="7" fontId="41" fillId="3" borderId="8" xfId="30" applyNumberFormat="1" applyFont="1" applyFill="1" applyBorder="1"/>
    <xf numFmtId="0" fontId="31" fillId="0" borderId="0" xfId="30" applyFont="1" applyAlignment="1">
      <alignment horizontal="center"/>
    </xf>
    <xf numFmtId="0" fontId="29" fillId="2" borderId="2" xfId="30" applyFont="1" applyFill="1" applyBorder="1"/>
    <xf numFmtId="0" fontId="31" fillId="0" borderId="0" xfId="30" applyFont="1" applyAlignment="1">
      <alignment horizontal="center" wrapText="1"/>
    </xf>
    <xf numFmtId="2" fontId="29" fillId="0" borderId="0" xfId="30" applyNumberFormat="1" applyFont="1"/>
    <xf numFmtId="0" fontId="44" fillId="0" borderId="0" xfId="30" applyFont="1"/>
    <xf numFmtId="0" fontId="29" fillId="2" borderId="44" xfId="30" applyFont="1" applyFill="1" applyBorder="1"/>
    <xf numFmtId="0" fontId="29" fillId="2" borderId="46" xfId="30" applyFont="1" applyFill="1" applyBorder="1"/>
    <xf numFmtId="0" fontId="29" fillId="11" borderId="0" xfId="30" applyFont="1" applyFill="1"/>
    <xf numFmtId="0" fontId="29" fillId="2" borderId="48" xfId="30" applyFont="1" applyFill="1" applyBorder="1"/>
    <xf numFmtId="0" fontId="41" fillId="3" borderId="11" xfId="30" applyFont="1" applyFill="1" applyBorder="1"/>
    <xf numFmtId="0" fontId="41" fillId="3" borderId="24" xfId="30" applyFont="1" applyFill="1" applyBorder="1"/>
    <xf numFmtId="44" fontId="41" fillId="3" borderId="6" xfId="31" applyFont="1" applyFill="1" applyBorder="1"/>
    <xf numFmtId="44" fontId="41" fillId="3" borderId="8" xfId="31" applyFont="1" applyFill="1" applyBorder="1"/>
    <xf numFmtId="10" fontId="0" fillId="2" borderId="2" xfId="0" applyNumberFormat="1" applyFont="1" applyFill="1" applyBorder="1"/>
    <xf numFmtId="7" fontId="2" fillId="3" borderId="2" xfId="0" applyNumberFormat="1" applyFont="1" applyFill="1" applyBorder="1"/>
    <xf numFmtId="7" fontId="2" fillId="3" borderId="23" xfId="0" applyNumberFormat="1" applyFont="1" applyFill="1" applyBorder="1"/>
    <xf numFmtId="7" fontId="2" fillId="3" borderId="6" xfId="0" applyNumberFormat="1" applyFont="1" applyFill="1" applyBorder="1"/>
    <xf numFmtId="7" fontId="2" fillId="3" borderId="8" xfId="0" applyNumberFormat="1" applyFont="1" applyFill="1" applyBorder="1"/>
    <xf numFmtId="0" fontId="0" fillId="2" borderId="51" xfId="0" applyFont="1" applyFill="1" applyBorder="1"/>
    <xf numFmtId="0" fontId="0" fillId="0" borderId="52" xfId="0" applyFont="1" applyFill="1" applyBorder="1"/>
    <xf numFmtId="0" fontId="0" fillId="2" borderId="53" xfId="0" applyFont="1" applyFill="1" applyBorder="1"/>
    <xf numFmtId="0" fontId="0" fillId="2" borderId="54" xfId="0" applyFont="1" applyFill="1" applyBorder="1"/>
    <xf numFmtId="0" fontId="0" fillId="0" borderId="55" xfId="0" applyFont="1" applyFill="1" applyBorder="1"/>
    <xf numFmtId="0" fontId="0" fillId="2" borderId="56" xfId="0" applyFont="1" applyFill="1" applyBorder="1"/>
    <xf numFmtId="0" fontId="0" fillId="0" borderId="57" xfId="0" applyFont="1" applyFill="1" applyBorder="1"/>
    <xf numFmtId="0" fontId="0" fillId="0" borderId="58" xfId="0" applyFont="1" applyFill="1" applyBorder="1"/>
    <xf numFmtId="0" fontId="9" fillId="3" borderId="22" xfId="0" applyFont="1" applyFill="1" applyBorder="1"/>
    <xf numFmtId="0" fontId="2" fillId="3" borderId="59" xfId="0" applyFont="1" applyFill="1" applyBorder="1"/>
    <xf numFmtId="0" fontId="2" fillId="3" borderId="51" xfId="0" applyFont="1" applyFill="1" applyBorder="1"/>
    <xf numFmtId="0" fontId="2" fillId="3" borderId="60" xfId="0" applyFont="1" applyFill="1" applyBorder="1"/>
    <xf numFmtId="0" fontId="2" fillId="3" borderId="61" xfId="0" applyFont="1" applyFill="1" applyBorder="1"/>
    <xf numFmtId="0" fontId="2" fillId="3" borderId="62" xfId="0" applyFont="1" applyFill="1" applyBorder="1"/>
    <xf numFmtId="0" fontId="2" fillId="3" borderId="63" xfId="0" applyFont="1" applyFill="1" applyBorder="1"/>
    <xf numFmtId="0" fontId="29" fillId="0" borderId="11" xfId="30" applyFont="1" applyBorder="1"/>
    <xf numFmtId="0" fontId="29" fillId="0" borderId="10" xfId="30" applyFont="1" applyBorder="1"/>
    <xf numFmtId="0" fontId="29" fillId="0" borderId="22" xfId="30" applyFont="1" applyBorder="1"/>
    <xf numFmtId="0" fontId="33" fillId="0" borderId="0" xfId="30" applyFont="1" applyFill="1" applyBorder="1"/>
    <xf numFmtId="0" fontId="29" fillId="0" borderId="0" xfId="30" applyFont="1" applyFill="1" applyBorder="1"/>
    <xf numFmtId="0" fontId="31" fillId="9" borderId="5" xfId="30" applyFont="1" applyFill="1" applyBorder="1"/>
    <xf numFmtId="10" fontId="29" fillId="2" borderId="2" xfId="30" applyNumberFormat="1" applyFont="1" applyFill="1" applyBorder="1"/>
    <xf numFmtId="0" fontId="33" fillId="9" borderId="37" xfId="30" applyFont="1" applyFill="1" applyBorder="1"/>
    <xf numFmtId="0" fontId="33" fillId="9" borderId="40" xfId="30" applyFont="1" applyFill="1" applyBorder="1"/>
    <xf numFmtId="2" fontId="41" fillId="3" borderId="31" xfId="30" applyNumberFormat="1" applyFont="1" applyFill="1" applyBorder="1"/>
    <xf numFmtId="2" fontId="41" fillId="3" borderId="33" xfId="30" applyNumberFormat="1" applyFont="1" applyFill="1" applyBorder="1"/>
    <xf numFmtId="0" fontId="31" fillId="9" borderId="37" xfId="30" applyFont="1" applyFill="1" applyBorder="1"/>
    <xf numFmtId="0" fontId="31" fillId="9" borderId="39" xfId="30" applyFont="1" applyFill="1" applyBorder="1"/>
    <xf numFmtId="0" fontId="31" fillId="9" borderId="40" xfId="30" applyFont="1" applyFill="1" applyBorder="1"/>
    <xf numFmtId="0" fontId="41" fillId="3" borderId="32" xfId="30" applyFont="1" applyFill="1" applyBorder="1"/>
    <xf numFmtId="2" fontId="41" fillId="3" borderId="32" xfId="30" applyNumberFormat="1" applyFont="1" applyFill="1" applyBorder="1"/>
    <xf numFmtId="0" fontId="33" fillId="9" borderId="39" xfId="30" applyFont="1" applyFill="1" applyBorder="1"/>
    <xf numFmtId="0" fontId="35" fillId="0" borderId="0" xfId="30" applyFont="1"/>
    <xf numFmtId="0" fontId="9" fillId="3" borderId="11" xfId="0" applyFont="1" applyFill="1" applyBorder="1" applyAlignment="1">
      <alignment wrapText="1"/>
    </xf>
    <xf numFmtId="165" fontId="49" fillId="0" borderId="64" xfId="34" applyFont="1"/>
    <xf numFmtId="165" fontId="50" fillId="0" borderId="64" xfId="34" applyFont="1"/>
    <xf numFmtId="165" fontId="50" fillId="0" borderId="0" xfId="34" applyFont="1" applyBorder="1"/>
    <xf numFmtId="165" fontId="51" fillId="0" borderId="0" xfId="34" applyFont="1" applyBorder="1"/>
    <xf numFmtId="165" fontId="40" fillId="0" borderId="64" xfId="34" applyFont="1"/>
    <xf numFmtId="165" fontId="50" fillId="0" borderId="3" xfId="34" applyFont="1" applyBorder="1"/>
    <xf numFmtId="165" fontId="50" fillId="0" borderId="16" xfId="34" applyFont="1" applyBorder="1"/>
    <xf numFmtId="165" fontId="50" fillId="0" borderId="4" xfId="34" applyFont="1" applyBorder="1"/>
    <xf numFmtId="165" fontId="50" fillId="0" borderId="5" xfId="34" applyFont="1" applyBorder="1"/>
    <xf numFmtId="165" fontId="50" fillId="12" borderId="6" xfId="34" applyFont="1" applyFill="1" applyBorder="1"/>
    <xf numFmtId="165" fontId="50" fillId="2" borderId="6" xfId="34" applyFont="1" applyFill="1" applyBorder="1"/>
    <xf numFmtId="165" fontId="50" fillId="0" borderId="7" xfId="34" applyFont="1" applyBorder="1"/>
    <xf numFmtId="165" fontId="50" fillId="2" borderId="23" xfId="34" applyFont="1" applyFill="1" applyBorder="1"/>
    <xf numFmtId="165" fontId="50" fillId="2" borderId="8" xfId="34" applyFont="1" applyFill="1" applyBorder="1"/>
    <xf numFmtId="165" fontId="50" fillId="6" borderId="8" xfId="34" applyFont="1" applyFill="1" applyBorder="1"/>
    <xf numFmtId="165" fontId="50" fillId="6" borderId="23" xfId="34" applyFont="1" applyFill="1" applyBorder="1"/>
    <xf numFmtId="165" fontId="50" fillId="13" borderId="2" xfId="34" applyFont="1" applyFill="1" applyBorder="1"/>
    <xf numFmtId="165" fontId="50" fillId="0" borderId="65" xfId="34" applyFont="1" applyBorder="1"/>
    <xf numFmtId="165" fontId="41" fillId="0" borderId="66" xfId="34" applyFont="1" applyBorder="1"/>
    <xf numFmtId="165" fontId="50" fillId="0" borderId="66" xfId="34" applyFont="1" applyBorder="1"/>
    <xf numFmtId="1" fontId="41" fillId="3" borderId="11" xfId="34" applyNumberFormat="1" applyFont="1" applyFill="1" applyBorder="1"/>
    <xf numFmtId="1" fontId="41" fillId="3" borderId="12" xfId="34" applyNumberFormat="1" applyFont="1" applyFill="1" applyBorder="1"/>
    <xf numFmtId="1" fontId="41" fillId="3" borderId="24" xfId="34" applyNumberFormat="1" applyFont="1" applyFill="1" applyBorder="1"/>
    <xf numFmtId="1" fontId="41" fillId="3" borderId="10" xfId="34" applyNumberFormat="1" applyFont="1" applyFill="1" applyBorder="1"/>
    <xf numFmtId="1" fontId="41" fillId="3" borderId="2" xfId="34" applyNumberFormat="1" applyFont="1" applyFill="1" applyBorder="1"/>
    <xf numFmtId="1" fontId="41" fillId="3" borderId="6" xfId="34" applyNumberFormat="1" applyFont="1" applyFill="1" applyBorder="1"/>
    <xf numFmtId="1" fontId="41" fillId="3" borderId="22" xfId="34" applyNumberFormat="1" applyFont="1" applyFill="1" applyBorder="1"/>
    <xf numFmtId="1" fontId="41" fillId="3" borderId="23" xfId="34" applyNumberFormat="1" applyFont="1" applyFill="1" applyBorder="1"/>
    <xf numFmtId="1" fontId="41" fillId="3" borderId="8" xfId="34" applyNumberFormat="1" applyFont="1" applyFill="1" applyBorder="1"/>
    <xf numFmtId="165" fontId="50" fillId="0" borderId="67" xfId="34" applyFont="1" applyBorder="1"/>
    <xf numFmtId="165" fontId="41" fillId="3" borderId="13" xfId="34" applyFont="1" applyFill="1" applyBorder="1"/>
    <xf numFmtId="165" fontId="41" fillId="3" borderId="15" xfId="34" applyFont="1" applyFill="1" applyBorder="1"/>
    <xf numFmtId="165" fontId="50" fillId="0" borderId="68" xfId="34" applyFont="1" applyBorder="1"/>
    <xf numFmtId="165" fontId="50" fillId="2" borderId="24" xfId="34" applyFont="1" applyFill="1" applyBorder="1"/>
    <xf numFmtId="165" fontId="50" fillId="0" borderId="69" xfId="34" applyFont="1" applyBorder="1"/>
    <xf numFmtId="165" fontId="50" fillId="0" borderId="70" xfId="34" applyFont="1" applyBorder="1"/>
    <xf numFmtId="165" fontId="52" fillId="0" borderId="64" xfId="34" applyFont="1"/>
    <xf numFmtId="165" fontId="53" fillId="0" borderId="64" xfId="34" applyFont="1"/>
    <xf numFmtId="165" fontId="36" fillId="0" borderId="64" xfId="34" applyFont="1"/>
    <xf numFmtId="0" fontId="2" fillId="0" borderId="0" xfId="0" applyFont="1" applyAlignment="1">
      <alignment wrapText="1"/>
    </xf>
    <xf numFmtId="0" fontId="0" fillId="2" borderId="2" xfId="0" applyFont="1" applyFill="1" applyBorder="1" applyAlignment="1">
      <alignment wrapText="1"/>
    </xf>
    <xf numFmtId="0" fontId="54" fillId="0" borderId="0" xfId="0" applyFont="1"/>
    <xf numFmtId="0" fontId="0" fillId="0" borderId="0" xfId="0" applyFont="1" applyFill="1"/>
    <xf numFmtId="0" fontId="0" fillId="0" borderId="2" xfId="0" applyFont="1" applyFill="1" applyBorder="1"/>
    <xf numFmtId="7" fontId="0" fillId="0" borderId="0" xfId="0" applyNumberFormat="1" applyFont="1"/>
    <xf numFmtId="0" fontId="2" fillId="3" borderId="37" xfId="0" applyFont="1" applyFill="1" applyBorder="1" applyAlignment="1">
      <alignment wrapText="1"/>
    </xf>
    <xf numFmtId="0" fontId="2" fillId="3" borderId="39" xfId="0" applyFont="1" applyFill="1" applyBorder="1"/>
    <xf numFmtId="0" fontId="2" fillId="3" borderId="40" xfId="0" applyFont="1" applyFill="1" applyBorder="1"/>
    <xf numFmtId="5" fontId="0" fillId="0" borderId="0" xfId="0" applyNumberFormat="1" applyFont="1"/>
    <xf numFmtId="5" fontId="2" fillId="3" borderId="15" xfId="0" applyNumberFormat="1" applyFont="1" applyFill="1" applyBorder="1"/>
    <xf numFmtId="5" fontId="9" fillId="3" borderId="2" xfId="0" applyNumberFormat="1" applyFont="1" applyFill="1" applyBorder="1"/>
    <xf numFmtId="5" fontId="9" fillId="3" borderId="12" xfId="0" applyNumberFormat="1" applyFont="1" applyFill="1" applyBorder="1" applyAlignment="1">
      <alignment wrapText="1"/>
    </xf>
    <xf numFmtId="5" fontId="9" fillId="3" borderId="23" xfId="0" applyNumberFormat="1" applyFont="1" applyFill="1" applyBorder="1"/>
    <xf numFmtId="5" fontId="9" fillId="3" borderId="24" xfId="0" applyNumberFormat="1" applyFont="1" applyFill="1" applyBorder="1" applyAlignment="1">
      <alignment wrapText="1"/>
    </xf>
    <xf numFmtId="5" fontId="9" fillId="3" borderId="6" xfId="0" applyNumberFormat="1" applyFont="1" applyFill="1" applyBorder="1"/>
    <xf numFmtId="5" fontId="9" fillId="3" borderId="8" xfId="0" applyNumberFormat="1" applyFont="1" applyFill="1" applyBorder="1"/>
    <xf numFmtId="165" fontId="50" fillId="0" borderId="64" xfId="47" applyFont="1"/>
    <xf numFmtId="165" fontId="50" fillId="0" borderId="0" xfId="47" applyFont="1" applyBorder="1"/>
    <xf numFmtId="165" fontId="52" fillId="0" borderId="64" xfId="47" applyFont="1"/>
    <xf numFmtId="165" fontId="39" fillId="0" borderId="64" xfId="47" applyFont="1"/>
    <xf numFmtId="165" fontId="40" fillId="0" borderId="64" xfId="47" applyFont="1"/>
    <xf numFmtId="165" fontId="50" fillId="2" borderId="2" xfId="47" applyFont="1" applyFill="1" applyBorder="1"/>
    <xf numFmtId="165" fontId="50" fillId="0" borderId="3" xfId="47" applyFont="1" applyBorder="1"/>
    <xf numFmtId="165" fontId="50" fillId="0" borderId="16" xfId="47" applyFont="1" applyBorder="1"/>
    <xf numFmtId="165" fontId="50" fillId="0" borderId="4" xfId="47" applyFont="1" applyBorder="1"/>
    <xf numFmtId="165" fontId="50" fillId="0" borderId="5" xfId="47" applyFont="1" applyBorder="1"/>
    <xf numFmtId="165" fontId="50" fillId="2" borderId="6" xfId="47" applyFont="1" applyFill="1" applyBorder="1"/>
    <xf numFmtId="165" fontId="50" fillId="0" borderId="7" xfId="47" applyFont="1" applyBorder="1"/>
    <xf numFmtId="165" fontId="50" fillId="2" borderId="23" xfId="47" applyFont="1" applyFill="1" applyBorder="1"/>
    <xf numFmtId="165" fontId="50" fillId="2" borderId="8" xfId="47" applyFont="1" applyFill="1" applyBorder="1"/>
    <xf numFmtId="165" fontId="50" fillId="0" borderId="66" xfId="47" applyFont="1" applyBorder="1"/>
    <xf numFmtId="166" fontId="41" fillId="3" borderId="2" xfId="47" applyNumberFormat="1" applyFont="1" applyFill="1" applyBorder="1"/>
    <xf numFmtId="166" fontId="41" fillId="3" borderId="10" xfId="47" applyNumberFormat="1" applyFont="1" applyFill="1" applyBorder="1"/>
    <xf numFmtId="166" fontId="41" fillId="3" borderId="11" xfId="47" applyNumberFormat="1" applyFont="1" applyFill="1" applyBorder="1"/>
    <xf numFmtId="166" fontId="41" fillId="3" borderId="12" xfId="47" applyNumberFormat="1" applyFont="1" applyFill="1" applyBorder="1"/>
    <xf numFmtId="166" fontId="41" fillId="3" borderId="24" xfId="47" applyNumberFormat="1" applyFont="1" applyFill="1" applyBorder="1"/>
    <xf numFmtId="166" fontId="41" fillId="3" borderId="6" xfId="47" applyNumberFormat="1" applyFont="1" applyFill="1" applyBorder="1"/>
    <xf numFmtId="166" fontId="41" fillId="3" borderId="22" xfId="47" applyNumberFormat="1" applyFont="1" applyFill="1" applyBorder="1"/>
    <xf numFmtId="166" fontId="41" fillId="3" borderId="23" xfId="47" applyNumberFormat="1" applyFont="1" applyFill="1" applyBorder="1"/>
    <xf numFmtId="166" fontId="41" fillId="3" borderId="8" xfId="47" applyNumberFormat="1" applyFont="1" applyFill="1" applyBorder="1"/>
    <xf numFmtId="166" fontId="41" fillId="3" borderId="39" xfId="47" applyNumberFormat="1" applyFont="1" applyFill="1" applyBorder="1"/>
    <xf numFmtId="165" fontId="50" fillId="0" borderId="65" xfId="47" applyFont="1" applyBorder="1"/>
    <xf numFmtId="165" fontId="41" fillId="3" borderId="2" xfId="47" applyFont="1" applyFill="1" applyBorder="1"/>
    <xf numFmtId="165" fontId="41" fillId="3" borderId="10" xfId="47" applyFont="1" applyFill="1" applyBorder="1"/>
    <xf numFmtId="165" fontId="41" fillId="3" borderId="12" xfId="47" applyFont="1" applyFill="1" applyBorder="1"/>
    <xf numFmtId="165" fontId="41" fillId="3" borderId="22" xfId="47" applyFont="1" applyFill="1" applyBorder="1"/>
    <xf numFmtId="165" fontId="41" fillId="3" borderId="23" xfId="47" applyFont="1" applyFill="1" applyBorder="1"/>
    <xf numFmtId="165" fontId="41" fillId="3" borderId="24" xfId="47" applyFont="1" applyFill="1" applyBorder="1"/>
    <xf numFmtId="165" fontId="41" fillId="3" borderId="6" xfId="47" applyFont="1" applyFill="1" applyBorder="1"/>
    <xf numFmtId="165" fontId="41" fillId="3" borderId="8" xfId="47" applyFont="1" applyFill="1" applyBorder="1"/>
    <xf numFmtId="165" fontId="41" fillId="3" borderId="71" xfId="47" applyFont="1" applyFill="1" applyBorder="1"/>
    <xf numFmtId="166" fontId="41" fillId="3" borderId="72" xfId="47" applyNumberFormat="1" applyFont="1" applyFill="1" applyBorder="1"/>
    <xf numFmtId="165" fontId="41" fillId="3" borderId="30" xfId="47" applyFont="1" applyFill="1" applyBorder="1"/>
    <xf numFmtId="165" fontId="50" fillId="0" borderId="67" xfId="47" applyFont="1" applyBorder="1"/>
    <xf numFmtId="165" fontId="41" fillId="3" borderId="11" xfId="47" applyFont="1" applyFill="1" applyBorder="1"/>
    <xf numFmtId="165" fontId="41" fillId="3" borderId="13" xfId="47" applyFont="1" applyFill="1" applyBorder="1"/>
    <xf numFmtId="165" fontId="41" fillId="3" borderId="15" xfId="47" applyFont="1" applyFill="1" applyBorder="1"/>
    <xf numFmtId="165" fontId="50" fillId="0" borderId="73" xfId="47" applyFont="1" applyBorder="1"/>
    <xf numFmtId="165" fontId="41" fillId="3" borderId="39" xfId="47" applyFont="1" applyFill="1" applyBorder="1"/>
    <xf numFmtId="165" fontId="41" fillId="3" borderId="40" xfId="47" applyFont="1" applyFill="1" applyBorder="1"/>
    <xf numFmtId="165" fontId="41" fillId="3" borderId="72" xfId="47" applyFont="1" applyFill="1" applyBorder="1"/>
    <xf numFmtId="165" fontId="41" fillId="3" borderId="74" xfId="47" applyFont="1" applyFill="1" applyBorder="1"/>
    <xf numFmtId="165" fontId="53" fillId="0" borderId="64" xfId="47" applyFont="1"/>
    <xf numFmtId="165" fontId="36" fillId="0" borderId="64" xfId="47" applyFont="1"/>
    <xf numFmtId="0" fontId="0" fillId="0" borderId="80" xfId="0" applyFill="1" applyBorder="1" applyAlignment="1"/>
    <xf numFmtId="0" fontId="56" fillId="0" borderId="79" xfId="0" applyFont="1" applyFill="1" applyBorder="1" applyAlignment="1">
      <alignment horizontal="center"/>
    </xf>
    <xf numFmtId="0" fontId="0" fillId="0" borderId="81" xfId="0" applyFill="1" applyBorder="1" applyAlignment="1"/>
    <xf numFmtId="165" fontId="0" fillId="0" borderId="80" xfId="0" applyNumberFormat="1" applyFill="1" applyBorder="1" applyAlignment="1"/>
    <xf numFmtId="166" fontId="0" fillId="0" borderId="81" xfId="0" applyNumberFormat="1" applyFill="1" applyBorder="1" applyAlignment="1"/>
    <xf numFmtId="166" fontId="0" fillId="0" borderId="80" xfId="0" applyNumberFormat="1" applyFill="1" applyBorder="1" applyAlignment="1"/>
    <xf numFmtId="165" fontId="0" fillId="0" borderId="81" xfId="0" applyNumberFormat="1" applyFill="1" applyBorder="1" applyAlignment="1"/>
    <xf numFmtId="0" fontId="56" fillId="0" borderId="77" xfId="0" applyFont="1" applyFill="1" applyBorder="1" applyAlignment="1">
      <alignment horizontal="center"/>
    </xf>
    <xf numFmtId="0" fontId="56" fillId="0" borderId="78" xfId="0" applyFont="1" applyFill="1" applyBorder="1" applyAlignment="1">
      <alignment horizontal="center"/>
    </xf>
    <xf numFmtId="0" fontId="9" fillId="3" borderId="75" xfId="0" applyFont="1" applyFill="1" applyBorder="1"/>
    <xf numFmtId="0" fontId="9" fillId="3" borderId="21" xfId="0" applyFont="1" applyFill="1" applyBorder="1"/>
    <xf numFmtId="0" fontId="2" fillId="3" borderId="12" xfId="0" applyFont="1" applyFill="1" applyBorder="1" applyAlignment="1">
      <alignment horizontal="right"/>
    </xf>
    <xf numFmtId="0" fontId="0" fillId="0" borderId="0" xfId="0" applyFont="1" applyAlignment="1">
      <alignment horizontal="left" wrapText="1"/>
    </xf>
    <xf numFmtId="0" fontId="9" fillId="3" borderId="24" xfId="0" applyFont="1" applyFill="1" applyBorder="1" applyAlignment="1">
      <alignment wrapText="1"/>
    </xf>
    <xf numFmtId="0" fontId="0" fillId="2" borderId="31" xfId="0" applyFont="1" applyFill="1" applyBorder="1"/>
    <xf numFmtId="0" fontId="0" fillId="2" borderId="32" xfId="0" applyFont="1" applyFill="1" applyBorder="1"/>
    <xf numFmtId="0" fontId="0" fillId="2" borderId="33" xfId="0" applyFont="1" applyFill="1" applyBorder="1"/>
    <xf numFmtId="0" fontId="29" fillId="10" borderId="4" xfId="30" applyFont="1" applyFill="1" applyBorder="1"/>
    <xf numFmtId="0" fontId="57" fillId="0" borderId="0" xfId="30" applyFont="1"/>
    <xf numFmtId="0" fontId="29" fillId="2" borderId="23" xfId="30" applyFont="1" applyFill="1" applyBorder="1"/>
    <xf numFmtId="0" fontId="41" fillId="3" borderId="2" xfId="30" applyFont="1" applyFill="1" applyBorder="1"/>
    <xf numFmtId="0" fontId="41" fillId="3" borderId="12" xfId="30" applyFont="1" applyFill="1" applyBorder="1"/>
    <xf numFmtId="0" fontId="41" fillId="3" borderId="13" xfId="30" applyFont="1" applyFill="1" applyBorder="1"/>
    <xf numFmtId="0" fontId="41" fillId="3" borderId="15" xfId="30" applyFont="1" applyFill="1" applyBorder="1"/>
    <xf numFmtId="0" fontId="58" fillId="0" borderId="0" xfId="30" applyFont="1"/>
    <xf numFmtId="0" fontId="44" fillId="9" borderId="0" xfId="30" applyFont="1" applyFill="1"/>
    <xf numFmtId="0" fontId="9" fillId="3" borderId="83" xfId="0" applyFont="1" applyFill="1" applyBorder="1"/>
    <xf numFmtId="0" fontId="9" fillId="3" borderId="84" xfId="0" applyFont="1" applyFill="1" applyBorder="1"/>
    <xf numFmtId="0" fontId="29" fillId="0" borderId="4" xfId="30" applyFont="1" applyBorder="1"/>
    <xf numFmtId="0" fontId="31" fillId="9" borderId="3" xfId="30" applyFont="1" applyFill="1" applyBorder="1"/>
    <xf numFmtId="0" fontId="31" fillId="9" borderId="4" xfId="30" applyFont="1" applyFill="1" applyBorder="1"/>
    <xf numFmtId="0" fontId="41" fillId="3" borderId="23" xfId="30" applyFont="1" applyFill="1" applyBorder="1"/>
    <xf numFmtId="0" fontId="41" fillId="3" borderId="8" xfId="30" applyFont="1" applyFill="1" applyBorder="1"/>
    <xf numFmtId="0" fontId="29" fillId="0" borderId="16" xfId="30" applyFont="1" applyBorder="1"/>
    <xf numFmtId="0" fontId="29" fillId="0" borderId="0" xfId="30" applyFont="1" applyBorder="1"/>
    <xf numFmtId="0" fontId="29" fillId="0" borderId="17" xfId="30" applyFont="1" applyBorder="1"/>
    <xf numFmtId="0" fontId="29" fillId="14" borderId="0" xfId="30" applyFont="1" applyFill="1"/>
    <xf numFmtId="0" fontId="29" fillId="0" borderId="34" xfId="30" applyFont="1" applyBorder="1"/>
    <xf numFmtId="0" fontId="29" fillId="0" borderId="18" xfId="30" applyFont="1" applyBorder="1"/>
    <xf numFmtId="0" fontId="31" fillId="0" borderId="0" xfId="30" applyFont="1" applyFill="1" applyBorder="1"/>
    <xf numFmtId="0" fontId="29" fillId="0" borderId="3" xfId="30" applyFont="1" applyFill="1" applyBorder="1"/>
    <xf numFmtId="0" fontId="29" fillId="10" borderId="16" xfId="30" applyFont="1" applyFill="1" applyBorder="1"/>
    <xf numFmtId="0" fontId="29" fillId="0" borderId="5" xfId="30" applyFont="1" applyFill="1" applyBorder="1"/>
    <xf numFmtId="0" fontId="29" fillId="0" borderId="7" xfId="30" applyFont="1" applyFill="1" applyBorder="1"/>
    <xf numFmtId="0" fontId="29" fillId="14" borderId="34" xfId="30" applyFont="1" applyFill="1" applyBorder="1"/>
    <xf numFmtId="0" fontId="29" fillId="14" borderId="18" xfId="30" applyFont="1" applyFill="1" applyBorder="1"/>
    <xf numFmtId="0" fontId="0" fillId="0" borderId="85" xfId="0" applyFont="1" applyFill="1" applyBorder="1"/>
    <xf numFmtId="0" fontId="0" fillId="0" borderId="86" xfId="0" applyFont="1" applyFill="1" applyBorder="1"/>
    <xf numFmtId="0" fontId="0" fillId="0" borderId="87" xfId="0" applyFont="1" applyFill="1" applyBorder="1"/>
    <xf numFmtId="0" fontId="0" fillId="0" borderId="88" xfId="0" applyFont="1" applyFill="1" applyBorder="1"/>
    <xf numFmtId="0" fontId="0" fillId="0" borderId="89" xfId="0" applyFont="1" applyFill="1" applyBorder="1"/>
    <xf numFmtId="0" fontId="0" fillId="0" borderId="90" xfId="0" applyFont="1" applyFill="1" applyBorder="1"/>
    <xf numFmtId="0" fontId="2" fillId="3" borderId="30" xfId="0" applyFont="1" applyFill="1" applyBorder="1"/>
    <xf numFmtId="0" fontId="2" fillId="3" borderId="82" xfId="0" applyFont="1" applyFill="1" applyBorder="1"/>
    <xf numFmtId="0" fontId="3" fillId="3" borderId="10" xfId="0" applyFont="1" applyFill="1" applyBorder="1"/>
    <xf numFmtId="0" fontId="29" fillId="14" borderId="0" xfId="30" quotePrefix="1" applyFont="1" applyFill="1"/>
    <xf numFmtId="0" fontId="51" fillId="0" borderId="0" xfId="30" applyFont="1"/>
    <xf numFmtId="0" fontId="29" fillId="0" borderId="37" xfId="30" applyFont="1" applyBorder="1"/>
    <xf numFmtId="0" fontId="29" fillId="0" borderId="49" xfId="30" applyFont="1" applyBorder="1"/>
    <xf numFmtId="0" fontId="29" fillId="9" borderId="76" xfId="30" applyFont="1" applyFill="1" applyBorder="1"/>
    <xf numFmtId="0" fontId="29" fillId="9" borderId="74" xfId="30" applyFont="1" applyFill="1" applyBorder="1"/>
    <xf numFmtId="0" fontId="29" fillId="0" borderId="35" xfId="30" applyFont="1" applyBorder="1"/>
    <xf numFmtId="0" fontId="29" fillId="0" borderId="6" xfId="30" applyFont="1" applyBorder="1"/>
    <xf numFmtId="0" fontId="29" fillId="11" borderId="0" xfId="30" applyFont="1" applyFill="1" applyAlignment="1">
      <alignment horizontal="centerContinuous"/>
    </xf>
    <xf numFmtId="0" fontId="29" fillId="11" borderId="0" xfId="30" applyFont="1" applyFill="1" applyAlignment="1"/>
    <xf numFmtId="0" fontId="52" fillId="0" borderId="0" xfId="30" applyFont="1"/>
    <xf numFmtId="0" fontId="55" fillId="3" borderId="2" xfId="30" applyFont="1" applyFill="1" applyBorder="1"/>
    <xf numFmtId="0" fontId="55" fillId="3" borderId="10" xfId="30" applyFont="1" applyFill="1" applyBorder="1"/>
    <xf numFmtId="0" fontId="55" fillId="3" borderId="11" xfId="30" applyFont="1" applyFill="1" applyBorder="1"/>
    <xf numFmtId="0" fontId="55" fillId="3" borderId="22" xfId="30" applyFont="1" applyFill="1" applyBorder="1"/>
    <xf numFmtId="0" fontId="55" fillId="3" borderId="23" xfId="30" applyFont="1" applyFill="1" applyBorder="1"/>
    <xf numFmtId="0" fontId="55" fillId="3" borderId="24" xfId="30" applyFont="1" applyFill="1" applyBorder="1"/>
    <xf numFmtId="0" fontId="55" fillId="3" borderId="6" xfId="30" applyFont="1" applyFill="1" applyBorder="1"/>
    <xf numFmtId="0" fontId="55" fillId="3" borderId="8" xfId="30" applyFont="1" applyFill="1" applyBorder="1"/>
    <xf numFmtId="0" fontId="31" fillId="0" borderId="3" xfId="30" applyFont="1" applyBorder="1"/>
    <xf numFmtId="0" fontId="31" fillId="0" borderId="7" xfId="30" applyFont="1" applyBorder="1"/>
    <xf numFmtId="0" fontId="31" fillId="0" borderId="18" xfId="30" applyFont="1" applyBorder="1"/>
    <xf numFmtId="0" fontId="10" fillId="0" borderId="0" xfId="182"/>
    <xf numFmtId="0" fontId="29" fillId="0" borderId="91" xfId="30" applyFont="1" applyBorder="1"/>
    <xf numFmtId="0" fontId="53" fillId="0" borderId="0" xfId="30" applyFont="1"/>
    <xf numFmtId="165" fontId="57" fillId="0" borderId="64" xfId="34" applyFont="1"/>
    <xf numFmtId="165" fontId="39" fillId="0" borderId="64" xfId="34" applyFont="1"/>
    <xf numFmtId="165" fontId="50" fillId="2" borderId="2" xfId="34" applyFont="1" applyFill="1" applyBorder="1"/>
    <xf numFmtId="1" fontId="41" fillId="3" borderId="39" xfId="34" applyNumberFormat="1" applyFont="1" applyFill="1" applyBorder="1"/>
    <xf numFmtId="1" fontId="41" fillId="3" borderId="71" xfId="34" applyNumberFormat="1" applyFont="1" applyFill="1" applyBorder="1"/>
    <xf numFmtId="1" fontId="41" fillId="3" borderId="72" xfId="34" applyNumberFormat="1" applyFont="1" applyFill="1" applyBorder="1"/>
    <xf numFmtId="1" fontId="41" fillId="3" borderId="30" xfId="34" applyNumberFormat="1" applyFont="1" applyFill="1" applyBorder="1"/>
    <xf numFmtId="167" fontId="0" fillId="0" borderId="0" xfId="0" applyNumberFormat="1" applyFont="1"/>
    <xf numFmtId="167" fontId="2" fillId="3" borderId="2" xfId="0" applyNumberFormat="1" applyFont="1" applyFill="1" applyBorder="1"/>
    <xf numFmtId="167" fontId="2" fillId="3" borderId="23" xfId="0" applyNumberFormat="1" applyFont="1" applyFill="1" applyBorder="1"/>
    <xf numFmtId="167" fontId="2" fillId="3" borderId="6" xfId="0" applyNumberFormat="1" applyFont="1" applyFill="1" applyBorder="1"/>
    <xf numFmtId="167" fontId="2" fillId="3" borderId="8" xfId="0" applyNumberFormat="1" applyFont="1" applyFill="1" applyBorder="1"/>
    <xf numFmtId="0" fontId="0" fillId="15" borderId="35" xfId="0" applyFont="1" applyFill="1" applyBorder="1"/>
    <xf numFmtId="0" fontId="0" fillId="15" borderId="29" xfId="0" applyFont="1" applyFill="1" applyBorder="1"/>
    <xf numFmtId="0" fontId="0" fillId="15" borderId="21" xfId="0" applyFont="1" applyFill="1" applyBorder="1"/>
    <xf numFmtId="0" fontId="0" fillId="15" borderId="83" xfId="0" applyFont="1" applyFill="1" applyBorder="1"/>
    <xf numFmtId="0" fontId="0" fillId="15" borderId="10" xfId="0" applyFont="1" applyFill="1" applyBorder="1"/>
    <xf numFmtId="0" fontId="0" fillId="15" borderId="2" xfId="0" applyFont="1" applyFill="1" applyBorder="1"/>
    <xf numFmtId="0" fontId="0" fillId="15" borderId="6" xfId="0" applyFont="1" applyFill="1" applyBorder="1"/>
    <xf numFmtId="0" fontId="21" fillId="15" borderId="22" xfId="0" applyFont="1" applyFill="1" applyBorder="1"/>
    <xf numFmtId="0" fontId="21" fillId="15" borderId="23" xfId="0" applyFont="1" applyFill="1" applyBorder="1"/>
    <xf numFmtId="0" fontId="62" fillId="15" borderId="8" xfId="0" applyFont="1" applyFill="1" applyBorder="1"/>
    <xf numFmtId="0" fontId="0" fillId="15" borderId="35" xfId="0" applyFont="1" applyFill="1" applyBorder="1" applyAlignment="1">
      <alignment wrapText="1"/>
    </xf>
    <xf numFmtId="0" fontId="0" fillId="6" borderId="8" xfId="0" applyFont="1" applyFill="1" applyBorder="1"/>
    <xf numFmtId="0" fontId="2" fillId="3" borderId="22" xfId="0" applyFont="1" applyFill="1" applyBorder="1" applyAlignment="1">
      <alignment wrapText="1"/>
    </xf>
    <xf numFmtId="0" fontId="2" fillId="3" borderId="8" xfId="0" applyFont="1" applyFill="1" applyBorder="1" applyAlignment="1">
      <alignment wrapText="1"/>
    </xf>
    <xf numFmtId="0" fontId="0" fillId="15" borderId="22" xfId="0" applyFont="1" applyFill="1" applyBorder="1" applyAlignment="1">
      <alignment wrapText="1"/>
    </xf>
    <xf numFmtId="0" fontId="0" fillId="15" borderId="23" xfId="0" applyFont="1" applyFill="1" applyBorder="1" applyAlignment="1">
      <alignment wrapText="1"/>
    </xf>
    <xf numFmtId="0" fontId="0" fillId="15" borderId="8" xfId="0" applyFont="1" applyFill="1" applyBorder="1" applyAlignment="1">
      <alignment wrapText="1"/>
    </xf>
    <xf numFmtId="0" fontId="28" fillId="0" borderId="0" xfId="30" applyFont="1"/>
    <xf numFmtId="0" fontId="29" fillId="10" borderId="24" xfId="30" applyFont="1" applyFill="1" applyBorder="1"/>
    <xf numFmtId="0" fontId="29" fillId="16" borderId="0" xfId="30" applyFont="1" applyFill="1" applyAlignment="1">
      <alignment wrapText="1"/>
    </xf>
    <xf numFmtId="0" fontId="33" fillId="17" borderId="11" xfId="30" applyFont="1" applyFill="1" applyBorder="1"/>
    <xf numFmtId="0" fontId="33" fillId="17" borderId="24" xfId="30" applyFont="1" applyFill="1" applyBorder="1"/>
    <xf numFmtId="0" fontId="29" fillId="10" borderId="6" xfId="30" applyFont="1" applyFill="1" applyBorder="1"/>
    <xf numFmtId="0" fontId="33" fillId="17" borderId="10" xfId="30" applyFont="1" applyFill="1" applyBorder="1"/>
    <xf numFmtId="0" fontId="33" fillId="17" borderId="6" xfId="30" applyFont="1" applyFill="1" applyBorder="1"/>
    <xf numFmtId="0" fontId="29" fillId="10" borderId="8" xfId="30" applyFont="1" applyFill="1" applyBorder="1"/>
    <xf numFmtId="0" fontId="29" fillId="14" borderId="24" xfId="30" applyFont="1" applyFill="1" applyBorder="1"/>
    <xf numFmtId="0" fontId="29" fillId="0" borderId="3" xfId="30" applyFont="1" applyBorder="1" applyAlignment="1">
      <alignment wrapText="1"/>
    </xf>
    <xf numFmtId="0" fontId="29" fillId="14" borderId="8" xfId="30" applyFont="1" applyFill="1" applyBorder="1"/>
    <xf numFmtId="0" fontId="33" fillId="17" borderId="22" xfId="30" applyFont="1" applyFill="1" applyBorder="1"/>
    <xf numFmtId="0" fontId="33" fillId="17" borderId="8" xfId="30" applyFont="1" applyFill="1" applyBorder="1"/>
    <xf numFmtId="168" fontId="31" fillId="0" borderId="4" xfId="30" applyNumberFormat="1" applyFont="1" applyBorder="1"/>
    <xf numFmtId="0" fontId="31" fillId="0" borderId="5" xfId="30" applyFont="1" applyBorder="1"/>
    <xf numFmtId="0" fontId="31" fillId="0" borderId="17" xfId="30" applyFont="1" applyBorder="1"/>
    <xf numFmtId="0" fontId="29" fillId="0" borderId="0" xfId="30" applyFont="1" applyAlignment="1">
      <alignment wrapText="1"/>
    </xf>
    <xf numFmtId="0" fontId="63" fillId="0" borderId="0" xfId="30" applyFont="1"/>
    <xf numFmtId="169" fontId="0" fillId="2" borderId="8" xfId="0" applyNumberFormat="1" applyFont="1" applyFill="1" applyBorder="1"/>
    <xf numFmtId="0" fontId="2" fillId="3" borderId="24" xfId="0" applyFont="1" applyFill="1" applyBorder="1" applyAlignment="1">
      <alignment wrapText="1"/>
    </xf>
    <xf numFmtId="0" fontId="29" fillId="14" borderId="0" xfId="30" applyFont="1" applyFill="1" applyAlignment="1">
      <alignment wrapText="1"/>
    </xf>
    <xf numFmtId="0" fontId="31" fillId="9" borderId="0" xfId="30" applyFont="1" applyFill="1"/>
    <xf numFmtId="0" fontId="29" fillId="0" borderId="0" xfId="30" quotePrefix="1" applyFont="1"/>
    <xf numFmtId="0" fontId="29" fillId="2" borderId="12" xfId="30" applyFont="1" applyFill="1" applyBorder="1"/>
    <xf numFmtId="0" fontId="55" fillId="3" borderId="11" xfId="30" applyFont="1" applyFill="1" applyBorder="1" applyAlignment="1">
      <alignment wrapText="1"/>
    </xf>
    <xf numFmtId="0" fontId="55" fillId="3" borderId="12" xfId="30" applyFont="1" applyFill="1" applyBorder="1" applyAlignment="1">
      <alignment wrapText="1"/>
    </xf>
    <xf numFmtId="0" fontId="55" fillId="3" borderId="24" xfId="30" applyFont="1" applyFill="1" applyBorder="1" applyAlignment="1">
      <alignment wrapText="1"/>
    </xf>
    <xf numFmtId="0" fontId="41" fillId="3" borderId="12" xfId="30" applyFont="1" applyFill="1" applyBorder="1" applyAlignment="1">
      <alignment wrapText="1"/>
    </xf>
    <xf numFmtId="0" fontId="41" fillId="3" borderId="24" xfId="30" applyFont="1" applyFill="1" applyBorder="1" applyAlignment="1">
      <alignment wrapText="1"/>
    </xf>
    <xf numFmtId="0" fontId="44" fillId="0" borderId="0" xfId="30" applyFont="1" applyFill="1"/>
    <xf numFmtId="0" fontId="2" fillId="3" borderId="2" xfId="0" applyFont="1" applyFill="1" applyBorder="1" applyAlignment="1">
      <alignment horizontal="center"/>
    </xf>
    <xf numFmtId="0" fontId="2" fillId="18" borderId="14" xfId="0" applyFont="1" applyFill="1" applyBorder="1"/>
    <xf numFmtId="0" fontId="2" fillId="18" borderId="15" xfId="0" applyFont="1" applyFill="1" applyBorder="1"/>
    <xf numFmtId="0" fontId="2" fillId="18" borderId="24" xfId="0" applyFont="1" applyFill="1" applyBorder="1"/>
    <xf numFmtId="0" fontId="2" fillId="18" borderId="8" xfId="0" applyFont="1" applyFill="1" applyBorder="1"/>
    <xf numFmtId="0" fontId="2" fillId="18" borderId="0" xfId="0" applyFont="1" applyFill="1"/>
    <xf numFmtId="0" fontId="0" fillId="18" borderId="0" xfId="0" applyFont="1" applyFill="1"/>
    <xf numFmtId="0" fontId="2" fillId="3" borderId="0" xfId="0" applyFont="1" applyFill="1" applyBorder="1"/>
    <xf numFmtId="0" fontId="0" fillId="2" borderId="0" xfId="0" applyFont="1" applyFill="1" applyBorder="1"/>
    <xf numFmtId="0" fontId="64" fillId="0" borderId="0" xfId="0" applyFont="1" applyBorder="1"/>
    <xf numFmtId="0" fontId="31" fillId="0" borderId="0" xfId="30" applyFont="1" applyFill="1"/>
    <xf numFmtId="0" fontId="0" fillId="0" borderId="10" xfId="0" applyFont="1" applyBorder="1" applyAlignment="1">
      <alignment horizontal="left"/>
    </xf>
    <xf numFmtId="0" fontId="0" fillId="0" borderId="2" xfId="0" applyFont="1" applyBorder="1" applyAlignment="1">
      <alignment horizontal="left"/>
    </xf>
    <xf numFmtId="0" fontId="0" fillId="0" borderId="6" xfId="0" applyFont="1" applyBorder="1" applyAlignment="1">
      <alignment horizontal="left"/>
    </xf>
    <xf numFmtId="0" fontId="2" fillId="3" borderId="39" xfId="0" applyFont="1" applyFill="1" applyBorder="1" applyAlignment="1">
      <alignment horizontal="left"/>
    </xf>
    <xf numFmtId="0" fontId="0" fillId="0" borderId="36" xfId="0" applyBorder="1" applyAlignment="1">
      <alignment horizontal="left"/>
    </xf>
    <xf numFmtId="0" fontId="0" fillId="0" borderId="9" xfId="0" applyBorder="1" applyAlignment="1">
      <alignment horizontal="left"/>
    </xf>
    <xf numFmtId="0" fontId="0" fillId="0" borderId="0" xfId="0" applyFont="1" applyAlignment="1">
      <alignment horizontal="center"/>
    </xf>
    <xf numFmtId="0" fontId="0" fillId="0" borderId="0" xfId="0" applyAlignment="1">
      <alignment horizontal="center"/>
    </xf>
    <xf numFmtId="0" fontId="0" fillId="0" borderId="11" xfId="0" applyFont="1" applyBorder="1" applyAlignment="1">
      <alignment horizontal="left"/>
    </xf>
    <xf numFmtId="0" fontId="2" fillId="3" borderId="12" xfId="0" applyFont="1" applyFill="1" applyBorder="1" applyAlignment="1">
      <alignment horizontal="center"/>
    </xf>
    <xf numFmtId="0" fontId="2" fillId="3" borderId="2" xfId="0" applyFont="1" applyFill="1" applyBorder="1" applyAlignment="1">
      <alignment horizontal="center"/>
    </xf>
    <xf numFmtId="0" fontId="0" fillId="0" borderId="22" xfId="0" applyFont="1" applyBorder="1" applyAlignment="1">
      <alignment horizontal="left"/>
    </xf>
    <xf numFmtId="0" fontId="2" fillId="3" borderId="23" xfId="0" applyFont="1" applyFill="1" applyBorder="1" applyAlignment="1">
      <alignment horizontal="center"/>
    </xf>
    <xf numFmtId="0" fontId="2" fillId="3" borderId="37" xfId="0" applyFont="1" applyFill="1" applyBorder="1" applyAlignment="1">
      <alignment horizontal="left"/>
    </xf>
    <xf numFmtId="0" fontId="0" fillId="0" borderId="38" xfId="0" applyBorder="1" applyAlignment="1">
      <alignment horizontal="left"/>
    </xf>
    <xf numFmtId="0" fontId="0" fillId="0" borderId="25" xfId="0" applyBorder="1" applyAlignment="1">
      <alignment horizontal="left"/>
    </xf>
    <xf numFmtId="0" fontId="2" fillId="3" borderId="40" xfId="0" applyFont="1" applyFill="1" applyBorder="1" applyAlignment="1">
      <alignment horizontal="left"/>
    </xf>
    <xf numFmtId="0" fontId="0" fillId="0" borderId="41" xfId="0" applyBorder="1" applyAlignment="1">
      <alignment horizontal="left"/>
    </xf>
    <xf numFmtId="0" fontId="0" fillId="0" borderId="26" xfId="0" applyBorder="1" applyAlignment="1">
      <alignment horizontal="left"/>
    </xf>
    <xf numFmtId="0" fontId="2" fillId="3" borderId="39" xfId="0" applyFont="1" applyFill="1" applyBorder="1" applyAlignment="1">
      <alignment horizontal="right"/>
    </xf>
    <xf numFmtId="0" fontId="0" fillId="0" borderId="9" xfId="0" applyBorder="1" applyAlignment="1"/>
    <xf numFmtId="0" fontId="2" fillId="3" borderId="40" xfId="0" applyFont="1" applyFill="1" applyBorder="1" applyAlignment="1">
      <alignment horizontal="right"/>
    </xf>
    <xf numFmtId="0" fontId="0" fillId="0" borderId="26" xfId="0" applyBorder="1" applyAlignment="1"/>
    <xf numFmtId="0" fontId="35" fillId="0" borderId="0" xfId="30" applyFont="1" applyAlignment="1">
      <alignment horizontal="center"/>
    </xf>
    <xf numFmtId="0" fontId="28" fillId="0" borderId="0" xfId="30" applyFont="1" applyAlignment="1">
      <alignment horizontal="center"/>
    </xf>
    <xf numFmtId="0" fontId="31" fillId="0" borderId="50" xfId="30" applyFont="1" applyBorder="1" applyAlignment="1">
      <alignment horizontal="left"/>
    </xf>
    <xf numFmtId="0" fontId="31" fillId="0" borderId="0" xfId="30" applyFont="1" applyAlignment="1">
      <alignment horizontal="left"/>
    </xf>
    <xf numFmtId="0" fontId="21" fillId="0" borderId="3" xfId="0" applyFont="1" applyBorder="1" applyAlignment="1">
      <alignment horizontal="left"/>
    </xf>
    <xf numFmtId="0" fontId="21" fillId="0" borderId="16" xfId="0" applyFont="1" applyBorder="1" applyAlignment="1">
      <alignment horizontal="left"/>
    </xf>
  </cellXfs>
  <cellStyles count="208">
    <cellStyle name="Currency" xfId="23" builtinId="4"/>
    <cellStyle name="Currency 2" xfId="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5" builtinId="9" hidden="1"/>
    <cellStyle name="Followed Hyperlink" xfId="27" builtinId="9" hidden="1"/>
    <cellStyle name="Followed Hyperlink" xfId="29"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4" builtinId="8" hidden="1"/>
    <cellStyle name="Hyperlink" xfId="26" builtinId="8" hidden="1"/>
    <cellStyle name="Hyperlink" xfId="28"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cellStyle name="Normal" xfId="0" builtinId="0"/>
    <cellStyle name="Normal 2" xfId="30"/>
    <cellStyle name="Normal 3" xfId="32"/>
    <cellStyle name="Normal_Trans_max" xfId="47"/>
    <cellStyle name="Normal_Trans_min" xfId="34"/>
    <cellStyle name="Percent 2" xfId="33"/>
  </cellStyles>
  <dxfs count="20">
    <dxf>
      <font>
        <color rgb="FFF2F2F2"/>
      </font>
    </dxf>
    <dxf>
      <font>
        <b/>
        <i val="0"/>
        <color indexed="10"/>
      </font>
    </dxf>
    <dxf>
      <font>
        <b/>
        <i val="0"/>
        <color indexed="10"/>
      </font>
    </dxf>
    <dxf>
      <font>
        <b/>
        <i val="0"/>
        <color indexed="10"/>
      </font>
    </dxf>
    <dxf>
      <font>
        <b/>
        <i val="0"/>
        <color indexed="10"/>
      </font>
    </dxf>
    <dxf>
      <font>
        <b/>
        <i val="0"/>
        <color indexed="10"/>
      </font>
    </dxf>
    <dxf>
      <font>
        <color rgb="FF0070C0"/>
      </font>
    </dxf>
    <dxf>
      <font>
        <color indexed="9"/>
      </font>
    </dxf>
    <dxf>
      <font>
        <color indexed="9"/>
      </font>
    </dxf>
    <dxf>
      <font>
        <color indexed="9"/>
      </font>
    </dxf>
    <dxf>
      <font>
        <color indexed="9"/>
      </font>
    </dxf>
    <dxf>
      <font>
        <color indexed="9"/>
      </font>
    </dxf>
    <dxf>
      <font>
        <color indexed="9"/>
      </font>
    </dxf>
    <dxf>
      <font>
        <color indexed="9"/>
      </font>
    </dxf>
    <dxf>
      <font>
        <color indexed="9"/>
      </font>
    </dxf>
    <dxf>
      <font>
        <color indexed="9"/>
      </font>
    </dxf>
    <dxf>
      <font>
        <color indexed="9"/>
      </font>
    </dxf>
    <dxf>
      <fill>
        <patternFill>
          <bgColor theme="5" tint="0.39994506668294322"/>
        </patternFill>
      </fill>
    </dxf>
    <dxf>
      <fill>
        <patternFill>
          <bgColor theme="5" tint="0.39994506668294322"/>
        </patternFill>
      </fill>
    </dxf>
    <dxf>
      <fill>
        <patternFill>
          <bgColor theme="5" tint="0.39994506668294322"/>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externalLink" Target="externalLinks/externalLink1.xml"/><Relationship Id="rId55" Type="http://schemas.openxmlformats.org/officeDocument/2006/relationships/externalLink" Target="externalLinks/externalLink2.xml"/><Relationship Id="rId56" Type="http://schemas.openxmlformats.org/officeDocument/2006/relationships/theme" Target="theme/theme1.xml"/><Relationship Id="rId57" Type="http://schemas.openxmlformats.org/officeDocument/2006/relationships/styles" Target="styles.xml"/><Relationship Id="rId58" Type="http://schemas.openxmlformats.org/officeDocument/2006/relationships/sharedStrings" Target="sharedStrings.xml"/><Relationship Id="rId59" Type="http://schemas.openxmlformats.org/officeDocument/2006/relationships/calcChain" Target="calcChain.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0" u="none" strike="noStrike" baseline="0">
                <a:latin typeface="Calibri"/>
                <a:ea typeface="Calibri"/>
                <a:cs typeface="Calibri"/>
              </a:defRPr>
            </a:pPr>
            <a:r>
              <a:rPr lang="en-US"/>
              <a:t>Forecasting</a:t>
            </a:r>
          </a:p>
        </c:rich>
      </c:tx>
      <c:overlay val="0"/>
      <c:spPr>
        <a:effectLst/>
      </c:spPr>
    </c:title>
    <c:autoTitleDeleted val="0"/>
    <c:plotArea>
      <c:layout/>
      <c:lineChart>
        <c:grouping val="standard"/>
        <c:varyColors val="0"/>
        <c:ser>
          <c:idx val="0"/>
          <c:order val="0"/>
          <c:tx>
            <c:strRef>
              <c:f>'Determining Moving Average'!$B$9</c:f>
              <c:strCache>
                <c:ptCount val="1"/>
                <c:pt idx="0">
                  <c:v>Demand</c:v>
                </c:pt>
              </c:strCache>
            </c:strRef>
          </c:tx>
          <c:val>
            <c:numRef>
              <c:f>'Determining Moving Average'!$B$10:$B$21</c:f>
              <c:numCache>
                <c:formatCode>General</c:formatCode>
                <c:ptCount val="12"/>
                <c:pt idx="0">
                  <c:v>10.0</c:v>
                </c:pt>
                <c:pt idx="1">
                  <c:v>12.0</c:v>
                </c:pt>
                <c:pt idx="2">
                  <c:v>13.0</c:v>
                </c:pt>
                <c:pt idx="3">
                  <c:v>16.0</c:v>
                </c:pt>
                <c:pt idx="4">
                  <c:v>19.0</c:v>
                </c:pt>
                <c:pt idx="5">
                  <c:v>23.0</c:v>
                </c:pt>
                <c:pt idx="6">
                  <c:v>26.0</c:v>
                </c:pt>
                <c:pt idx="7">
                  <c:v>30.0</c:v>
                </c:pt>
                <c:pt idx="8">
                  <c:v>28.0</c:v>
                </c:pt>
                <c:pt idx="9">
                  <c:v>18.0</c:v>
                </c:pt>
                <c:pt idx="10">
                  <c:v>16.0</c:v>
                </c:pt>
                <c:pt idx="11">
                  <c:v>14.0</c:v>
                </c:pt>
              </c:numCache>
            </c:numRef>
          </c:val>
          <c:smooth val="0"/>
        </c:ser>
        <c:ser>
          <c:idx val="2"/>
          <c:order val="1"/>
          <c:tx>
            <c:strRef>
              <c:f>'Determining Moving Average'!$D$9</c:f>
              <c:strCache>
                <c:ptCount val="1"/>
                <c:pt idx="0">
                  <c:v>Forecast</c:v>
                </c:pt>
              </c:strCache>
            </c:strRef>
          </c:tx>
          <c:val>
            <c:numRef>
              <c:f>'Determining Moving Average'!$D$10:$D$21</c:f>
              <c:numCache>
                <c:formatCode>General</c:formatCode>
                <c:ptCount val="12"/>
                <c:pt idx="3">
                  <c:v>11.66666666666667</c:v>
                </c:pt>
                <c:pt idx="4">
                  <c:v>13.66666666666667</c:v>
                </c:pt>
                <c:pt idx="5">
                  <c:v>16.0</c:v>
                </c:pt>
                <c:pt idx="6">
                  <c:v>19.33333333333333</c:v>
                </c:pt>
                <c:pt idx="7">
                  <c:v>22.66666666666667</c:v>
                </c:pt>
                <c:pt idx="8">
                  <c:v>26.33333333333333</c:v>
                </c:pt>
                <c:pt idx="9">
                  <c:v>28.0</c:v>
                </c:pt>
                <c:pt idx="10">
                  <c:v>25.33333333333333</c:v>
                </c:pt>
                <c:pt idx="11">
                  <c:v>20.66666666666667</c:v>
                </c:pt>
              </c:numCache>
            </c:numRef>
          </c:val>
          <c:smooth val="0"/>
        </c:ser>
        <c:dLbls>
          <c:showLegendKey val="0"/>
          <c:showVal val="0"/>
          <c:showCatName val="0"/>
          <c:showSerName val="0"/>
          <c:showPercent val="0"/>
          <c:showBubbleSize val="0"/>
        </c:dLbls>
        <c:marker val="1"/>
        <c:smooth val="0"/>
        <c:axId val="2145953560"/>
        <c:axId val="2146192312"/>
      </c:lineChart>
      <c:catAx>
        <c:axId val="2145953560"/>
        <c:scaling>
          <c:orientation val="minMax"/>
        </c:scaling>
        <c:delete val="0"/>
        <c:axPos val="b"/>
        <c:title>
          <c:tx>
            <c:rich>
              <a:bodyPr/>
              <a:lstStyle/>
              <a:p>
                <a:pPr>
                  <a:defRPr/>
                </a:pPr>
                <a:r>
                  <a:rPr lang="en-US"/>
                  <a:t>Time</a:t>
                </a:r>
              </a:p>
            </c:rich>
          </c:tx>
          <c:overlay val="0"/>
        </c:title>
        <c:majorTickMark val="out"/>
        <c:minorTickMark val="none"/>
        <c:tickLblPos val="nextTo"/>
        <c:crossAx val="2146192312"/>
        <c:crosses val="autoZero"/>
        <c:auto val="1"/>
        <c:lblAlgn val="ctr"/>
        <c:lblOffset val="100"/>
        <c:noMultiLvlLbl val="0"/>
      </c:catAx>
      <c:valAx>
        <c:axId val="2146192312"/>
        <c:scaling>
          <c:orientation val="minMax"/>
        </c:scaling>
        <c:delete val="0"/>
        <c:axPos val="l"/>
        <c:title>
          <c:tx>
            <c:rich>
              <a:bodyPr/>
              <a:lstStyle/>
              <a:p>
                <a:pPr>
                  <a:defRPr/>
                </a:pPr>
                <a:r>
                  <a:rPr lang="en-US"/>
                  <a:t>Value</a:t>
                </a:r>
              </a:p>
            </c:rich>
          </c:tx>
          <c:overlay val="0"/>
        </c:title>
        <c:numFmt formatCode="General" sourceLinked="1"/>
        <c:majorTickMark val="out"/>
        <c:minorTickMark val="none"/>
        <c:tickLblPos val="nextTo"/>
        <c:crossAx val="2145953560"/>
        <c:crosses val="autoZero"/>
        <c:crossBetween val="midCat"/>
      </c:valAx>
      <c:spPr>
        <a:gradFill flip="none" rotWithShape="1">
          <a:gsLst>
            <a:gs pos="0">
              <a:srgbClr val="9AB5E4"/>
            </a:gs>
            <a:gs pos="100000">
              <a:srgbClr val="FFFFFF"/>
            </a:gs>
          </a:gsLst>
          <a:lin ang="5400000" scaled="1"/>
          <a:tileRect/>
        </a:gradFill>
      </c:spPr>
    </c:plotArea>
    <c:legend>
      <c:legendPos val="b"/>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0" u="none" strike="noStrike" baseline="0">
                <a:latin typeface="Calibri"/>
                <a:ea typeface="Calibri"/>
                <a:cs typeface="Calibri"/>
              </a:defRPr>
            </a:pPr>
            <a:r>
              <a:rPr lang="en-US"/>
              <a:t>Forecasting</a:t>
            </a:r>
          </a:p>
        </c:rich>
      </c:tx>
      <c:overlay val="0"/>
      <c:spPr>
        <a:effectLst/>
      </c:spPr>
    </c:title>
    <c:autoTitleDeleted val="0"/>
    <c:plotArea>
      <c:layout/>
      <c:lineChart>
        <c:grouping val="standard"/>
        <c:varyColors val="0"/>
        <c:ser>
          <c:idx val="0"/>
          <c:order val="0"/>
          <c:tx>
            <c:strRef>
              <c:f>'Weighted Moving Average'!$B$8</c:f>
              <c:strCache>
                <c:ptCount val="1"/>
                <c:pt idx="0">
                  <c:v>Demand</c:v>
                </c:pt>
              </c:strCache>
            </c:strRef>
          </c:tx>
          <c:val>
            <c:numRef>
              <c:f>'Weighted Moving Average'!$B$9:$B$20</c:f>
              <c:numCache>
                <c:formatCode>General</c:formatCode>
                <c:ptCount val="12"/>
                <c:pt idx="0">
                  <c:v>10.0</c:v>
                </c:pt>
                <c:pt idx="1">
                  <c:v>12.0</c:v>
                </c:pt>
                <c:pt idx="2">
                  <c:v>13.0</c:v>
                </c:pt>
                <c:pt idx="3">
                  <c:v>16.0</c:v>
                </c:pt>
                <c:pt idx="4">
                  <c:v>19.0</c:v>
                </c:pt>
                <c:pt idx="5">
                  <c:v>23.0</c:v>
                </c:pt>
                <c:pt idx="6">
                  <c:v>26.0</c:v>
                </c:pt>
                <c:pt idx="7">
                  <c:v>30.0</c:v>
                </c:pt>
                <c:pt idx="8">
                  <c:v>28.0</c:v>
                </c:pt>
                <c:pt idx="9">
                  <c:v>18.0</c:v>
                </c:pt>
                <c:pt idx="10">
                  <c:v>16.0</c:v>
                </c:pt>
                <c:pt idx="11">
                  <c:v>14.0</c:v>
                </c:pt>
              </c:numCache>
            </c:numRef>
          </c:val>
          <c:smooth val="0"/>
        </c:ser>
        <c:ser>
          <c:idx val="3"/>
          <c:order val="1"/>
          <c:tx>
            <c:strRef>
              <c:f>'Weighted Moving Average'!$E$8</c:f>
              <c:strCache>
                <c:ptCount val="1"/>
                <c:pt idx="0">
                  <c:v>Forecast</c:v>
                </c:pt>
              </c:strCache>
            </c:strRef>
          </c:tx>
          <c:val>
            <c:numRef>
              <c:f>'Weighted Moving Average'!$E$9:$E$20</c:f>
              <c:numCache>
                <c:formatCode>General</c:formatCode>
                <c:ptCount val="12"/>
                <c:pt idx="3">
                  <c:v>12.16666666666667</c:v>
                </c:pt>
                <c:pt idx="4">
                  <c:v>14.33333333333333</c:v>
                </c:pt>
                <c:pt idx="5">
                  <c:v>17.0</c:v>
                </c:pt>
                <c:pt idx="6">
                  <c:v>20.5</c:v>
                </c:pt>
                <c:pt idx="7">
                  <c:v>23.83333333333333</c:v>
                </c:pt>
                <c:pt idx="8">
                  <c:v>27.5</c:v>
                </c:pt>
                <c:pt idx="9">
                  <c:v>28.33333333333333</c:v>
                </c:pt>
                <c:pt idx="10">
                  <c:v>23.33333333333333</c:v>
                </c:pt>
                <c:pt idx="11">
                  <c:v>18.66666666666667</c:v>
                </c:pt>
              </c:numCache>
            </c:numRef>
          </c:val>
          <c:smooth val="0"/>
        </c:ser>
        <c:dLbls>
          <c:showLegendKey val="0"/>
          <c:showVal val="0"/>
          <c:showCatName val="0"/>
          <c:showSerName val="0"/>
          <c:showPercent val="0"/>
          <c:showBubbleSize val="0"/>
        </c:dLbls>
        <c:marker val="1"/>
        <c:smooth val="0"/>
        <c:axId val="2145558840"/>
        <c:axId val="2145564312"/>
      </c:lineChart>
      <c:catAx>
        <c:axId val="2145558840"/>
        <c:scaling>
          <c:orientation val="minMax"/>
        </c:scaling>
        <c:delete val="0"/>
        <c:axPos val="b"/>
        <c:title>
          <c:tx>
            <c:rich>
              <a:bodyPr/>
              <a:lstStyle/>
              <a:p>
                <a:pPr>
                  <a:defRPr/>
                </a:pPr>
                <a:r>
                  <a:rPr lang="en-US"/>
                  <a:t>Time</a:t>
                </a:r>
              </a:p>
            </c:rich>
          </c:tx>
          <c:overlay val="0"/>
        </c:title>
        <c:majorTickMark val="out"/>
        <c:minorTickMark val="none"/>
        <c:tickLblPos val="nextTo"/>
        <c:crossAx val="2145564312"/>
        <c:crosses val="autoZero"/>
        <c:auto val="1"/>
        <c:lblAlgn val="ctr"/>
        <c:lblOffset val="100"/>
        <c:noMultiLvlLbl val="0"/>
      </c:catAx>
      <c:valAx>
        <c:axId val="2145564312"/>
        <c:scaling>
          <c:orientation val="minMax"/>
        </c:scaling>
        <c:delete val="0"/>
        <c:axPos val="l"/>
        <c:title>
          <c:tx>
            <c:rich>
              <a:bodyPr/>
              <a:lstStyle/>
              <a:p>
                <a:pPr>
                  <a:defRPr/>
                </a:pPr>
                <a:r>
                  <a:rPr lang="en-US"/>
                  <a:t>Value</a:t>
                </a:r>
              </a:p>
            </c:rich>
          </c:tx>
          <c:overlay val="0"/>
        </c:title>
        <c:numFmt formatCode="General" sourceLinked="1"/>
        <c:majorTickMark val="out"/>
        <c:minorTickMark val="none"/>
        <c:tickLblPos val="nextTo"/>
        <c:crossAx val="2145558840"/>
        <c:crosses val="autoZero"/>
        <c:crossBetween val="midCat"/>
      </c:valAx>
      <c:spPr>
        <a:gradFill flip="none" rotWithShape="1">
          <a:gsLst>
            <a:gs pos="0">
              <a:srgbClr val="9AB5E4"/>
            </a:gs>
            <a:gs pos="100000">
              <a:srgbClr val="FFFFFF"/>
            </a:gs>
          </a:gsLst>
          <a:lin ang="5400000" scaled="1"/>
          <a:tileRect/>
        </a:gradFill>
      </c:spPr>
    </c:plotArea>
    <c:legend>
      <c:legendPos val="b"/>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1.0" l="0.75" r="0.75" t="1.0"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0" u="none" strike="noStrike" baseline="0">
                <a:latin typeface="Calibri"/>
                <a:ea typeface="Calibri"/>
                <a:cs typeface="Calibri"/>
              </a:defRPr>
            </a:pPr>
            <a:r>
              <a:rPr lang="en-US"/>
              <a:t>Forecasting</a:t>
            </a:r>
          </a:p>
        </c:rich>
      </c:tx>
      <c:overlay val="0"/>
      <c:spPr>
        <a:effectLst/>
      </c:spPr>
    </c:title>
    <c:autoTitleDeleted val="0"/>
    <c:plotArea>
      <c:layout/>
      <c:lineChart>
        <c:grouping val="standard"/>
        <c:varyColors val="0"/>
        <c:ser>
          <c:idx val="0"/>
          <c:order val="0"/>
          <c:tx>
            <c:strRef>
              <c:f>'Trend-Adjusted Smoothing'!$B$10</c:f>
              <c:strCache>
                <c:ptCount val="1"/>
                <c:pt idx="0">
                  <c:v>Demand</c:v>
                </c:pt>
              </c:strCache>
            </c:strRef>
          </c:tx>
          <c:val>
            <c:numRef>
              <c:f>'Trend-Adjusted Smoothing'!$B$11:$B$19</c:f>
              <c:numCache>
                <c:formatCode>General</c:formatCode>
                <c:ptCount val="9"/>
                <c:pt idx="0">
                  <c:v>12.0</c:v>
                </c:pt>
                <c:pt idx="1">
                  <c:v>17.0</c:v>
                </c:pt>
                <c:pt idx="2">
                  <c:v>20.0</c:v>
                </c:pt>
                <c:pt idx="3">
                  <c:v>19.0</c:v>
                </c:pt>
                <c:pt idx="4">
                  <c:v>24.0</c:v>
                </c:pt>
                <c:pt idx="5">
                  <c:v>21.0</c:v>
                </c:pt>
                <c:pt idx="6">
                  <c:v>31.0</c:v>
                </c:pt>
                <c:pt idx="7">
                  <c:v>28.0</c:v>
                </c:pt>
                <c:pt idx="8">
                  <c:v>36.0</c:v>
                </c:pt>
              </c:numCache>
            </c:numRef>
          </c:val>
          <c:smooth val="0"/>
        </c:ser>
        <c:ser>
          <c:idx val="2"/>
          <c:order val="1"/>
          <c:tx>
            <c:strRef>
              <c:f>'Trend-Adjusted Smoothing'!$D$10</c:f>
              <c:strCache>
                <c:ptCount val="1"/>
                <c:pt idx="0">
                  <c:v>Smoothed Forecast, Ft</c:v>
                </c:pt>
              </c:strCache>
            </c:strRef>
          </c:tx>
          <c:val>
            <c:numRef>
              <c:f>'Trend-Adjusted Smoothing'!$D$11:$D$19</c:f>
              <c:numCache>
                <c:formatCode>General</c:formatCode>
                <c:ptCount val="9"/>
                <c:pt idx="0">
                  <c:v>11.0</c:v>
                </c:pt>
                <c:pt idx="1">
                  <c:v>12.8</c:v>
                </c:pt>
                <c:pt idx="2">
                  <c:v>15.176</c:v>
                </c:pt>
                <c:pt idx="3">
                  <c:v>17.82272</c:v>
                </c:pt>
                <c:pt idx="4">
                  <c:v>19.9142784</c:v>
                </c:pt>
                <c:pt idx="5">
                  <c:v>22.514382848</c:v>
                </c:pt>
                <c:pt idx="6">
                  <c:v>24.11331577856</c:v>
                </c:pt>
                <c:pt idx="7">
                  <c:v>27.1433968607232</c:v>
                </c:pt>
                <c:pt idx="8">
                  <c:v>29.27598997759591</c:v>
                </c:pt>
              </c:numCache>
            </c:numRef>
          </c:val>
          <c:smooth val="0"/>
        </c:ser>
        <c:ser>
          <c:idx val="4"/>
          <c:order val="2"/>
          <c:tx>
            <c:strRef>
              <c:f>'Trend-Adjusted Smoothing'!$F$10</c:f>
              <c:strCache>
                <c:ptCount val="1"/>
                <c:pt idx="0">
                  <c:v>Forecast Including Trend, FITt</c:v>
                </c:pt>
              </c:strCache>
            </c:strRef>
          </c:tx>
          <c:val>
            <c:numRef>
              <c:f>'Trend-Adjusted Smoothing'!$F$11:$F$19</c:f>
              <c:numCache>
                <c:formatCode>General</c:formatCode>
                <c:ptCount val="9"/>
                <c:pt idx="0">
                  <c:v>13.0</c:v>
                </c:pt>
                <c:pt idx="1">
                  <c:v>14.72</c:v>
                </c:pt>
                <c:pt idx="2">
                  <c:v>17.2784</c:v>
                </c:pt>
                <c:pt idx="3">
                  <c:v>20.142848</c:v>
                </c:pt>
                <c:pt idx="4">
                  <c:v>22.14297856</c:v>
                </c:pt>
                <c:pt idx="5">
                  <c:v>24.8916447232</c:v>
                </c:pt>
                <c:pt idx="6">
                  <c:v>26.179246075904</c:v>
                </c:pt>
                <c:pt idx="7">
                  <c:v>29.59498747199488</c:v>
                </c:pt>
                <c:pt idx="8">
                  <c:v>31.599981591108</c:v>
                </c:pt>
              </c:numCache>
            </c:numRef>
          </c:val>
          <c:smooth val="0"/>
        </c:ser>
        <c:dLbls>
          <c:showLegendKey val="0"/>
          <c:showVal val="0"/>
          <c:showCatName val="0"/>
          <c:showSerName val="0"/>
          <c:showPercent val="0"/>
          <c:showBubbleSize val="0"/>
        </c:dLbls>
        <c:marker val="1"/>
        <c:smooth val="0"/>
        <c:axId val="2142901960"/>
        <c:axId val="2142372616"/>
      </c:lineChart>
      <c:catAx>
        <c:axId val="2142901960"/>
        <c:scaling>
          <c:orientation val="minMax"/>
        </c:scaling>
        <c:delete val="0"/>
        <c:axPos val="b"/>
        <c:title>
          <c:tx>
            <c:rich>
              <a:bodyPr/>
              <a:lstStyle/>
              <a:p>
                <a:pPr>
                  <a:defRPr/>
                </a:pPr>
                <a:r>
                  <a:rPr lang="en-US"/>
                  <a:t>Time</a:t>
                </a:r>
              </a:p>
            </c:rich>
          </c:tx>
          <c:overlay val="0"/>
        </c:title>
        <c:majorTickMark val="out"/>
        <c:minorTickMark val="none"/>
        <c:tickLblPos val="nextTo"/>
        <c:crossAx val="2142372616"/>
        <c:crosses val="autoZero"/>
        <c:auto val="1"/>
        <c:lblAlgn val="ctr"/>
        <c:lblOffset val="100"/>
        <c:noMultiLvlLbl val="0"/>
      </c:catAx>
      <c:valAx>
        <c:axId val="2142372616"/>
        <c:scaling>
          <c:orientation val="minMax"/>
        </c:scaling>
        <c:delete val="0"/>
        <c:axPos val="l"/>
        <c:title>
          <c:tx>
            <c:rich>
              <a:bodyPr/>
              <a:lstStyle/>
              <a:p>
                <a:pPr>
                  <a:defRPr/>
                </a:pPr>
                <a:r>
                  <a:rPr lang="en-US"/>
                  <a:t>Value</a:t>
                </a:r>
              </a:p>
            </c:rich>
          </c:tx>
          <c:overlay val="0"/>
        </c:title>
        <c:numFmt formatCode="General" sourceLinked="1"/>
        <c:majorTickMark val="out"/>
        <c:minorTickMark val="none"/>
        <c:tickLblPos val="nextTo"/>
        <c:crossAx val="2142901960"/>
        <c:crosses val="autoZero"/>
        <c:crossBetween val="midCat"/>
      </c:valAx>
      <c:spPr>
        <a:gradFill flip="none" rotWithShape="1">
          <a:gsLst>
            <a:gs pos="0">
              <a:srgbClr val="9AB5E4"/>
            </a:gs>
            <a:gs pos="100000">
              <a:srgbClr val="FFFFFF"/>
            </a:gs>
          </a:gsLst>
          <a:lin ang="5400000" scaled="1"/>
          <a:tileRect/>
        </a:gradFill>
      </c:spPr>
    </c:plotArea>
    <c:legend>
      <c:legendPos val="b"/>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1.0" l="0.75" r="0.75" t="1.0"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0" u="none" strike="noStrike" baseline="0">
                <a:latin typeface="Calibri"/>
                <a:ea typeface="Calibri"/>
                <a:cs typeface="Calibri"/>
              </a:defRPr>
            </a:pPr>
            <a:r>
              <a:rPr lang="en-US"/>
              <a:t>Regression</a:t>
            </a:r>
          </a:p>
        </c:rich>
      </c:tx>
      <c:overlay val="0"/>
      <c:spPr>
        <a:effectLst/>
      </c:spPr>
    </c:title>
    <c:autoTitleDeleted val="0"/>
    <c:plotArea>
      <c:layout/>
      <c:scatterChart>
        <c:scatterStyle val="lineMarker"/>
        <c:varyColors val="0"/>
        <c:ser>
          <c:idx val="0"/>
          <c:order val="0"/>
          <c:spPr>
            <a:ln w="47625">
              <a:noFill/>
            </a:ln>
          </c:spPr>
          <c:trendline>
            <c:trendlineType val="linear"/>
            <c:dispRSqr val="0"/>
            <c:dispEq val="0"/>
          </c:trendline>
          <c:xVal>
            <c:numRef>
              <c:f>'Trend Projection'!$C$10:$C$16</c:f>
              <c:numCache>
                <c:formatCode>General</c:formatCode>
                <c:ptCount val="7"/>
                <c:pt idx="0">
                  <c:v>1.0</c:v>
                </c:pt>
                <c:pt idx="1">
                  <c:v>2.0</c:v>
                </c:pt>
                <c:pt idx="2">
                  <c:v>3.0</c:v>
                </c:pt>
                <c:pt idx="3">
                  <c:v>4.0</c:v>
                </c:pt>
                <c:pt idx="4">
                  <c:v>5.0</c:v>
                </c:pt>
                <c:pt idx="5">
                  <c:v>6.0</c:v>
                </c:pt>
                <c:pt idx="6">
                  <c:v>7.0</c:v>
                </c:pt>
              </c:numCache>
            </c:numRef>
          </c:xVal>
          <c:yVal>
            <c:numRef>
              <c:f>'Trend Projection'!$B$10:$B$16</c:f>
              <c:numCache>
                <c:formatCode>General</c:formatCode>
                <c:ptCount val="7"/>
                <c:pt idx="0">
                  <c:v>74.0</c:v>
                </c:pt>
                <c:pt idx="1">
                  <c:v>79.0</c:v>
                </c:pt>
                <c:pt idx="2">
                  <c:v>80.0</c:v>
                </c:pt>
                <c:pt idx="3">
                  <c:v>90.0</c:v>
                </c:pt>
                <c:pt idx="4">
                  <c:v>105.0</c:v>
                </c:pt>
                <c:pt idx="5">
                  <c:v>142.0</c:v>
                </c:pt>
                <c:pt idx="6">
                  <c:v>122.0</c:v>
                </c:pt>
              </c:numCache>
            </c:numRef>
          </c:yVal>
          <c:smooth val="0"/>
        </c:ser>
        <c:dLbls>
          <c:showLegendKey val="0"/>
          <c:showVal val="0"/>
          <c:showCatName val="0"/>
          <c:showSerName val="0"/>
          <c:showPercent val="0"/>
          <c:showBubbleSize val="0"/>
        </c:dLbls>
        <c:axId val="2103833128"/>
        <c:axId val="2142326424"/>
      </c:scatterChart>
      <c:valAx>
        <c:axId val="2103833128"/>
        <c:scaling>
          <c:orientation val="minMax"/>
        </c:scaling>
        <c:delete val="0"/>
        <c:axPos val="b"/>
        <c:majorGridlines/>
        <c:title>
          <c:tx>
            <c:rich>
              <a:bodyPr/>
              <a:lstStyle/>
              <a:p>
                <a:pPr>
                  <a:defRPr/>
                </a:pPr>
                <a:endParaRPr lang="en-US"/>
              </a:p>
            </c:rich>
          </c:tx>
          <c:overlay val="0"/>
        </c:title>
        <c:numFmt formatCode="General" sourceLinked="1"/>
        <c:majorTickMark val="out"/>
        <c:minorTickMark val="none"/>
        <c:tickLblPos val="nextTo"/>
        <c:crossAx val="2142326424"/>
        <c:crosses val="autoZero"/>
        <c:crossBetween val="midCat"/>
      </c:valAx>
      <c:valAx>
        <c:axId val="2142326424"/>
        <c:scaling>
          <c:orientation val="minMax"/>
        </c:scaling>
        <c:delete val="0"/>
        <c:axPos val="l"/>
        <c:majorGridlines/>
        <c:title>
          <c:tx>
            <c:rich>
              <a:bodyPr/>
              <a:lstStyle/>
              <a:p>
                <a:pPr>
                  <a:defRPr/>
                </a:pPr>
                <a:endParaRPr lang="en-US"/>
              </a:p>
            </c:rich>
          </c:tx>
          <c:overlay val="0"/>
        </c:title>
        <c:numFmt formatCode="General" sourceLinked="1"/>
        <c:majorTickMark val="out"/>
        <c:minorTickMark val="none"/>
        <c:tickLblPos val="nextTo"/>
        <c:crossAx val="2103833128"/>
        <c:crosses val="autoZero"/>
        <c:crossBetween val="midCat"/>
      </c:valAx>
      <c:spPr>
        <a:gradFill flip="none" rotWithShape="1">
          <a:gsLst>
            <a:gs pos="0">
              <a:srgbClr val="9AB5E4"/>
            </a:gs>
            <a:gs pos="100000">
              <a:srgbClr val="FFFFFF"/>
            </a:gs>
          </a:gsLst>
          <a:lin ang="5400000" scaled="1"/>
          <a:tileRect/>
        </a:gradFill>
      </c:spPr>
    </c:plotArea>
    <c:legend>
      <c:legendPos val="b"/>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1.0" l="0.75" r="0.75" t="1.0"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0" u="none" strike="noStrike" baseline="0">
                <a:latin typeface="Calibri"/>
                <a:ea typeface="Calibri"/>
                <a:cs typeface="Calibri"/>
              </a:defRPr>
            </a:pPr>
            <a:r>
              <a:rPr lang="en-US"/>
              <a:t>Regression</a:t>
            </a:r>
          </a:p>
        </c:rich>
      </c:tx>
      <c:overlay val="0"/>
      <c:spPr>
        <a:effectLst/>
      </c:spPr>
    </c:title>
    <c:autoTitleDeleted val="0"/>
    <c:plotArea>
      <c:layout/>
      <c:scatterChart>
        <c:scatterStyle val="lineMarker"/>
        <c:varyColors val="0"/>
        <c:ser>
          <c:idx val="0"/>
          <c:order val="0"/>
          <c:spPr>
            <a:ln w="47625">
              <a:noFill/>
            </a:ln>
          </c:spPr>
          <c:trendline>
            <c:trendlineType val="linear"/>
            <c:dispRSqr val="0"/>
            <c:dispEq val="0"/>
          </c:trendline>
          <c:xVal>
            <c:numRef>
              <c:f>'Linear Regression'!$C$10:$C$15</c:f>
              <c:numCache>
                <c:formatCode>General</c:formatCode>
                <c:ptCount val="6"/>
                <c:pt idx="0">
                  <c:v>1.0</c:v>
                </c:pt>
                <c:pt idx="1">
                  <c:v>3.0</c:v>
                </c:pt>
                <c:pt idx="2">
                  <c:v>4.0</c:v>
                </c:pt>
                <c:pt idx="3">
                  <c:v>2.0</c:v>
                </c:pt>
                <c:pt idx="4">
                  <c:v>1.0</c:v>
                </c:pt>
                <c:pt idx="5">
                  <c:v>7.0</c:v>
                </c:pt>
              </c:numCache>
            </c:numRef>
          </c:xVal>
          <c:yVal>
            <c:numRef>
              <c:f>'Linear Regression'!$B$10:$B$15</c:f>
              <c:numCache>
                <c:formatCode>General</c:formatCode>
                <c:ptCount val="6"/>
                <c:pt idx="0">
                  <c:v>2.0</c:v>
                </c:pt>
                <c:pt idx="1">
                  <c:v>3.0</c:v>
                </c:pt>
                <c:pt idx="2">
                  <c:v>2.5</c:v>
                </c:pt>
                <c:pt idx="3">
                  <c:v>2.0</c:v>
                </c:pt>
                <c:pt idx="4">
                  <c:v>2.0</c:v>
                </c:pt>
                <c:pt idx="5">
                  <c:v>3.5</c:v>
                </c:pt>
              </c:numCache>
            </c:numRef>
          </c:yVal>
          <c:smooth val="0"/>
        </c:ser>
        <c:dLbls>
          <c:showLegendKey val="0"/>
          <c:showVal val="0"/>
          <c:showCatName val="0"/>
          <c:showSerName val="0"/>
          <c:showPercent val="0"/>
          <c:showBubbleSize val="0"/>
        </c:dLbls>
        <c:axId val="2106925304"/>
        <c:axId val="2111030600"/>
      </c:scatterChart>
      <c:valAx>
        <c:axId val="2106925304"/>
        <c:scaling>
          <c:orientation val="minMax"/>
        </c:scaling>
        <c:delete val="0"/>
        <c:axPos val="b"/>
        <c:majorGridlines/>
        <c:title>
          <c:tx>
            <c:rich>
              <a:bodyPr/>
              <a:lstStyle/>
              <a:p>
                <a:pPr>
                  <a:defRPr/>
                </a:pPr>
                <a:endParaRPr lang="en-US"/>
              </a:p>
            </c:rich>
          </c:tx>
          <c:overlay val="0"/>
        </c:title>
        <c:numFmt formatCode="General" sourceLinked="1"/>
        <c:majorTickMark val="out"/>
        <c:minorTickMark val="none"/>
        <c:tickLblPos val="nextTo"/>
        <c:crossAx val="2111030600"/>
        <c:crosses val="autoZero"/>
        <c:crossBetween val="midCat"/>
      </c:valAx>
      <c:valAx>
        <c:axId val="2111030600"/>
        <c:scaling>
          <c:orientation val="minMax"/>
        </c:scaling>
        <c:delete val="0"/>
        <c:axPos val="l"/>
        <c:majorGridlines/>
        <c:title>
          <c:tx>
            <c:rich>
              <a:bodyPr/>
              <a:lstStyle/>
              <a:p>
                <a:pPr>
                  <a:defRPr/>
                </a:pPr>
                <a:endParaRPr lang="en-US"/>
              </a:p>
            </c:rich>
          </c:tx>
          <c:overlay val="0"/>
        </c:title>
        <c:numFmt formatCode="General" sourceLinked="1"/>
        <c:majorTickMark val="out"/>
        <c:minorTickMark val="none"/>
        <c:tickLblPos val="nextTo"/>
        <c:crossAx val="2106925304"/>
        <c:crosses val="autoZero"/>
        <c:crossBetween val="midCat"/>
      </c:valAx>
      <c:spPr>
        <a:gradFill flip="none" rotWithShape="1">
          <a:gsLst>
            <a:gs pos="0">
              <a:srgbClr val="9AB5E4"/>
            </a:gs>
            <a:gs pos="100000">
              <a:srgbClr val="FFFFFF"/>
            </a:gs>
          </a:gsLst>
          <a:lin ang="5400000" scaled="1"/>
          <a:tileRect/>
        </a:gradFill>
      </c:spPr>
    </c:plotArea>
    <c:legend>
      <c:legendPos val="b"/>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1.0" l="0.75" r="0.75" t="1.0"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0" u="none" strike="noStrike" baseline="0">
                <a:latin typeface="Calibri"/>
                <a:ea typeface="Calibri"/>
                <a:cs typeface="Calibri"/>
              </a:defRPr>
            </a:pPr>
            <a:r>
              <a:rPr lang="en-US"/>
              <a:t>p-chart</a:t>
            </a:r>
          </a:p>
        </c:rich>
      </c:tx>
      <c:overlay val="0"/>
      <c:spPr>
        <a:effectLst/>
      </c:spPr>
    </c:title>
    <c:autoTitleDeleted val="0"/>
    <c:plotArea>
      <c:layout/>
      <c:lineChart>
        <c:grouping val="standard"/>
        <c:varyColors val="0"/>
        <c:ser>
          <c:idx val="0"/>
          <c:order val="0"/>
          <c:tx>
            <c:strRef>
              <c:f>'p-chart'!$B$34</c:f>
              <c:strCache>
                <c:ptCount val="1"/>
              </c:strCache>
            </c:strRef>
          </c:tx>
          <c:spPr>
            <a:ln w="25400">
              <a:noFill/>
            </a:ln>
          </c:spPr>
          <c:val>
            <c:numRef>
              <c:f>'p-chart'!$B$35:$B$54</c:f>
              <c:numCache>
                <c:formatCode>General</c:formatCode>
                <c:ptCount val="20"/>
                <c:pt idx="0">
                  <c:v>0.06</c:v>
                </c:pt>
                <c:pt idx="1">
                  <c:v>0.05</c:v>
                </c:pt>
                <c:pt idx="2">
                  <c:v>0.0</c:v>
                </c:pt>
                <c:pt idx="3">
                  <c:v>0.01</c:v>
                </c:pt>
                <c:pt idx="4">
                  <c:v>0.04</c:v>
                </c:pt>
                <c:pt idx="5">
                  <c:v>0.02</c:v>
                </c:pt>
                <c:pt idx="6">
                  <c:v>0.05</c:v>
                </c:pt>
                <c:pt idx="7">
                  <c:v>0.03</c:v>
                </c:pt>
                <c:pt idx="8">
                  <c:v>0.03</c:v>
                </c:pt>
                <c:pt idx="9">
                  <c:v>0.02</c:v>
                </c:pt>
                <c:pt idx="10">
                  <c:v>0.06</c:v>
                </c:pt>
                <c:pt idx="11">
                  <c:v>0.01</c:v>
                </c:pt>
                <c:pt idx="12">
                  <c:v>0.08</c:v>
                </c:pt>
                <c:pt idx="13">
                  <c:v>0.07</c:v>
                </c:pt>
                <c:pt idx="14">
                  <c:v>0.05</c:v>
                </c:pt>
                <c:pt idx="15">
                  <c:v>0.04</c:v>
                </c:pt>
                <c:pt idx="16">
                  <c:v>0.11</c:v>
                </c:pt>
                <c:pt idx="17">
                  <c:v>0.03</c:v>
                </c:pt>
                <c:pt idx="18">
                  <c:v>0.0</c:v>
                </c:pt>
                <c:pt idx="19">
                  <c:v>0.04</c:v>
                </c:pt>
              </c:numCache>
            </c:numRef>
          </c:val>
          <c:smooth val="0"/>
        </c:ser>
        <c:ser>
          <c:idx val="1"/>
          <c:order val="1"/>
          <c:tx>
            <c:strRef>
              <c:f>'p-chart'!$C$34</c:f>
              <c:strCache>
                <c:ptCount val="1"/>
              </c:strCache>
            </c:strRef>
          </c:tx>
          <c:spPr>
            <a:ln w="12700">
              <a:solidFill>
                <a:srgbClr val="000000"/>
              </a:solidFill>
              <a:prstDash val="solid"/>
            </a:ln>
          </c:spPr>
          <c:marker>
            <c:symbol val="none"/>
          </c:marker>
          <c:val>
            <c:numRef>
              <c:f>'p-chart'!$C$35:$C$54</c:f>
              <c:numCache>
                <c:formatCode>General</c:formatCode>
                <c:ptCount val="20"/>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numCache>
            </c:numRef>
          </c:val>
          <c:smooth val="0"/>
        </c:ser>
        <c:ser>
          <c:idx val="2"/>
          <c:order val="2"/>
          <c:tx>
            <c:strRef>
              <c:f>'p-chart'!$D$34</c:f>
              <c:strCache>
                <c:ptCount val="1"/>
              </c:strCache>
            </c:strRef>
          </c:tx>
          <c:spPr>
            <a:ln w="12700">
              <a:solidFill>
                <a:srgbClr val="000000"/>
              </a:solidFill>
              <a:prstDash val="solid"/>
            </a:ln>
          </c:spPr>
          <c:marker>
            <c:symbol val="none"/>
          </c:marker>
          <c:val>
            <c:numRef>
              <c:f>'p-chart'!$D$35:$D$54</c:f>
              <c:numCache>
                <c:formatCode>General</c:formatCode>
                <c:ptCount val="20"/>
                <c:pt idx="0">
                  <c:v>0.04</c:v>
                </c:pt>
                <c:pt idx="1">
                  <c:v>0.04</c:v>
                </c:pt>
                <c:pt idx="2">
                  <c:v>0.04</c:v>
                </c:pt>
                <c:pt idx="3">
                  <c:v>0.04</c:v>
                </c:pt>
                <c:pt idx="4">
                  <c:v>0.04</c:v>
                </c:pt>
                <c:pt idx="5">
                  <c:v>0.04</c:v>
                </c:pt>
                <c:pt idx="6">
                  <c:v>0.04</c:v>
                </c:pt>
                <c:pt idx="7">
                  <c:v>0.04</c:v>
                </c:pt>
                <c:pt idx="8">
                  <c:v>0.04</c:v>
                </c:pt>
                <c:pt idx="9">
                  <c:v>0.04</c:v>
                </c:pt>
                <c:pt idx="10">
                  <c:v>0.04</c:v>
                </c:pt>
                <c:pt idx="11">
                  <c:v>0.04</c:v>
                </c:pt>
                <c:pt idx="12">
                  <c:v>0.04</c:v>
                </c:pt>
                <c:pt idx="13">
                  <c:v>0.04</c:v>
                </c:pt>
                <c:pt idx="14">
                  <c:v>0.04</c:v>
                </c:pt>
                <c:pt idx="15">
                  <c:v>0.04</c:v>
                </c:pt>
                <c:pt idx="16">
                  <c:v>0.04</c:v>
                </c:pt>
                <c:pt idx="17">
                  <c:v>0.04</c:v>
                </c:pt>
                <c:pt idx="18">
                  <c:v>0.04</c:v>
                </c:pt>
                <c:pt idx="19">
                  <c:v>0.04</c:v>
                </c:pt>
              </c:numCache>
            </c:numRef>
          </c:val>
          <c:smooth val="0"/>
        </c:ser>
        <c:ser>
          <c:idx val="3"/>
          <c:order val="3"/>
          <c:tx>
            <c:strRef>
              <c:f>'p-chart'!$E$34</c:f>
              <c:strCache>
                <c:ptCount val="1"/>
              </c:strCache>
            </c:strRef>
          </c:tx>
          <c:marker>
            <c:symbol val="none"/>
          </c:marker>
          <c:val>
            <c:numRef>
              <c:f>'p-chart'!$E$35:$E$54</c:f>
              <c:numCache>
                <c:formatCode>General</c:formatCode>
                <c:ptCount val="20"/>
                <c:pt idx="0">
                  <c:v>0.0987877538267962</c:v>
                </c:pt>
                <c:pt idx="1">
                  <c:v>0.0987877538267962</c:v>
                </c:pt>
                <c:pt idx="2">
                  <c:v>0.0987877538267962</c:v>
                </c:pt>
                <c:pt idx="3">
                  <c:v>0.0987877538267962</c:v>
                </c:pt>
                <c:pt idx="4">
                  <c:v>0.0987877538267962</c:v>
                </c:pt>
                <c:pt idx="5">
                  <c:v>0.0987877538267962</c:v>
                </c:pt>
                <c:pt idx="6">
                  <c:v>0.0987877538267962</c:v>
                </c:pt>
                <c:pt idx="7">
                  <c:v>0.0987877538267962</c:v>
                </c:pt>
                <c:pt idx="8">
                  <c:v>0.0987877538267962</c:v>
                </c:pt>
                <c:pt idx="9">
                  <c:v>0.0987877538267962</c:v>
                </c:pt>
                <c:pt idx="10">
                  <c:v>0.0987877538267962</c:v>
                </c:pt>
                <c:pt idx="11">
                  <c:v>0.0987877538267962</c:v>
                </c:pt>
                <c:pt idx="12">
                  <c:v>0.0987877538267962</c:v>
                </c:pt>
                <c:pt idx="13">
                  <c:v>0.0987877538267962</c:v>
                </c:pt>
                <c:pt idx="14">
                  <c:v>0.0987877538267962</c:v>
                </c:pt>
                <c:pt idx="15">
                  <c:v>0.0987877538267962</c:v>
                </c:pt>
                <c:pt idx="16">
                  <c:v>0.0987877538267962</c:v>
                </c:pt>
                <c:pt idx="17">
                  <c:v>0.0987877538267962</c:v>
                </c:pt>
                <c:pt idx="18">
                  <c:v>0.0987877538267962</c:v>
                </c:pt>
                <c:pt idx="19">
                  <c:v>0.0987877538267962</c:v>
                </c:pt>
              </c:numCache>
            </c:numRef>
          </c:val>
          <c:smooth val="0"/>
        </c:ser>
        <c:dLbls>
          <c:showLegendKey val="0"/>
          <c:showVal val="0"/>
          <c:showCatName val="0"/>
          <c:showSerName val="0"/>
          <c:showPercent val="0"/>
          <c:showBubbleSize val="0"/>
        </c:dLbls>
        <c:marker val="1"/>
        <c:smooth val="0"/>
        <c:axId val="-2121821512"/>
        <c:axId val="-2121680200"/>
      </c:lineChart>
      <c:catAx>
        <c:axId val="-2121821512"/>
        <c:scaling>
          <c:orientation val="minMax"/>
        </c:scaling>
        <c:delete val="0"/>
        <c:axPos val="b"/>
        <c:title>
          <c:tx>
            <c:rich>
              <a:bodyPr/>
              <a:lstStyle/>
              <a:p>
                <a:pPr>
                  <a:defRPr/>
                </a:pPr>
                <a:r>
                  <a:rPr lang="en-US"/>
                  <a:t>Sample</a:t>
                </a:r>
              </a:p>
            </c:rich>
          </c:tx>
          <c:overlay val="0"/>
        </c:title>
        <c:majorTickMark val="out"/>
        <c:minorTickMark val="none"/>
        <c:tickLblPos val="nextTo"/>
        <c:crossAx val="-2121680200"/>
        <c:crosses val="autoZero"/>
        <c:auto val="1"/>
        <c:lblAlgn val="ctr"/>
        <c:lblOffset val="100"/>
        <c:noMultiLvlLbl val="0"/>
      </c:catAx>
      <c:valAx>
        <c:axId val="-2121680200"/>
        <c:scaling>
          <c:orientation val="minMax"/>
        </c:scaling>
        <c:delete val="0"/>
        <c:axPos val="l"/>
        <c:title>
          <c:tx>
            <c:rich>
              <a:bodyPr/>
              <a:lstStyle/>
              <a:p>
                <a:pPr>
                  <a:defRPr/>
                </a:pPr>
                <a:r>
                  <a:rPr lang="en-US"/>
                  <a:t>Mean</a:t>
                </a:r>
              </a:p>
            </c:rich>
          </c:tx>
          <c:overlay val="0"/>
        </c:title>
        <c:numFmt formatCode="General" sourceLinked="1"/>
        <c:majorTickMark val="out"/>
        <c:minorTickMark val="none"/>
        <c:tickLblPos val="nextTo"/>
        <c:crossAx val="-2121821512"/>
        <c:crosses val="autoZero"/>
        <c:crossBetween val="midCat"/>
      </c:valAx>
      <c:spPr>
        <a:gradFill flip="none" rotWithShape="1">
          <a:gsLst>
            <a:gs pos="0">
              <a:srgbClr val="9AB5E4"/>
            </a:gs>
            <a:gs pos="100000">
              <a:srgbClr val="FFFFFF"/>
            </a:gs>
          </a:gsLst>
          <a:lin ang="5400000" scaled="1"/>
          <a:tileRect/>
        </a:gradFill>
      </c:spPr>
    </c:plotArea>
    <c:legend>
      <c:legendPos val="r"/>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1.0" l="0.75" r="0.75" t="1.0"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0" u="none" strike="noStrike" baseline="0">
                <a:latin typeface="Calibri"/>
                <a:ea typeface="Calibri"/>
                <a:cs typeface="Calibri"/>
              </a:defRPr>
            </a:pPr>
            <a:r>
              <a:rPr lang="en-US"/>
              <a:t>range chart</a:t>
            </a:r>
          </a:p>
        </c:rich>
      </c:tx>
      <c:overlay val="0"/>
      <c:spPr>
        <a:effectLst/>
      </c:spPr>
    </c:title>
    <c:autoTitleDeleted val="0"/>
    <c:plotArea>
      <c:layout>
        <c:manualLayout>
          <c:layoutTarget val="inner"/>
          <c:xMode val="edge"/>
          <c:yMode val="edge"/>
          <c:x val="0.0355387914202339"/>
          <c:y val="0.255696202531646"/>
          <c:w val="0.863439432559659"/>
          <c:h val="0.450970796371972"/>
        </c:manualLayout>
      </c:layout>
      <c:lineChart>
        <c:grouping val="standard"/>
        <c:varyColors val="0"/>
        <c:ser>
          <c:idx val="0"/>
          <c:order val="0"/>
          <c:tx>
            <c:strRef>
              <c:f>'x-bar and R-charts'!$F$48</c:f>
              <c:strCache>
                <c:ptCount val="1"/>
                <c:pt idx="0">
                  <c:v>Range Data</c:v>
                </c:pt>
              </c:strCache>
            </c:strRef>
          </c:tx>
          <c:spPr>
            <a:ln w="25400">
              <a:noFill/>
            </a:ln>
          </c:spPr>
          <c:val>
            <c:numRef>
              <c:f>'x-bar and R-charts'!$F$49:$F$53</c:f>
              <c:numCache>
                <c:formatCode>General</c:formatCode>
                <c:ptCount val="5"/>
                <c:pt idx="0">
                  <c:v>7.0</c:v>
                </c:pt>
                <c:pt idx="1">
                  <c:v>4.0</c:v>
                </c:pt>
                <c:pt idx="2">
                  <c:v>11.0</c:v>
                </c:pt>
                <c:pt idx="3">
                  <c:v>6.0</c:v>
                </c:pt>
                <c:pt idx="4">
                  <c:v>12.0</c:v>
                </c:pt>
              </c:numCache>
            </c:numRef>
          </c:val>
          <c:smooth val="0"/>
        </c:ser>
        <c:ser>
          <c:idx val="1"/>
          <c:order val="1"/>
          <c:tx>
            <c:strRef>
              <c:f>'x-bar and R-charts'!$G$48</c:f>
              <c:strCache>
                <c:ptCount val="1"/>
                <c:pt idx="0">
                  <c:v>LCL</c:v>
                </c:pt>
              </c:strCache>
            </c:strRef>
          </c:tx>
          <c:spPr>
            <a:ln w="12700">
              <a:solidFill>
                <a:srgbClr val="000000"/>
              </a:solidFill>
              <a:prstDash val="solid"/>
            </a:ln>
          </c:spPr>
          <c:marker>
            <c:symbol val="none"/>
          </c:marker>
          <c:val>
            <c:numRef>
              <c:f>'x-bar and R-charts'!$G$49:$G$53</c:f>
              <c:numCache>
                <c:formatCode>General</c:formatCode>
                <c:ptCount val="5"/>
                <c:pt idx="0">
                  <c:v>0.0</c:v>
                </c:pt>
                <c:pt idx="1">
                  <c:v>0.0</c:v>
                </c:pt>
                <c:pt idx="2">
                  <c:v>0.0</c:v>
                </c:pt>
                <c:pt idx="3">
                  <c:v>0.0</c:v>
                </c:pt>
                <c:pt idx="4">
                  <c:v>0.0</c:v>
                </c:pt>
              </c:numCache>
            </c:numRef>
          </c:val>
          <c:smooth val="0"/>
        </c:ser>
        <c:ser>
          <c:idx val="2"/>
          <c:order val="2"/>
          <c:tx>
            <c:strRef>
              <c:f>'x-bar and R-charts'!$H$48</c:f>
              <c:strCache>
                <c:ptCount val="1"/>
                <c:pt idx="0">
                  <c:v>CL</c:v>
                </c:pt>
              </c:strCache>
            </c:strRef>
          </c:tx>
          <c:spPr>
            <a:ln w="12700">
              <a:solidFill>
                <a:srgbClr val="000000"/>
              </a:solidFill>
              <a:prstDash val="solid"/>
            </a:ln>
          </c:spPr>
          <c:marker>
            <c:symbol val="none"/>
          </c:marker>
          <c:val>
            <c:numRef>
              <c:f>'x-bar and R-charts'!$H$49:$H$53</c:f>
              <c:numCache>
                <c:formatCode>General</c:formatCode>
                <c:ptCount val="5"/>
                <c:pt idx="0">
                  <c:v>8.0</c:v>
                </c:pt>
                <c:pt idx="1">
                  <c:v>8.0</c:v>
                </c:pt>
                <c:pt idx="2">
                  <c:v>8.0</c:v>
                </c:pt>
                <c:pt idx="3">
                  <c:v>8.0</c:v>
                </c:pt>
                <c:pt idx="4">
                  <c:v>8.0</c:v>
                </c:pt>
              </c:numCache>
            </c:numRef>
          </c:val>
          <c:smooth val="0"/>
        </c:ser>
        <c:ser>
          <c:idx val="3"/>
          <c:order val="3"/>
          <c:tx>
            <c:strRef>
              <c:f>'x-bar and R-charts'!$I$48</c:f>
              <c:strCache>
                <c:ptCount val="1"/>
                <c:pt idx="0">
                  <c:v>UCL</c:v>
                </c:pt>
              </c:strCache>
            </c:strRef>
          </c:tx>
          <c:marker>
            <c:symbol val="none"/>
          </c:marker>
          <c:val>
            <c:numRef>
              <c:f>'x-bar and R-charts'!$I$49:$I$53</c:f>
              <c:numCache>
                <c:formatCode>General</c:formatCode>
                <c:ptCount val="5"/>
                <c:pt idx="0">
                  <c:v>18.256</c:v>
                </c:pt>
                <c:pt idx="1">
                  <c:v>18.256</c:v>
                </c:pt>
                <c:pt idx="2">
                  <c:v>18.256</c:v>
                </c:pt>
                <c:pt idx="3">
                  <c:v>18.256</c:v>
                </c:pt>
                <c:pt idx="4">
                  <c:v>18.256</c:v>
                </c:pt>
              </c:numCache>
            </c:numRef>
          </c:val>
          <c:smooth val="0"/>
        </c:ser>
        <c:dLbls>
          <c:showLegendKey val="0"/>
          <c:showVal val="0"/>
          <c:showCatName val="0"/>
          <c:showSerName val="0"/>
          <c:showPercent val="0"/>
          <c:showBubbleSize val="0"/>
        </c:dLbls>
        <c:marker val="1"/>
        <c:smooth val="0"/>
        <c:axId val="-2121516184"/>
        <c:axId val="-2121510648"/>
      </c:lineChart>
      <c:catAx>
        <c:axId val="-2121516184"/>
        <c:scaling>
          <c:orientation val="minMax"/>
        </c:scaling>
        <c:delete val="0"/>
        <c:axPos val="b"/>
        <c:title>
          <c:tx>
            <c:rich>
              <a:bodyPr/>
              <a:lstStyle/>
              <a:p>
                <a:pPr>
                  <a:defRPr/>
                </a:pPr>
                <a:r>
                  <a:rPr lang="en-US"/>
                  <a:t>Sample</a:t>
                </a:r>
              </a:p>
            </c:rich>
          </c:tx>
          <c:overlay val="0"/>
        </c:title>
        <c:majorTickMark val="out"/>
        <c:minorTickMark val="none"/>
        <c:tickLblPos val="nextTo"/>
        <c:crossAx val="-2121510648"/>
        <c:crosses val="autoZero"/>
        <c:auto val="1"/>
        <c:lblAlgn val="ctr"/>
        <c:lblOffset val="100"/>
        <c:noMultiLvlLbl val="0"/>
      </c:catAx>
      <c:valAx>
        <c:axId val="-2121510648"/>
        <c:scaling>
          <c:orientation val="minMax"/>
        </c:scaling>
        <c:delete val="0"/>
        <c:axPos val="l"/>
        <c:title>
          <c:tx>
            <c:rich>
              <a:bodyPr/>
              <a:lstStyle/>
              <a:p>
                <a:pPr>
                  <a:defRPr/>
                </a:pPr>
                <a:r>
                  <a:rPr lang="en-US"/>
                  <a:t>Range</a:t>
                </a:r>
              </a:p>
            </c:rich>
          </c:tx>
          <c:overlay val="0"/>
        </c:title>
        <c:numFmt formatCode="General" sourceLinked="1"/>
        <c:majorTickMark val="out"/>
        <c:minorTickMark val="none"/>
        <c:tickLblPos val="nextTo"/>
        <c:crossAx val="-2121516184"/>
        <c:crosses val="autoZero"/>
        <c:crossBetween val="midCat"/>
      </c:valAx>
      <c:spPr>
        <a:gradFill flip="none" rotWithShape="1">
          <a:gsLst>
            <a:gs pos="0">
              <a:srgbClr val="9AB5E4"/>
            </a:gs>
            <a:gs pos="100000">
              <a:srgbClr val="FFFFFF"/>
            </a:gs>
          </a:gsLst>
          <a:lin ang="5400000" scaled="1"/>
          <a:tileRect/>
        </a:gradFill>
      </c:spPr>
    </c:plotArea>
    <c:legend>
      <c:legendPos val="r"/>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1.0" l="0.75" r="0.75" t="1.0"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0" u="none" strike="noStrike" baseline="0">
                <a:latin typeface="Calibri"/>
                <a:ea typeface="Calibri"/>
                <a:cs typeface="Calibri"/>
              </a:defRPr>
            </a:pPr>
            <a:r>
              <a:rPr lang="en-US"/>
              <a:t>x-bar chart</a:t>
            </a:r>
          </a:p>
        </c:rich>
      </c:tx>
      <c:overlay val="0"/>
      <c:spPr>
        <a:effectLst/>
      </c:spPr>
    </c:title>
    <c:autoTitleDeleted val="0"/>
    <c:plotArea>
      <c:layout/>
      <c:lineChart>
        <c:grouping val="standard"/>
        <c:varyColors val="0"/>
        <c:ser>
          <c:idx val="0"/>
          <c:order val="0"/>
          <c:tx>
            <c:strRef>
              <c:f>'x-bar and R-charts'!$B$48</c:f>
              <c:strCache>
                <c:ptCount val="1"/>
                <c:pt idx="0">
                  <c:v>Data</c:v>
                </c:pt>
              </c:strCache>
            </c:strRef>
          </c:tx>
          <c:spPr>
            <a:ln w="25400">
              <a:noFill/>
            </a:ln>
          </c:spPr>
          <c:val>
            <c:numRef>
              <c:f>'x-bar and R-charts'!$B$49:$B$53</c:f>
              <c:numCache>
                <c:formatCode>General</c:formatCode>
                <c:ptCount val="5"/>
                <c:pt idx="0">
                  <c:v>6.0</c:v>
                </c:pt>
                <c:pt idx="1">
                  <c:v>5.0</c:v>
                </c:pt>
                <c:pt idx="2">
                  <c:v>6.0</c:v>
                </c:pt>
                <c:pt idx="3">
                  <c:v>4.0</c:v>
                </c:pt>
                <c:pt idx="4">
                  <c:v>9.0</c:v>
                </c:pt>
              </c:numCache>
            </c:numRef>
          </c:val>
          <c:smooth val="0"/>
        </c:ser>
        <c:ser>
          <c:idx val="1"/>
          <c:order val="1"/>
          <c:tx>
            <c:strRef>
              <c:f>'x-bar and R-charts'!$C$48</c:f>
              <c:strCache>
                <c:ptCount val="1"/>
                <c:pt idx="0">
                  <c:v>LCL</c:v>
                </c:pt>
              </c:strCache>
            </c:strRef>
          </c:tx>
          <c:spPr>
            <a:ln w="12700">
              <a:solidFill>
                <a:srgbClr val="000000"/>
              </a:solidFill>
              <a:prstDash val="solid"/>
            </a:ln>
          </c:spPr>
          <c:marker>
            <c:symbol val="none"/>
          </c:marker>
          <c:val>
            <c:numRef>
              <c:f>'x-bar and R-charts'!$C$49:$C$53</c:f>
              <c:numCache>
                <c:formatCode>General</c:formatCode>
                <c:ptCount val="5"/>
                <c:pt idx="0">
                  <c:v>0.168</c:v>
                </c:pt>
                <c:pt idx="1">
                  <c:v>0.168</c:v>
                </c:pt>
                <c:pt idx="2">
                  <c:v>0.168</c:v>
                </c:pt>
                <c:pt idx="3">
                  <c:v>0.168</c:v>
                </c:pt>
                <c:pt idx="4">
                  <c:v>0.168</c:v>
                </c:pt>
              </c:numCache>
            </c:numRef>
          </c:val>
          <c:smooth val="0"/>
        </c:ser>
        <c:ser>
          <c:idx val="2"/>
          <c:order val="2"/>
          <c:tx>
            <c:strRef>
              <c:f>'x-bar and R-charts'!$D$48</c:f>
              <c:strCache>
                <c:ptCount val="1"/>
                <c:pt idx="0">
                  <c:v>CL</c:v>
                </c:pt>
              </c:strCache>
            </c:strRef>
          </c:tx>
          <c:spPr>
            <a:ln w="12700">
              <a:solidFill>
                <a:srgbClr val="000000"/>
              </a:solidFill>
              <a:prstDash val="solid"/>
            </a:ln>
          </c:spPr>
          <c:marker>
            <c:symbol val="none"/>
          </c:marker>
          <c:val>
            <c:numRef>
              <c:f>'x-bar and R-charts'!$D$49:$D$53</c:f>
              <c:numCache>
                <c:formatCode>General</c:formatCode>
                <c:ptCount val="5"/>
                <c:pt idx="0">
                  <c:v>6.0</c:v>
                </c:pt>
                <c:pt idx="1">
                  <c:v>6.0</c:v>
                </c:pt>
                <c:pt idx="2">
                  <c:v>6.0</c:v>
                </c:pt>
                <c:pt idx="3">
                  <c:v>6.0</c:v>
                </c:pt>
                <c:pt idx="4">
                  <c:v>6.0</c:v>
                </c:pt>
              </c:numCache>
            </c:numRef>
          </c:val>
          <c:smooth val="0"/>
        </c:ser>
        <c:ser>
          <c:idx val="3"/>
          <c:order val="3"/>
          <c:tx>
            <c:strRef>
              <c:f>'x-bar and R-charts'!$E$48</c:f>
              <c:strCache>
                <c:ptCount val="1"/>
                <c:pt idx="0">
                  <c:v>UCL</c:v>
                </c:pt>
              </c:strCache>
            </c:strRef>
          </c:tx>
          <c:marker>
            <c:symbol val="none"/>
          </c:marker>
          <c:val>
            <c:numRef>
              <c:f>'x-bar and R-charts'!$E$49:$E$53</c:f>
              <c:numCache>
                <c:formatCode>General</c:formatCode>
                <c:ptCount val="5"/>
                <c:pt idx="0">
                  <c:v>11.832</c:v>
                </c:pt>
                <c:pt idx="1">
                  <c:v>11.832</c:v>
                </c:pt>
                <c:pt idx="2">
                  <c:v>11.832</c:v>
                </c:pt>
                <c:pt idx="3">
                  <c:v>11.832</c:v>
                </c:pt>
                <c:pt idx="4">
                  <c:v>11.832</c:v>
                </c:pt>
              </c:numCache>
            </c:numRef>
          </c:val>
          <c:smooth val="0"/>
        </c:ser>
        <c:dLbls>
          <c:showLegendKey val="0"/>
          <c:showVal val="0"/>
          <c:showCatName val="0"/>
          <c:showSerName val="0"/>
          <c:showPercent val="0"/>
          <c:showBubbleSize val="0"/>
        </c:dLbls>
        <c:marker val="1"/>
        <c:smooth val="0"/>
        <c:axId val="-2121468376"/>
        <c:axId val="-2121462840"/>
      </c:lineChart>
      <c:catAx>
        <c:axId val="-2121468376"/>
        <c:scaling>
          <c:orientation val="minMax"/>
        </c:scaling>
        <c:delete val="0"/>
        <c:axPos val="b"/>
        <c:title>
          <c:tx>
            <c:rich>
              <a:bodyPr/>
              <a:lstStyle/>
              <a:p>
                <a:pPr>
                  <a:defRPr/>
                </a:pPr>
                <a:r>
                  <a:rPr lang="en-US"/>
                  <a:t>Sample</a:t>
                </a:r>
              </a:p>
            </c:rich>
          </c:tx>
          <c:overlay val="0"/>
        </c:title>
        <c:majorTickMark val="out"/>
        <c:minorTickMark val="none"/>
        <c:tickLblPos val="nextTo"/>
        <c:crossAx val="-2121462840"/>
        <c:crosses val="autoZero"/>
        <c:auto val="1"/>
        <c:lblAlgn val="ctr"/>
        <c:lblOffset val="100"/>
        <c:noMultiLvlLbl val="0"/>
      </c:catAx>
      <c:valAx>
        <c:axId val="-2121462840"/>
        <c:scaling>
          <c:orientation val="minMax"/>
        </c:scaling>
        <c:delete val="0"/>
        <c:axPos val="l"/>
        <c:title>
          <c:tx>
            <c:rich>
              <a:bodyPr/>
              <a:lstStyle/>
              <a:p>
                <a:pPr>
                  <a:defRPr/>
                </a:pPr>
                <a:r>
                  <a:rPr lang="en-US"/>
                  <a:t>Mean</a:t>
                </a:r>
              </a:p>
            </c:rich>
          </c:tx>
          <c:overlay val="0"/>
        </c:title>
        <c:numFmt formatCode="General" sourceLinked="1"/>
        <c:majorTickMark val="out"/>
        <c:minorTickMark val="none"/>
        <c:tickLblPos val="nextTo"/>
        <c:crossAx val="-2121468376"/>
        <c:crosses val="autoZero"/>
        <c:crossBetween val="midCat"/>
      </c:valAx>
      <c:spPr>
        <a:gradFill flip="none" rotWithShape="1">
          <a:gsLst>
            <a:gs pos="0">
              <a:srgbClr val="9AB5E4"/>
            </a:gs>
            <a:gs pos="100000">
              <a:srgbClr val="FFFFFF"/>
            </a:gs>
          </a:gsLst>
          <a:lin ang="5400000" scaled="1"/>
          <a:tileRect/>
        </a:gradFill>
      </c:spPr>
    </c:plotArea>
    <c:legend>
      <c:legendPos val="r"/>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1.0" l="0.75" r="0.75" t="1.0"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0" u="none" strike="noStrike" baseline="0">
                <a:latin typeface="Calibri"/>
                <a:ea typeface="Calibri"/>
                <a:cs typeface="Calibri"/>
              </a:defRPr>
            </a:pPr>
            <a:r>
              <a:rPr lang="en-US"/>
              <a:t>c-chart</a:t>
            </a:r>
          </a:p>
        </c:rich>
      </c:tx>
      <c:overlay val="0"/>
      <c:spPr>
        <a:effectLst/>
      </c:spPr>
    </c:title>
    <c:autoTitleDeleted val="0"/>
    <c:plotArea>
      <c:layout/>
      <c:lineChart>
        <c:grouping val="standard"/>
        <c:varyColors val="0"/>
        <c:ser>
          <c:idx val="0"/>
          <c:order val="0"/>
          <c:tx>
            <c:strRef>
              <c:f>'c-chart'!$B$23</c:f>
              <c:strCache>
                <c:ptCount val="1"/>
              </c:strCache>
            </c:strRef>
          </c:tx>
          <c:spPr>
            <a:ln w="25400">
              <a:noFill/>
            </a:ln>
          </c:spPr>
          <c:val>
            <c:numRef>
              <c:f>'c-chart'!$B$24:$B$32</c:f>
              <c:numCache>
                <c:formatCode>General</c:formatCode>
                <c:ptCount val="9"/>
                <c:pt idx="0">
                  <c:v>3.0</c:v>
                </c:pt>
                <c:pt idx="1">
                  <c:v>0.0</c:v>
                </c:pt>
                <c:pt idx="2">
                  <c:v>8.0</c:v>
                </c:pt>
                <c:pt idx="3">
                  <c:v>9.0</c:v>
                </c:pt>
                <c:pt idx="4">
                  <c:v>6.0</c:v>
                </c:pt>
                <c:pt idx="5">
                  <c:v>7.0</c:v>
                </c:pt>
                <c:pt idx="6">
                  <c:v>4.0</c:v>
                </c:pt>
                <c:pt idx="7">
                  <c:v>9.0</c:v>
                </c:pt>
                <c:pt idx="8">
                  <c:v>8.0</c:v>
                </c:pt>
              </c:numCache>
            </c:numRef>
          </c:val>
          <c:smooth val="0"/>
        </c:ser>
        <c:ser>
          <c:idx val="1"/>
          <c:order val="1"/>
          <c:tx>
            <c:strRef>
              <c:f>'c-chart'!$C$23</c:f>
              <c:strCache>
                <c:ptCount val="1"/>
              </c:strCache>
            </c:strRef>
          </c:tx>
          <c:spPr>
            <a:ln w="12700">
              <a:solidFill>
                <a:srgbClr val="000000"/>
              </a:solidFill>
              <a:prstDash val="solid"/>
            </a:ln>
          </c:spPr>
          <c:marker>
            <c:symbol val="none"/>
          </c:marker>
          <c:val>
            <c:numRef>
              <c:f>'c-chart'!$C$24:$C$32</c:f>
              <c:numCache>
                <c:formatCode>General</c:formatCode>
                <c:ptCount val="9"/>
                <c:pt idx="0">
                  <c:v>0.0</c:v>
                </c:pt>
                <c:pt idx="1">
                  <c:v>0.0</c:v>
                </c:pt>
                <c:pt idx="2">
                  <c:v>0.0</c:v>
                </c:pt>
                <c:pt idx="3">
                  <c:v>0.0</c:v>
                </c:pt>
                <c:pt idx="4">
                  <c:v>0.0</c:v>
                </c:pt>
                <c:pt idx="5">
                  <c:v>0.0</c:v>
                </c:pt>
                <c:pt idx="6">
                  <c:v>0.0</c:v>
                </c:pt>
                <c:pt idx="7">
                  <c:v>0.0</c:v>
                </c:pt>
                <c:pt idx="8">
                  <c:v>0.0</c:v>
                </c:pt>
              </c:numCache>
            </c:numRef>
          </c:val>
          <c:smooth val="0"/>
        </c:ser>
        <c:ser>
          <c:idx val="2"/>
          <c:order val="2"/>
          <c:tx>
            <c:strRef>
              <c:f>'c-chart'!$D$23</c:f>
              <c:strCache>
                <c:ptCount val="1"/>
              </c:strCache>
            </c:strRef>
          </c:tx>
          <c:spPr>
            <a:ln w="12700">
              <a:solidFill>
                <a:srgbClr val="000000"/>
              </a:solidFill>
              <a:prstDash val="solid"/>
            </a:ln>
          </c:spPr>
          <c:marker>
            <c:symbol val="none"/>
          </c:marker>
          <c:val>
            <c:numRef>
              <c:f>'c-chart'!$D$24:$D$32</c:f>
              <c:numCache>
                <c:formatCode>General</c:formatCode>
                <c:ptCount val="9"/>
                <c:pt idx="0">
                  <c:v>6.0</c:v>
                </c:pt>
                <c:pt idx="1">
                  <c:v>6.0</c:v>
                </c:pt>
                <c:pt idx="2">
                  <c:v>6.0</c:v>
                </c:pt>
                <c:pt idx="3">
                  <c:v>6.0</c:v>
                </c:pt>
                <c:pt idx="4">
                  <c:v>6.0</c:v>
                </c:pt>
                <c:pt idx="5">
                  <c:v>6.0</c:v>
                </c:pt>
                <c:pt idx="6">
                  <c:v>6.0</c:v>
                </c:pt>
                <c:pt idx="7">
                  <c:v>6.0</c:v>
                </c:pt>
                <c:pt idx="8">
                  <c:v>6.0</c:v>
                </c:pt>
              </c:numCache>
            </c:numRef>
          </c:val>
          <c:smooth val="0"/>
        </c:ser>
        <c:ser>
          <c:idx val="3"/>
          <c:order val="3"/>
          <c:tx>
            <c:strRef>
              <c:f>'c-chart'!$E$23</c:f>
              <c:strCache>
                <c:ptCount val="1"/>
              </c:strCache>
            </c:strRef>
          </c:tx>
          <c:marker>
            <c:symbol val="none"/>
          </c:marker>
          <c:val>
            <c:numRef>
              <c:f>'c-chart'!$E$24:$E$32</c:f>
              <c:numCache>
                <c:formatCode>General</c:formatCode>
                <c:ptCount val="9"/>
                <c:pt idx="0">
                  <c:v>13.34846922834953</c:v>
                </c:pt>
                <c:pt idx="1">
                  <c:v>13.34846922834953</c:v>
                </c:pt>
                <c:pt idx="2">
                  <c:v>13.34846922834953</c:v>
                </c:pt>
                <c:pt idx="3">
                  <c:v>13.34846922834953</c:v>
                </c:pt>
                <c:pt idx="4">
                  <c:v>13.34846922834953</c:v>
                </c:pt>
                <c:pt idx="5">
                  <c:v>13.34846922834953</c:v>
                </c:pt>
                <c:pt idx="6">
                  <c:v>13.34846922834953</c:v>
                </c:pt>
                <c:pt idx="7">
                  <c:v>13.34846922834953</c:v>
                </c:pt>
                <c:pt idx="8">
                  <c:v>13.34846922834953</c:v>
                </c:pt>
              </c:numCache>
            </c:numRef>
          </c:val>
          <c:smooth val="0"/>
        </c:ser>
        <c:dLbls>
          <c:showLegendKey val="0"/>
          <c:showVal val="0"/>
          <c:showCatName val="0"/>
          <c:showSerName val="0"/>
          <c:showPercent val="0"/>
          <c:showBubbleSize val="0"/>
        </c:dLbls>
        <c:marker val="1"/>
        <c:smooth val="0"/>
        <c:axId val="2121883896"/>
        <c:axId val="2121950648"/>
      </c:lineChart>
      <c:catAx>
        <c:axId val="2121883896"/>
        <c:scaling>
          <c:orientation val="minMax"/>
        </c:scaling>
        <c:delete val="0"/>
        <c:axPos val="b"/>
        <c:title>
          <c:tx>
            <c:rich>
              <a:bodyPr/>
              <a:lstStyle/>
              <a:p>
                <a:pPr>
                  <a:defRPr/>
                </a:pPr>
                <a:r>
                  <a:rPr lang="en-US"/>
                  <a:t>Sample</a:t>
                </a:r>
              </a:p>
            </c:rich>
          </c:tx>
          <c:overlay val="0"/>
        </c:title>
        <c:majorTickMark val="out"/>
        <c:minorTickMark val="none"/>
        <c:tickLblPos val="nextTo"/>
        <c:crossAx val="2121950648"/>
        <c:crosses val="autoZero"/>
        <c:auto val="1"/>
        <c:lblAlgn val="ctr"/>
        <c:lblOffset val="100"/>
        <c:noMultiLvlLbl val="0"/>
      </c:catAx>
      <c:valAx>
        <c:axId val="2121950648"/>
        <c:scaling>
          <c:orientation val="minMax"/>
        </c:scaling>
        <c:delete val="0"/>
        <c:axPos val="l"/>
        <c:title>
          <c:tx>
            <c:rich>
              <a:bodyPr/>
              <a:lstStyle/>
              <a:p>
                <a:pPr>
                  <a:defRPr/>
                </a:pPr>
                <a:r>
                  <a:rPr lang="en-US"/>
                  <a:t>Mean</a:t>
                </a:r>
              </a:p>
            </c:rich>
          </c:tx>
          <c:overlay val="0"/>
        </c:title>
        <c:numFmt formatCode="General" sourceLinked="1"/>
        <c:majorTickMark val="out"/>
        <c:minorTickMark val="none"/>
        <c:tickLblPos val="nextTo"/>
        <c:crossAx val="2121883896"/>
        <c:crosses val="autoZero"/>
        <c:crossBetween val="midCat"/>
      </c:valAx>
      <c:spPr>
        <a:gradFill flip="none" rotWithShape="1">
          <a:gsLst>
            <a:gs pos="0">
              <a:srgbClr val="9AB5E4"/>
            </a:gs>
            <a:gs pos="100000">
              <a:srgbClr val="FFFFFF"/>
            </a:gs>
          </a:gsLst>
          <a:lin ang="5400000" scaled="1"/>
          <a:tileRect/>
        </a:gradFill>
      </c:spPr>
    </c:plotArea>
    <c:legend>
      <c:legendPos val="r"/>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1.0" l="0.75" r="0.75" t="1.0"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0" u="none" strike="noStrike" baseline="0">
                <a:latin typeface="Calibri"/>
                <a:ea typeface="Calibri"/>
                <a:cs typeface="Calibri"/>
              </a:defRPr>
            </a:pPr>
            <a:r>
              <a:rPr lang="en-US"/>
              <a:t>Cost-volume analysis</a:t>
            </a:r>
          </a:p>
        </c:rich>
      </c:tx>
      <c:overlay val="0"/>
      <c:spPr>
        <a:effectLst/>
      </c:spPr>
    </c:title>
    <c:autoTitleDeleted val="0"/>
    <c:plotArea>
      <c:layout/>
      <c:scatterChart>
        <c:scatterStyle val="lineMarker"/>
        <c:varyColors val="0"/>
        <c:ser>
          <c:idx val="0"/>
          <c:order val="0"/>
          <c:tx>
            <c:strRef>
              <c:f>'Crossover Volume '!$B$25</c:f>
              <c:strCache>
                <c:ptCount val="1"/>
                <c:pt idx="0">
                  <c:v>Option 1</c:v>
                </c:pt>
              </c:strCache>
            </c:strRef>
          </c:tx>
          <c:marker>
            <c:symbol val="none"/>
          </c:marker>
          <c:xVal>
            <c:numRef>
              <c:f>'Crossover Volume '!$A$26:$A$27</c:f>
              <c:numCache>
                <c:formatCode>General</c:formatCode>
                <c:ptCount val="2"/>
                <c:pt idx="0">
                  <c:v>0.0</c:v>
                </c:pt>
                <c:pt idx="1">
                  <c:v>13333.33333333333</c:v>
                </c:pt>
              </c:numCache>
            </c:numRef>
          </c:xVal>
          <c:yVal>
            <c:numRef>
              <c:f>'Crossover Volume '!$B$26:$B$27</c:f>
              <c:numCache>
                <c:formatCode>General</c:formatCode>
                <c:ptCount val="2"/>
                <c:pt idx="0">
                  <c:v>200000.0</c:v>
                </c:pt>
                <c:pt idx="1">
                  <c:v>1.0E6</c:v>
                </c:pt>
              </c:numCache>
            </c:numRef>
          </c:yVal>
          <c:smooth val="0"/>
        </c:ser>
        <c:ser>
          <c:idx val="1"/>
          <c:order val="1"/>
          <c:tx>
            <c:strRef>
              <c:f>'Crossover Volume '!$C$25</c:f>
              <c:strCache>
                <c:ptCount val="1"/>
                <c:pt idx="0">
                  <c:v>Option 2</c:v>
                </c:pt>
              </c:strCache>
            </c:strRef>
          </c:tx>
          <c:marker>
            <c:symbol val="none"/>
          </c:marker>
          <c:xVal>
            <c:numRef>
              <c:f>'Crossover Volume '!$A$26:$A$27</c:f>
              <c:numCache>
                <c:formatCode>General</c:formatCode>
                <c:ptCount val="2"/>
                <c:pt idx="0">
                  <c:v>0.0</c:v>
                </c:pt>
                <c:pt idx="1">
                  <c:v>13333.33333333333</c:v>
                </c:pt>
              </c:numCache>
            </c:numRef>
          </c:xVal>
          <c:yVal>
            <c:numRef>
              <c:f>'Crossover Volume '!$C$26:$C$27</c:f>
              <c:numCache>
                <c:formatCode>General</c:formatCode>
                <c:ptCount val="2"/>
                <c:pt idx="0">
                  <c:v>300000.0</c:v>
                </c:pt>
                <c:pt idx="1">
                  <c:v>633333.3333333333</c:v>
                </c:pt>
              </c:numCache>
            </c:numRef>
          </c:yVal>
          <c:smooth val="0"/>
        </c:ser>
        <c:ser>
          <c:idx val="2"/>
          <c:order val="2"/>
          <c:tx>
            <c:strRef>
              <c:f>'Crossover Volume '!$D$25</c:f>
              <c:strCache>
                <c:ptCount val="1"/>
                <c:pt idx="0">
                  <c:v>Option 3</c:v>
                </c:pt>
              </c:strCache>
            </c:strRef>
          </c:tx>
          <c:marker>
            <c:symbol val="none"/>
          </c:marker>
          <c:xVal>
            <c:numRef>
              <c:f>'Crossover Volume '!$A$26:$A$27</c:f>
              <c:numCache>
                <c:formatCode>General</c:formatCode>
                <c:ptCount val="2"/>
                <c:pt idx="0">
                  <c:v>0.0</c:v>
                </c:pt>
                <c:pt idx="1">
                  <c:v>13333.33333333333</c:v>
                </c:pt>
              </c:numCache>
            </c:numRef>
          </c:xVal>
          <c:yVal>
            <c:numRef>
              <c:f>'Crossover Volume '!$D$26:$D$27</c:f>
              <c:numCache>
                <c:formatCode>General</c:formatCode>
                <c:ptCount val="2"/>
                <c:pt idx="0">
                  <c:v>400000.0</c:v>
                </c:pt>
                <c:pt idx="1">
                  <c:v>533333.3333333333</c:v>
                </c:pt>
              </c:numCache>
            </c:numRef>
          </c:yVal>
          <c:smooth val="0"/>
        </c:ser>
        <c:dLbls>
          <c:showLegendKey val="0"/>
          <c:showVal val="0"/>
          <c:showCatName val="0"/>
          <c:showSerName val="0"/>
          <c:showPercent val="0"/>
          <c:showBubbleSize val="0"/>
        </c:dLbls>
        <c:axId val="2122289128"/>
        <c:axId val="2122212312"/>
      </c:scatterChart>
      <c:valAx>
        <c:axId val="2122289128"/>
        <c:scaling>
          <c:orientation val="minMax"/>
        </c:scaling>
        <c:delete val="0"/>
        <c:axPos val="b"/>
        <c:majorGridlines/>
        <c:title>
          <c:tx>
            <c:rich>
              <a:bodyPr/>
              <a:lstStyle/>
              <a:p>
                <a:pPr>
                  <a:defRPr/>
                </a:pPr>
                <a:r>
                  <a:rPr lang="en-US"/>
                  <a:t>Units</a:t>
                </a:r>
              </a:p>
            </c:rich>
          </c:tx>
          <c:overlay val="0"/>
        </c:title>
        <c:numFmt formatCode="General" sourceLinked="1"/>
        <c:majorTickMark val="out"/>
        <c:minorTickMark val="none"/>
        <c:tickLblPos val="nextTo"/>
        <c:crossAx val="2122212312"/>
        <c:crosses val="autoZero"/>
        <c:crossBetween val="midCat"/>
      </c:valAx>
      <c:valAx>
        <c:axId val="2122212312"/>
        <c:scaling>
          <c:orientation val="minMax"/>
        </c:scaling>
        <c:delete val="0"/>
        <c:axPos val="l"/>
        <c:title>
          <c:tx>
            <c:rich>
              <a:bodyPr/>
              <a:lstStyle/>
              <a:p>
                <a:pPr>
                  <a:defRPr/>
                </a:pPr>
                <a:r>
                  <a:rPr lang="en-US"/>
                  <a:t>$</a:t>
                </a:r>
              </a:p>
            </c:rich>
          </c:tx>
          <c:overlay val="0"/>
        </c:title>
        <c:numFmt formatCode="General" sourceLinked="1"/>
        <c:majorTickMark val="out"/>
        <c:minorTickMark val="none"/>
        <c:tickLblPos val="nextTo"/>
        <c:crossAx val="2122289128"/>
        <c:crosses val="autoZero"/>
        <c:crossBetween val="midCat"/>
      </c:valAx>
      <c:spPr>
        <a:gradFill flip="none" rotWithShape="1">
          <a:gsLst>
            <a:gs pos="0">
              <a:srgbClr val="9AB5E4"/>
            </a:gs>
            <a:gs pos="100000">
              <a:srgbClr val="FFFFFF"/>
            </a:gs>
          </a:gsLst>
          <a:lin ang="5400000" scaled="1"/>
          <a:tileRect/>
        </a:gradFill>
      </c:spPr>
    </c:plotArea>
    <c:legend>
      <c:legendPos val="b"/>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1.0" l="0.75" r="0.75" t="1.0"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0" u="none" strike="noStrike" baseline="0">
                <a:latin typeface="Calibri"/>
                <a:ea typeface="Calibri"/>
                <a:cs typeface="Calibri"/>
              </a:defRPr>
            </a:pPr>
            <a:r>
              <a:rPr lang="en-US"/>
              <a:t>Cost-volume analysis</a:t>
            </a:r>
          </a:p>
        </c:rich>
      </c:tx>
      <c:overlay val="0"/>
      <c:spPr>
        <a:effectLst/>
      </c:spPr>
    </c:title>
    <c:autoTitleDeleted val="0"/>
    <c:plotArea>
      <c:layout/>
      <c:scatterChart>
        <c:scatterStyle val="lineMarker"/>
        <c:varyColors val="0"/>
        <c:ser>
          <c:idx val="0"/>
          <c:order val="0"/>
          <c:tx>
            <c:strRef>
              <c:f>'Cost vs. Revenue'!$B$26</c:f>
              <c:strCache>
                <c:ptCount val="1"/>
                <c:pt idx="0">
                  <c:v>Costs</c:v>
                </c:pt>
              </c:strCache>
            </c:strRef>
          </c:tx>
          <c:marker>
            <c:symbol val="none"/>
          </c:marker>
          <c:xVal>
            <c:numRef>
              <c:f>'Cost vs. Revenue'!$A$27:$A$28</c:f>
              <c:numCache>
                <c:formatCode>General</c:formatCode>
                <c:ptCount val="2"/>
                <c:pt idx="0">
                  <c:v>0.0</c:v>
                </c:pt>
                <c:pt idx="1">
                  <c:v>11428.57142857143</c:v>
                </c:pt>
              </c:numCache>
            </c:numRef>
          </c:xVal>
          <c:yVal>
            <c:numRef>
              <c:f>'Cost vs. Revenue'!$B$27:$B$28</c:f>
              <c:numCache>
                <c:formatCode>General</c:formatCode>
                <c:ptCount val="2"/>
                <c:pt idx="0">
                  <c:v>10000.0</c:v>
                </c:pt>
                <c:pt idx="1">
                  <c:v>35714.28571428572</c:v>
                </c:pt>
              </c:numCache>
            </c:numRef>
          </c:yVal>
          <c:smooth val="0"/>
        </c:ser>
        <c:ser>
          <c:idx val="1"/>
          <c:order val="1"/>
          <c:tx>
            <c:strRef>
              <c:f>'Cost vs. Revenue'!$C$26</c:f>
              <c:strCache>
                <c:ptCount val="1"/>
                <c:pt idx="0">
                  <c:v>Revenue</c:v>
                </c:pt>
              </c:strCache>
            </c:strRef>
          </c:tx>
          <c:marker>
            <c:symbol val="none"/>
          </c:marker>
          <c:xVal>
            <c:numRef>
              <c:f>'Cost vs. Revenue'!$A$27:$A$28</c:f>
              <c:numCache>
                <c:formatCode>General</c:formatCode>
                <c:ptCount val="2"/>
                <c:pt idx="0">
                  <c:v>0.0</c:v>
                </c:pt>
                <c:pt idx="1">
                  <c:v>11428.57142857143</c:v>
                </c:pt>
              </c:numCache>
            </c:numRef>
          </c:xVal>
          <c:yVal>
            <c:numRef>
              <c:f>'Cost vs. Revenue'!$C$27:$C$28</c:f>
              <c:numCache>
                <c:formatCode>General</c:formatCode>
                <c:ptCount val="2"/>
                <c:pt idx="0">
                  <c:v>0.0</c:v>
                </c:pt>
                <c:pt idx="1">
                  <c:v>45714.28571428572</c:v>
                </c:pt>
              </c:numCache>
            </c:numRef>
          </c:yVal>
          <c:smooth val="0"/>
        </c:ser>
        <c:dLbls>
          <c:showLegendKey val="0"/>
          <c:showVal val="0"/>
          <c:showCatName val="0"/>
          <c:showSerName val="0"/>
          <c:showPercent val="0"/>
          <c:showBubbleSize val="0"/>
        </c:dLbls>
        <c:axId val="2122291784"/>
        <c:axId val="-2122317752"/>
      </c:scatterChart>
      <c:valAx>
        <c:axId val="2122291784"/>
        <c:scaling>
          <c:orientation val="minMax"/>
        </c:scaling>
        <c:delete val="0"/>
        <c:axPos val="b"/>
        <c:majorGridlines/>
        <c:title>
          <c:tx>
            <c:rich>
              <a:bodyPr/>
              <a:lstStyle/>
              <a:p>
                <a:pPr>
                  <a:defRPr/>
                </a:pPr>
                <a:r>
                  <a:rPr lang="en-US"/>
                  <a:t>Units</a:t>
                </a:r>
              </a:p>
            </c:rich>
          </c:tx>
          <c:overlay val="0"/>
        </c:title>
        <c:numFmt formatCode="General" sourceLinked="1"/>
        <c:majorTickMark val="out"/>
        <c:minorTickMark val="none"/>
        <c:tickLblPos val="nextTo"/>
        <c:crossAx val="-2122317752"/>
        <c:crosses val="autoZero"/>
        <c:crossBetween val="midCat"/>
      </c:valAx>
      <c:valAx>
        <c:axId val="-2122317752"/>
        <c:scaling>
          <c:orientation val="minMax"/>
        </c:scaling>
        <c:delete val="0"/>
        <c:axPos val="l"/>
        <c:title>
          <c:tx>
            <c:rich>
              <a:bodyPr/>
              <a:lstStyle/>
              <a:p>
                <a:pPr>
                  <a:defRPr/>
                </a:pPr>
                <a:r>
                  <a:rPr lang="en-US"/>
                  <a:t>$</a:t>
                </a:r>
              </a:p>
            </c:rich>
          </c:tx>
          <c:overlay val="0"/>
        </c:title>
        <c:numFmt formatCode="General" sourceLinked="1"/>
        <c:majorTickMark val="out"/>
        <c:minorTickMark val="none"/>
        <c:tickLblPos val="nextTo"/>
        <c:crossAx val="2122291784"/>
        <c:crosses val="autoZero"/>
        <c:crossBetween val="midCat"/>
      </c:valAx>
      <c:spPr>
        <a:gradFill flip="none" rotWithShape="1">
          <a:gsLst>
            <a:gs pos="0">
              <a:srgbClr val="9AB5E4"/>
            </a:gs>
            <a:gs pos="100000">
              <a:srgbClr val="FFFFFF"/>
            </a:gs>
          </a:gsLst>
          <a:lin ang="5400000" scaled="1"/>
          <a:tileRect/>
        </a:gradFill>
      </c:spPr>
    </c:plotArea>
    <c:legend>
      <c:legendPos val="b"/>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1.0" l="0.75" r="0.75" t="1.0"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0" u="none" strike="noStrike" baseline="0">
                <a:latin typeface="Calibri"/>
                <a:ea typeface="Calibri"/>
                <a:cs typeface="Calibri"/>
              </a:defRPr>
            </a:pPr>
            <a:r>
              <a:rPr lang="en-US"/>
              <a:t>Location</a:t>
            </a:r>
          </a:p>
        </c:rich>
      </c:tx>
      <c:overlay val="0"/>
      <c:spPr>
        <a:effectLst/>
      </c:spPr>
    </c:title>
    <c:autoTitleDeleted val="0"/>
    <c:plotArea>
      <c:layout/>
      <c:bubbleChart>
        <c:varyColors val="0"/>
        <c:ser>
          <c:idx val="0"/>
          <c:order val="0"/>
          <c:tx>
            <c:v>Sites</c:v>
          </c:tx>
          <c:invertIfNegative val="0"/>
          <c:xVal>
            <c:numRef>
              <c:f>'Center of Gravity'!$C$8:$C$11</c:f>
              <c:numCache>
                <c:formatCode>General</c:formatCode>
                <c:ptCount val="4"/>
                <c:pt idx="0">
                  <c:v>30.0</c:v>
                </c:pt>
                <c:pt idx="1">
                  <c:v>90.0</c:v>
                </c:pt>
                <c:pt idx="2">
                  <c:v>130.0</c:v>
                </c:pt>
                <c:pt idx="3">
                  <c:v>60.0</c:v>
                </c:pt>
              </c:numCache>
            </c:numRef>
          </c:xVal>
          <c:yVal>
            <c:numRef>
              <c:f>'Center of Gravity'!$D$8:$D$11</c:f>
              <c:numCache>
                <c:formatCode>General</c:formatCode>
                <c:ptCount val="4"/>
                <c:pt idx="0">
                  <c:v>120.0</c:v>
                </c:pt>
                <c:pt idx="1">
                  <c:v>110.0</c:v>
                </c:pt>
                <c:pt idx="2">
                  <c:v>130.0</c:v>
                </c:pt>
                <c:pt idx="3">
                  <c:v>40.0</c:v>
                </c:pt>
              </c:numCache>
            </c:numRef>
          </c:yVal>
          <c:bubbleSize>
            <c:numRef>
              <c:f>'Center of Gravity'!$B$8:$B$11</c:f>
              <c:numCache>
                <c:formatCode>General</c:formatCode>
                <c:ptCount val="4"/>
                <c:pt idx="0">
                  <c:v>2000.0</c:v>
                </c:pt>
                <c:pt idx="1">
                  <c:v>1000.0</c:v>
                </c:pt>
                <c:pt idx="2">
                  <c:v>1000.0</c:v>
                </c:pt>
                <c:pt idx="3">
                  <c:v>2000.0</c:v>
                </c:pt>
              </c:numCache>
            </c:numRef>
          </c:bubbleSize>
          <c:bubble3D val="0"/>
        </c:ser>
        <c:ser>
          <c:idx val="1"/>
          <c:order val="1"/>
          <c:tx>
            <c:v>Average</c:v>
          </c:tx>
          <c:invertIfNegative val="0"/>
          <c:xVal>
            <c:numRef>
              <c:f>'Center of Gravity'!$C$15</c:f>
              <c:numCache>
                <c:formatCode>General</c:formatCode>
                <c:ptCount val="1"/>
                <c:pt idx="0">
                  <c:v>77.5</c:v>
                </c:pt>
              </c:numCache>
            </c:numRef>
          </c:xVal>
          <c:yVal>
            <c:numRef>
              <c:f>'Center of Gravity'!$D$15</c:f>
              <c:numCache>
                <c:formatCode>General</c:formatCode>
                <c:ptCount val="1"/>
                <c:pt idx="0">
                  <c:v>100.0</c:v>
                </c:pt>
              </c:numCache>
            </c:numRef>
          </c:yVal>
          <c:bubbleSize>
            <c:numRef>
              <c:f>'Center of Gravity'!$B$15</c:f>
              <c:numCache>
                <c:formatCode>General</c:formatCode>
                <c:ptCount val="1"/>
                <c:pt idx="0">
                  <c:v>1500.0</c:v>
                </c:pt>
              </c:numCache>
            </c:numRef>
          </c:bubbleSize>
          <c:bubble3D val="0"/>
        </c:ser>
        <c:ser>
          <c:idx val="2"/>
          <c:order val="2"/>
          <c:tx>
            <c:v>COG (weighted Average)</c:v>
          </c:tx>
          <c:spPr>
            <a:ln w="25400">
              <a:noFill/>
            </a:ln>
          </c:spPr>
          <c:invertIfNegative val="0"/>
          <c:xVal>
            <c:numRef>
              <c:f>'Center of Gravity'!$C$16</c:f>
              <c:numCache>
                <c:formatCode>General</c:formatCode>
                <c:ptCount val="1"/>
                <c:pt idx="0">
                  <c:v>66.66666666666667</c:v>
                </c:pt>
              </c:numCache>
            </c:numRef>
          </c:xVal>
          <c:yVal>
            <c:numRef>
              <c:f>'Center of Gravity'!$D$16</c:f>
              <c:numCache>
                <c:formatCode>General</c:formatCode>
                <c:ptCount val="1"/>
                <c:pt idx="0">
                  <c:v>93.33333333333333</c:v>
                </c:pt>
              </c:numCache>
            </c:numRef>
          </c:yVal>
          <c:bubbleSize>
            <c:numRef>
              <c:f>'Center of Gravity'!$B$15</c:f>
              <c:numCache>
                <c:formatCode>General</c:formatCode>
                <c:ptCount val="1"/>
                <c:pt idx="0">
                  <c:v>1500.0</c:v>
                </c:pt>
              </c:numCache>
            </c:numRef>
          </c:bubbleSize>
          <c:bubble3D val="0"/>
        </c:ser>
        <c:dLbls>
          <c:showLegendKey val="0"/>
          <c:showVal val="0"/>
          <c:showCatName val="0"/>
          <c:showSerName val="0"/>
          <c:showPercent val="0"/>
          <c:showBubbleSize val="0"/>
        </c:dLbls>
        <c:bubbleScale val="100"/>
        <c:showNegBubbles val="0"/>
        <c:axId val="-2122292824"/>
        <c:axId val="-2122289832"/>
      </c:bubbleChart>
      <c:valAx>
        <c:axId val="-2122292824"/>
        <c:scaling>
          <c:orientation val="minMax"/>
        </c:scaling>
        <c:delete val="0"/>
        <c:axPos val="b"/>
        <c:numFmt formatCode="General" sourceLinked="1"/>
        <c:majorTickMark val="out"/>
        <c:minorTickMark val="none"/>
        <c:tickLblPos val="nextTo"/>
        <c:crossAx val="-2122289832"/>
        <c:crosses val="autoZero"/>
        <c:crossBetween val="midCat"/>
      </c:valAx>
      <c:valAx>
        <c:axId val="-2122289832"/>
        <c:scaling>
          <c:orientation val="minMax"/>
        </c:scaling>
        <c:delete val="0"/>
        <c:axPos val="l"/>
        <c:numFmt formatCode="General" sourceLinked="1"/>
        <c:majorTickMark val="out"/>
        <c:minorTickMark val="none"/>
        <c:tickLblPos val="nextTo"/>
        <c:crossAx val="-2122292824"/>
        <c:crosses val="autoZero"/>
        <c:crossBetween val="midCat"/>
      </c:valAx>
      <c:spPr>
        <a:gradFill flip="none" rotWithShape="1">
          <a:gsLst>
            <a:gs pos="0">
              <a:srgbClr val="9AB5E4"/>
            </a:gs>
            <a:gs pos="100000">
              <a:srgbClr val="FFFFFF"/>
            </a:gs>
          </a:gsLst>
          <a:lin ang="5400000" scaled="1"/>
          <a:tileRect/>
        </a:gradFill>
      </c:spPr>
    </c:plotArea>
    <c:legend>
      <c:legendPos val="b"/>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1.0" l="0.75" r="0.75" t="1.0"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0" u="none" strike="noStrike" baseline="0">
                <a:latin typeface="Calibri"/>
                <a:ea typeface="Calibri"/>
                <a:cs typeface="Calibri"/>
              </a:defRPr>
            </a:pPr>
            <a:r>
              <a:rPr lang="en-US"/>
              <a:t>Cost-volume analysis</a:t>
            </a:r>
          </a:p>
        </c:rich>
      </c:tx>
      <c:overlay val="0"/>
      <c:spPr>
        <a:effectLst/>
      </c:spPr>
    </c:title>
    <c:autoTitleDeleted val="0"/>
    <c:plotArea>
      <c:layout/>
      <c:scatterChart>
        <c:scatterStyle val="lineMarker"/>
        <c:varyColors val="0"/>
        <c:ser>
          <c:idx val="0"/>
          <c:order val="0"/>
          <c:tx>
            <c:strRef>
              <c:f>'Locational Analysis'!$B$25</c:f>
              <c:strCache>
                <c:ptCount val="1"/>
                <c:pt idx="0">
                  <c:v>Lisbon</c:v>
                </c:pt>
              </c:strCache>
            </c:strRef>
          </c:tx>
          <c:marker>
            <c:symbol val="none"/>
          </c:marker>
          <c:xVal>
            <c:numRef>
              <c:f>'Locational Analysis'!$A$26:$A$27</c:f>
              <c:numCache>
                <c:formatCode>General</c:formatCode>
                <c:ptCount val="2"/>
                <c:pt idx="0">
                  <c:v>0.0</c:v>
                </c:pt>
                <c:pt idx="1">
                  <c:v>5000.0</c:v>
                </c:pt>
              </c:numCache>
            </c:numRef>
          </c:xVal>
          <c:yVal>
            <c:numRef>
              <c:f>'Locational Analysis'!$B$26:$B$27</c:f>
              <c:numCache>
                <c:formatCode>General</c:formatCode>
                <c:ptCount val="2"/>
                <c:pt idx="0">
                  <c:v>30000.0</c:v>
                </c:pt>
                <c:pt idx="1">
                  <c:v>405000.0</c:v>
                </c:pt>
              </c:numCache>
            </c:numRef>
          </c:yVal>
          <c:smooth val="0"/>
        </c:ser>
        <c:ser>
          <c:idx val="1"/>
          <c:order val="1"/>
          <c:tx>
            <c:strRef>
              <c:f>'Locational Analysis'!$C$25</c:f>
              <c:strCache>
                <c:ptCount val="1"/>
                <c:pt idx="0">
                  <c:v>Brussel</c:v>
                </c:pt>
              </c:strCache>
            </c:strRef>
          </c:tx>
          <c:marker>
            <c:symbol val="none"/>
          </c:marker>
          <c:xVal>
            <c:numRef>
              <c:f>'Locational Analysis'!$A$26:$A$27</c:f>
              <c:numCache>
                <c:formatCode>General</c:formatCode>
                <c:ptCount val="2"/>
                <c:pt idx="0">
                  <c:v>0.0</c:v>
                </c:pt>
                <c:pt idx="1">
                  <c:v>5000.0</c:v>
                </c:pt>
              </c:numCache>
            </c:numRef>
          </c:xVal>
          <c:yVal>
            <c:numRef>
              <c:f>'Locational Analysis'!$C$26:$C$27</c:f>
              <c:numCache>
                <c:formatCode>General</c:formatCode>
                <c:ptCount val="2"/>
                <c:pt idx="0">
                  <c:v>60000.0</c:v>
                </c:pt>
                <c:pt idx="1">
                  <c:v>285000.0</c:v>
                </c:pt>
              </c:numCache>
            </c:numRef>
          </c:yVal>
          <c:smooth val="0"/>
        </c:ser>
        <c:ser>
          <c:idx val="2"/>
          <c:order val="2"/>
          <c:tx>
            <c:strRef>
              <c:f>'Locational Analysis'!$D$25</c:f>
              <c:strCache>
                <c:ptCount val="1"/>
                <c:pt idx="0">
                  <c:v>Athens</c:v>
                </c:pt>
              </c:strCache>
            </c:strRef>
          </c:tx>
          <c:marker>
            <c:symbol val="none"/>
          </c:marker>
          <c:xVal>
            <c:numRef>
              <c:f>'Locational Analysis'!$A$26:$A$27</c:f>
              <c:numCache>
                <c:formatCode>General</c:formatCode>
                <c:ptCount val="2"/>
                <c:pt idx="0">
                  <c:v>0.0</c:v>
                </c:pt>
                <c:pt idx="1">
                  <c:v>5000.0</c:v>
                </c:pt>
              </c:numCache>
            </c:numRef>
          </c:xVal>
          <c:yVal>
            <c:numRef>
              <c:f>'Locational Analysis'!$D$26:$D$27</c:f>
              <c:numCache>
                <c:formatCode>General</c:formatCode>
                <c:ptCount val="2"/>
                <c:pt idx="0">
                  <c:v>110000.0</c:v>
                </c:pt>
                <c:pt idx="1">
                  <c:v>235000.0</c:v>
                </c:pt>
              </c:numCache>
            </c:numRef>
          </c:yVal>
          <c:smooth val="0"/>
        </c:ser>
        <c:dLbls>
          <c:showLegendKey val="0"/>
          <c:showVal val="0"/>
          <c:showCatName val="0"/>
          <c:showSerName val="0"/>
          <c:showPercent val="0"/>
          <c:showBubbleSize val="0"/>
        </c:dLbls>
        <c:axId val="-2122161384"/>
        <c:axId val="-2122155896"/>
      </c:scatterChart>
      <c:valAx>
        <c:axId val="-2122161384"/>
        <c:scaling>
          <c:orientation val="minMax"/>
        </c:scaling>
        <c:delete val="0"/>
        <c:axPos val="b"/>
        <c:majorGridlines/>
        <c:title>
          <c:tx>
            <c:rich>
              <a:bodyPr/>
              <a:lstStyle/>
              <a:p>
                <a:pPr>
                  <a:defRPr/>
                </a:pPr>
                <a:r>
                  <a:rPr lang="en-US"/>
                  <a:t>Units</a:t>
                </a:r>
              </a:p>
            </c:rich>
          </c:tx>
          <c:overlay val="0"/>
        </c:title>
        <c:numFmt formatCode="General" sourceLinked="1"/>
        <c:majorTickMark val="out"/>
        <c:minorTickMark val="none"/>
        <c:tickLblPos val="nextTo"/>
        <c:crossAx val="-2122155896"/>
        <c:crosses val="autoZero"/>
        <c:crossBetween val="midCat"/>
      </c:valAx>
      <c:valAx>
        <c:axId val="-2122155896"/>
        <c:scaling>
          <c:orientation val="minMax"/>
        </c:scaling>
        <c:delete val="0"/>
        <c:axPos val="l"/>
        <c:title>
          <c:tx>
            <c:rich>
              <a:bodyPr/>
              <a:lstStyle/>
              <a:p>
                <a:pPr>
                  <a:defRPr/>
                </a:pPr>
                <a:r>
                  <a:rPr lang="en-US"/>
                  <a:t>$</a:t>
                </a:r>
              </a:p>
            </c:rich>
          </c:tx>
          <c:overlay val="0"/>
        </c:title>
        <c:numFmt formatCode="General" sourceLinked="1"/>
        <c:majorTickMark val="out"/>
        <c:minorTickMark val="none"/>
        <c:tickLblPos val="nextTo"/>
        <c:crossAx val="-2122161384"/>
        <c:crosses val="autoZero"/>
        <c:crossBetween val="midCat"/>
      </c:valAx>
      <c:spPr>
        <a:gradFill flip="none" rotWithShape="1">
          <a:gsLst>
            <a:gs pos="0">
              <a:srgbClr val="9AB5E4"/>
            </a:gs>
            <a:gs pos="100000">
              <a:srgbClr val="FFFFFF"/>
            </a:gs>
          </a:gsLst>
          <a:lin ang="5400000" scaled="1"/>
          <a:tileRect/>
        </a:gradFill>
      </c:spPr>
    </c:plotArea>
    <c:legend>
      <c:legendPos val="b"/>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1.0" l="0.75" r="0.75" t="1.0"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Economic Order Quantity Costs</a:t>
            </a:r>
          </a:p>
        </c:rich>
      </c:tx>
      <c:overlay val="0"/>
    </c:title>
    <c:autoTitleDeleted val="0"/>
    <c:plotArea>
      <c:layout/>
      <c:scatterChart>
        <c:scatterStyle val="smoothMarker"/>
        <c:varyColors val="0"/>
        <c:ser>
          <c:idx val="0"/>
          <c:order val="0"/>
          <c:tx>
            <c:strRef>
              <c:f>'EOQ Model'!$C$36</c:f>
              <c:strCache>
                <c:ptCount val="1"/>
                <c:pt idx="0">
                  <c:v>Setup/Order cost</c:v>
                </c:pt>
              </c:strCache>
            </c:strRef>
          </c:tx>
          <c:marker>
            <c:symbol val="none"/>
          </c:marker>
          <c:xVal>
            <c:numRef>
              <c:f>'EOQ Model'!$B$37:$B$60</c:f>
              <c:numCache>
                <c:formatCode>0.00</c:formatCode>
                <c:ptCount val="24"/>
                <c:pt idx="0">
                  <c:v>61.23724356957946</c:v>
                </c:pt>
                <c:pt idx="1">
                  <c:v>81.64965809277261</c:v>
                </c:pt>
                <c:pt idx="2">
                  <c:v>102.0620726159658</c:v>
                </c:pt>
                <c:pt idx="3">
                  <c:v>122.4744871391589</c:v>
                </c:pt>
                <c:pt idx="4">
                  <c:v>142.8869016623521</c:v>
                </c:pt>
                <c:pt idx="5">
                  <c:v>163.2993161855452</c:v>
                </c:pt>
                <c:pt idx="6">
                  <c:v>183.7117307087384</c:v>
                </c:pt>
                <c:pt idx="7">
                  <c:v>204.1241452319315</c:v>
                </c:pt>
                <c:pt idx="8">
                  <c:v>224.5365597551247</c:v>
                </c:pt>
                <c:pt idx="9">
                  <c:v>244.9489742783178</c:v>
                </c:pt>
                <c:pt idx="10">
                  <c:v>265.361388801511</c:v>
                </c:pt>
                <c:pt idx="11">
                  <c:v>285.7738033247041</c:v>
                </c:pt>
                <c:pt idx="12">
                  <c:v>306.1862178478973</c:v>
                </c:pt>
                <c:pt idx="13">
                  <c:v>326.5986323710904</c:v>
                </c:pt>
                <c:pt idx="14">
                  <c:v>347.0110468942836</c:v>
                </c:pt>
                <c:pt idx="15">
                  <c:v>367.4234614174767</c:v>
                </c:pt>
                <c:pt idx="16">
                  <c:v>387.8358759406699</c:v>
                </c:pt>
                <c:pt idx="17">
                  <c:v>408.248290463863</c:v>
                </c:pt>
                <c:pt idx="18">
                  <c:v>428.6607049870562</c:v>
                </c:pt>
                <c:pt idx="19">
                  <c:v>449.0731195102493</c:v>
                </c:pt>
                <c:pt idx="20">
                  <c:v>469.4855340334425</c:v>
                </c:pt>
                <c:pt idx="21">
                  <c:v>489.8979485566356</c:v>
                </c:pt>
                <c:pt idx="22">
                  <c:v>510.3103630798288</c:v>
                </c:pt>
                <c:pt idx="23">
                  <c:v>530.722777603022</c:v>
                </c:pt>
              </c:numCache>
            </c:numRef>
          </c:xVal>
          <c:yVal>
            <c:numRef>
              <c:f>'EOQ Model'!$C$37:$C$60</c:f>
              <c:numCache>
                <c:formatCode>0.00</c:formatCode>
                <c:ptCount val="24"/>
                <c:pt idx="0">
                  <c:v>244.9489742783178</c:v>
                </c:pt>
                <c:pt idx="1">
                  <c:v>183.7117307087383</c:v>
                </c:pt>
                <c:pt idx="2">
                  <c:v>146.9693845669907</c:v>
                </c:pt>
                <c:pt idx="3">
                  <c:v>122.4744871391589</c:v>
                </c:pt>
                <c:pt idx="4">
                  <c:v>104.9781318335648</c:v>
                </c:pt>
                <c:pt idx="5">
                  <c:v>91.85586535436917</c:v>
                </c:pt>
                <c:pt idx="6">
                  <c:v>81.6496580927726</c:v>
                </c:pt>
                <c:pt idx="7">
                  <c:v>73.48469228349533</c:v>
                </c:pt>
                <c:pt idx="8">
                  <c:v>66.80426571226848</c:v>
                </c:pt>
                <c:pt idx="9">
                  <c:v>61.23724356957945</c:v>
                </c:pt>
                <c:pt idx="10">
                  <c:v>56.52668637191949</c:v>
                </c:pt>
                <c:pt idx="11">
                  <c:v>52.48906591678238</c:v>
                </c:pt>
                <c:pt idx="12">
                  <c:v>48.98979485566355</c:v>
                </c:pt>
                <c:pt idx="13">
                  <c:v>45.92793267718459</c:v>
                </c:pt>
                <c:pt idx="14">
                  <c:v>43.22628957852667</c:v>
                </c:pt>
                <c:pt idx="15">
                  <c:v>40.8248290463863</c:v>
                </c:pt>
                <c:pt idx="16">
                  <c:v>38.6761538334186</c:v>
                </c:pt>
                <c:pt idx="17">
                  <c:v>36.74234614174767</c:v>
                </c:pt>
                <c:pt idx="18">
                  <c:v>34.99271061118825</c:v>
                </c:pt>
                <c:pt idx="19">
                  <c:v>33.40213285613424</c:v>
                </c:pt>
                <c:pt idx="20">
                  <c:v>31.94986621021537</c:v>
                </c:pt>
                <c:pt idx="21">
                  <c:v>30.61862178478972</c:v>
                </c:pt>
                <c:pt idx="22">
                  <c:v>29.39387691339813</c:v>
                </c:pt>
                <c:pt idx="23">
                  <c:v>28.26334318595974</c:v>
                </c:pt>
              </c:numCache>
            </c:numRef>
          </c:yVal>
          <c:smooth val="1"/>
        </c:ser>
        <c:ser>
          <c:idx val="1"/>
          <c:order val="1"/>
          <c:tx>
            <c:strRef>
              <c:f>'EOQ Model'!$D$36</c:f>
              <c:strCache>
                <c:ptCount val="1"/>
                <c:pt idx="0">
                  <c:v>Holding cost</c:v>
                </c:pt>
              </c:strCache>
            </c:strRef>
          </c:tx>
          <c:marker>
            <c:symbol val="none"/>
          </c:marker>
          <c:xVal>
            <c:numRef>
              <c:f>'EOQ Model'!$B$37:$B$60</c:f>
              <c:numCache>
                <c:formatCode>0.00</c:formatCode>
                <c:ptCount val="24"/>
                <c:pt idx="0">
                  <c:v>61.23724356957946</c:v>
                </c:pt>
                <c:pt idx="1">
                  <c:v>81.64965809277261</c:v>
                </c:pt>
                <c:pt idx="2">
                  <c:v>102.0620726159658</c:v>
                </c:pt>
                <c:pt idx="3">
                  <c:v>122.4744871391589</c:v>
                </c:pt>
                <c:pt idx="4">
                  <c:v>142.8869016623521</c:v>
                </c:pt>
                <c:pt idx="5">
                  <c:v>163.2993161855452</c:v>
                </c:pt>
                <c:pt idx="6">
                  <c:v>183.7117307087384</c:v>
                </c:pt>
                <c:pt idx="7">
                  <c:v>204.1241452319315</c:v>
                </c:pt>
                <c:pt idx="8">
                  <c:v>224.5365597551247</c:v>
                </c:pt>
                <c:pt idx="9">
                  <c:v>244.9489742783178</c:v>
                </c:pt>
                <c:pt idx="10">
                  <c:v>265.361388801511</c:v>
                </c:pt>
                <c:pt idx="11">
                  <c:v>285.7738033247041</c:v>
                </c:pt>
                <c:pt idx="12">
                  <c:v>306.1862178478973</c:v>
                </c:pt>
                <c:pt idx="13">
                  <c:v>326.5986323710904</c:v>
                </c:pt>
                <c:pt idx="14">
                  <c:v>347.0110468942836</c:v>
                </c:pt>
                <c:pt idx="15">
                  <c:v>367.4234614174767</c:v>
                </c:pt>
                <c:pt idx="16">
                  <c:v>387.8358759406699</c:v>
                </c:pt>
                <c:pt idx="17">
                  <c:v>408.248290463863</c:v>
                </c:pt>
                <c:pt idx="18">
                  <c:v>428.6607049870562</c:v>
                </c:pt>
                <c:pt idx="19">
                  <c:v>449.0731195102493</c:v>
                </c:pt>
                <c:pt idx="20">
                  <c:v>469.4855340334425</c:v>
                </c:pt>
                <c:pt idx="21">
                  <c:v>489.8979485566356</c:v>
                </c:pt>
                <c:pt idx="22">
                  <c:v>510.3103630798288</c:v>
                </c:pt>
                <c:pt idx="23">
                  <c:v>530.722777603022</c:v>
                </c:pt>
              </c:numCache>
            </c:numRef>
          </c:xVal>
          <c:yVal>
            <c:numRef>
              <c:f>'EOQ Model'!$D$37:$D$60</c:f>
              <c:numCache>
                <c:formatCode>0.00</c:formatCode>
                <c:ptCount val="24"/>
                <c:pt idx="0">
                  <c:v>15.30931089239486</c:v>
                </c:pt>
                <c:pt idx="1">
                  <c:v>20.41241452319315</c:v>
                </c:pt>
                <c:pt idx="2">
                  <c:v>25.51551815399144</c:v>
                </c:pt>
                <c:pt idx="3">
                  <c:v>30.61862178478973</c:v>
                </c:pt>
                <c:pt idx="4">
                  <c:v>35.72172541558802</c:v>
                </c:pt>
                <c:pt idx="5">
                  <c:v>40.82482904638631</c:v>
                </c:pt>
                <c:pt idx="6">
                  <c:v>45.9279326771846</c:v>
                </c:pt>
                <c:pt idx="7">
                  <c:v>51.03103630798288</c:v>
                </c:pt>
                <c:pt idx="8">
                  <c:v>56.13413993878116</c:v>
                </c:pt>
                <c:pt idx="9">
                  <c:v>61.23724356957946</c:v>
                </c:pt>
                <c:pt idx="10">
                  <c:v>66.34034720037774</c:v>
                </c:pt>
                <c:pt idx="11">
                  <c:v>71.44345083117603</c:v>
                </c:pt>
                <c:pt idx="12">
                  <c:v>76.5465544619743</c:v>
                </c:pt>
                <c:pt idx="13">
                  <c:v>81.64965809277261</c:v>
                </c:pt>
                <c:pt idx="14">
                  <c:v>86.7527617235709</c:v>
                </c:pt>
                <c:pt idx="15">
                  <c:v>91.85586535436919</c:v>
                </c:pt>
                <c:pt idx="16">
                  <c:v>96.95896898516747</c:v>
                </c:pt>
                <c:pt idx="17">
                  <c:v>102.0620726159658</c:v>
                </c:pt>
                <c:pt idx="18">
                  <c:v>107.165176246764</c:v>
                </c:pt>
                <c:pt idx="19">
                  <c:v>112.2682798775623</c:v>
                </c:pt>
                <c:pt idx="20">
                  <c:v>117.3713835083606</c:v>
                </c:pt>
                <c:pt idx="21">
                  <c:v>122.4744871391589</c:v>
                </c:pt>
                <c:pt idx="22">
                  <c:v>127.5775907699572</c:v>
                </c:pt>
                <c:pt idx="23">
                  <c:v>132.6806944007555</c:v>
                </c:pt>
              </c:numCache>
            </c:numRef>
          </c:yVal>
          <c:smooth val="1"/>
        </c:ser>
        <c:ser>
          <c:idx val="2"/>
          <c:order val="2"/>
          <c:tx>
            <c:strRef>
              <c:f>'EOQ Model'!$E$36</c:f>
              <c:strCache>
                <c:ptCount val="1"/>
                <c:pt idx="0">
                  <c:v>Total cost</c:v>
                </c:pt>
              </c:strCache>
            </c:strRef>
          </c:tx>
          <c:marker>
            <c:symbol val="none"/>
          </c:marker>
          <c:xVal>
            <c:numRef>
              <c:f>'EOQ Model'!$B$37:$B$60</c:f>
              <c:numCache>
                <c:formatCode>0.00</c:formatCode>
                <c:ptCount val="24"/>
                <c:pt idx="0">
                  <c:v>61.23724356957946</c:v>
                </c:pt>
                <c:pt idx="1">
                  <c:v>81.64965809277261</c:v>
                </c:pt>
                <c:pt idx="2">
                  <c:v>102.0620726159658</c:v>
                </c:pt>
                <c:pt idx="3">
                  <c:v>122.4744871391589</c:v>
                </c:pt>
                <c:pt idx="4">
                  <c:v>142.8869016623521</c:v>
                </c:pt>
                <c:pt idx="5">
                  <c:v>163.2993161855452</c:v>
                </c:pt>
                <c:pt idx="6">
                  <c:v>183.7117307087384</c:v>
                </c:pt>
                <c:pt idx="7">
                  <c:v>204.1241452319315</c:v>
                </c:pt>
                <c:pt idx="8">
                  <c:v>224.5365597551247</c:v>
                </c:pt>
                <c:pt idx="9">
                  <c:v>244.9489742783178</c:v>
                </c:pt>
                <c:pt idx="10">
                  <c:v>265.361388801511</c:v>
                </c:pt>
                <c:pt idx="11">
                  <c:v>285.7738033247041</c:v>
                </c:pt>
                <c:pt idx="12">
                  <c:v>306.1862178478973</c:v>
                </c:pt>
                <c:pt idx="13">
                  <c:v>326.5986323710904</c:v>
                </c:pt>
                <c:pt idx="14">
                  <c:v>347.0110468942836</c:v>
                </c:pt>
                <c:pt idx="15">
                  <c:v>367.4234614174767</c:v>
                </c:pt>
                <c:pt idx="16">
                  <c:v>387.8358759406699</c:v>
                </c:pt>
                <c:pt idx="17">
                  <c:v>408.248290463863</c:v>
                </c:pt>
                <c:pt idx="18">
                  <c:v>428.6607049870562</c:v>
                </c:pt>
                <c:pt idx="19">
                  <c:v>449.0731195102493</c:v>
                </c:pt>
                <c:pt idx="20">
                  <c:v>469.4855340334425</c:v>
                </c:pt>
                <c:pt idx="21">
                  <c:v>489.8979485566356</c:v>
                </c:pt>
                <c:pt idx="22">
                  <c:v>510.3103630798288</c:v>
                </c:pt>
                <c:pt idx="23">
                  <c:v>530.722777603022</c:v>
                </c:pt>
              </c:numCache>
            </c:numRef>
          </c:xVal>
          <c:yVal>
            <c:numRef>
              <c:f>'EOQ Model'!$E$37:$E$60</c:f>
              <c:numCache>
                <c:formatCode>0.00</c:formatCode>
                <c:ptCount val="24"/>
                <c:pt idx="0">
                  <c:v>260.2582851707126</c:v>
                </c:pt>
                <c:pt idx="1">
                  <c:v>204.1241452319315</c:v>
                </c:pt>
                <c:pt idx="2">
                  <c:v>172.4849027209821</c:v>
                </c:pt>
                <c:pt idx="3">
                  <c:v>153.0931089239486</c:v>
                </c:pt>
                <c:pt idx="4">
                  <c:v>140.6998572491528</c:v>
                </c:pt>
                <c:pt idx="5">
                  <c:v>132.6806944007555</c:v>
                </c:pt>
                <c:pt idx="6">
                  <c:v>127.5775907699572</c:v>
                </c:pt>
                <c:pt idx="7">
                  <c:v>124.5157285914782</c:v>
                </c:pt>
                <c:pt idx="8">
                  <c:v>122.9384056510497</c:v>
                </c:pt>
                <c:pt idx="9">
                  <c:v>122.4744871391589</c:v>
                </c:pt>
                <c:pt idx="10">
                  <c:v>122.8670335722972</c:v>
                </c:pt>
                <c:pt idx="11">
                  <c:v>123.9325167479584</c:v>
                </c:pt>
                <c:pt idx="12">
                  <c:v>125.5363493176379</c:v>
                </c:pt>
                <c:pt idx="13">
                  <c:v>127.5775907699572</c:v>
                </c:pt>
                <c:pt idx="14">
                  <c:v>129.9790513020976</c:v>
                </c:pt>
                <c:pt idx="15">
                  <c:v>132.6806944007555</c:v>
                </c:pt>
                <c:pt idx="16">
                  <c:v>135.6351228185861</c:v>
                </c:pt>
                <c:pt idx="17">
                  <c:v>138.8044187577134</c:v>
                </c:pt>
                <c:pt idx="18">
                  <c:v>142.1578868579523</c:v>
                </c:pt>
                <c:pt idx="19">
                  <c:v>145.6704127336966</c:v>
                </c:pt>
                <c:pt idx="20">
                  <c:v>149.321249718576</c:v>
                </c:pt>
                <c:pt idx="21">
                  <c:v>153.0931089239486</c:v>
                </c:pt>
                <c:pt idx="22">
                  <c:v>156.9714676833553</c:v>
                </c:pt>
                <c:pt idx="23">
                  <c:v>160.9440375867152</c:v>
                </c:pt>
              </c:numCache>
            </c:numRef>
          </c:yVal>
          <c:smooth val="1"/>
        </c:ser>
        <c:ser>
          <c:idx val="3"/>
          <c:order val="3"/>
          <c:tx>
            <c:v>EOQ</c:v>
          </c:tx>
          <c:spPr>
            <a:ln>
              <a:prstDash val="sysDot"/>
            </a:ln>
          </c:spPr>
          <c:marker>
            <c:symbol val="none"/>
          </c:marker>
          <c:xVal>
            <c:numRef>
              <c:f>'EOQ Model'!$B$62:$B$63</c:f>
              <c:numCache>
                <c:formatCode>0.00</c:formatCode>
                <c:ptCount val="2"/>
                <c:pt idx="0">
                  <c:v>244.9489742783178</c:v>
                </c:pt>
                <c:pt idx="1">
                  <c:v>244.9489742783178</c:v>
                </c:pt>
              </c:numCache>
            </c:numRef>
          </c:xVal>
          <c:yVal>
            <c:numRef>
              <c:f>'EOQ Model'!$C$62:$C$63</c:f>
              <c:numCache>
                <c:formatCode>0.00</c:formatCode>
                <c:ptCount val="2"/>
                <c:pt idx="0">
                  <c:v>0.0</c:v>
                </c:pt>
                <c:pt idx="1">
                  <c:v>122.4744871391589</c:v>
                </c:pt>
              </c:numCache>
            </c:numRef>
          </c:yVal>
          <c:smooth val="1"/>
        </c:ser>
        <c:dLbls>
          <c:showLegendKey val="0"/>
          <c:showVal val="0"/>
          <c:showCatName val="0"/>
          <c:showSerName val="0"/>
          <c:showPercent val="0"/>
          <c:showBubbleSize val="0"/>
        </c:dLbls>
        <c:axId val="-2121401688"/>
        <c:axId val="-2121398552"/>
      </c:scatterChart>
      <c:valAx>
        <c:axId val="-2121401688"/>
        <c:scaling>
          <c:orientation val="minMax"/>
        </c:scaling>
        <c:delete val="0"/>
        <c:axPos val="b"/>
        <c:numFmt formatCode="0.00" sourceLinked="1"/>
        <c:majorTickMark val="out"/>
        <c:minorTickMark val="none"/>
        <c:tickLblPos val="nextTo"/>
        <c:crossAx val="-2121398552"/>
        <c:crosses val="autoZero"/>
        <c:crossBetween val="midCat"/>
      </c:valAx>
      <c:valAx>
        <c:axId val="-2121398552"/>
        <c:scaling>
          <c:orientation val="minMax"/>
        </c:scaling>
        <c:delete val="0"/>
        <c:axPos val="l"/>
        <c:majorGridlines/>
        <c:numFmt formatCode="0.00" sourceLinked="1"/>
        <c:majorTickMark val="out"/>
        <c:minorTickMark val="none"/>
        <c:tickLblPos val="nextTo"/>
        <c:crossAx val="-2121401688"/>
        <c:crosses val="autoZero"/>
        <c:crossBetween val="midCat"/>
      </c:valAx>
      <c:spPr>
        <a:gradFill flip="none" rotWithShape="1">
          <a:gsLst>
            <a:gs pos="0">
              <a:srgbClr val="9AB5E4"/>
            </a:gs>
            <a:gs pos="100000">
              <a:srgbClr val="FFFFFF"/>
            </a:gs>
          </a:gsLst>
          <a:lin ang="5400000" scaled="1"/>
          <a:tileRect/>
        </a:gradFill>
      </c:spPr>
    </c:plotArea>
    <c:legend>
      <c:legendPos val="b"/>
      <c:overlay val="0"/>
    </c:legend>
    <c:plotVisOnly val="1"/>
    <c:dispBlanksAs val="gap"/>
    <c:showDLblsOverMax val="0"/>
  </c:chart>
  <c:printSettings>
    <c:headerFooter/>
    <c:pageMargins b="1.0" l="0.75" r="0.75" t="1.0"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Economic Order Quantity Costs</a:t>
            </a:r>
          </a:p>
        </c:rich>
      </c:tx>
      <c:overlay val="0"/>
    </c:title>
    <c:autoTitleDeleted val="0"/>
    <c:plotArea>
      <c:layout/>
      <c:scatterChart>
        <c:scatterStyle val="smoothMarker"/>
        <c:varyColors val="0"/>
        <c:ser>
          <c:idx val="0"/>
          <c:order val="0"/>
          <c:tx>
            <c:strRef>
              <c:f>'EOQ Model 2'!$C$36</c:f>
              <c:strCache>
                <c:ptCount val="1"/>
                <c:pt idx="0">
                  <c:v>Setup/Order cost</c:v>
                </c:pt>
              </c:strCache>
            </c:strRef>
          </c:tx>
          <c:marker>
            <c:symbol val="none"/>
          </c:marker>
          <c:xVal>
            <c:numRef>
              <c:f>'EOQ Model 2'!$B$37:$B$60</c:f>
              <c:numCache>
                <c:formatCode>0.00</c:formatCode>
                <c:ptCount val="24"/>
                <c:pt idx="0">
                  <c:v>50.0</c:v>
                </c:pt>
                <c:pt idx="1">
                  <c:v>66.66666666666667</c:v>
                </c:pt>
                <c:pt idx="2">
                  <c:v>83.33333333333334</c:v>
                </c:pt>
                <c:pt idx="3">
                  <c:v>100.0</c:v>
                </c:pt>
                <c:pt idx="4">
                  <c:v>116.6666666666667</c:v>
                </c:pt>
                <c:pt idx="5">
                  <c:v>133.3333333333333</c:v>
                </c:pt>
                <c:pt idx="6">
                  <c:v>150.0</c:v>
                </c:pt>
                <c:pt idx="7">
                  <c:v>166.6666666666667</c:v>
                </c:pt>
                <c:pt idx="8">
                  <c:v>183.3333333333333</c:v>
                </c:pt>
                <c:pt idx="9">
                  <c:v>2</c:v>
                </c:pt>
                <c:pt idx="10">
                  <c:v>216.6666666666666</c:v>
                </c:pt>
                <c:pt idx="11">
                  <c:v>233.3333333333333</c:v>
                </c:pt>
                <c:pt idx="12">
                  <c:v>249.9999999999999</c:v>
                </c:pt>
                <c:pt idx="13">
                  <c:v>266.6666666666666</c:v>
                </c:pt>
                <c:pt idx="14">
                  <c:v>283.3333333333333</c:v>
                </c:pt>
                <c:pt idx="15">
                  <c:v>300.0</c:v>
                </c:pt>
                <c:pt idx="16">
                  <c:v>316.6666666666666</c:v>
                </c:pt>
                <c:pt idx="17">
                  <c:v>333.3333333333334</c:v>
                </c:pt>
                <c:pt idx="18">
                  <c:v>350.0000000000001</c:v>
                </c:pt>
                <c:pt idx="19">
                  <c:v>366.6666666666667</c:v>
                </c:pt>
                <c:pt idx="20">
                  <c:v>383.3333333333334</c:v>
                </c:pt>
                <c:pt idx="21">
                  <c:v>400.0000000000001</c:v>
                </c:pt>
                <c:pt idx="22">
                  <c:v>416.6666666666668</c:v>
                </c:pt>
                <c:pt idx="23">
                  <c:v>433.3333333333335</c:v>
                </c:pt>
              </c:numCache>
            </c:numRef>
          </c:xVal>
          <c:yVal>
            <c:numRef>
              <c:f>'EOQ Model 2'!$C$37:$C$60</c:f>
              <c:numCache>
                <c:formatCode>0.00</c:formatCode>
                <c:ptCount val="24"/>
                <c:pt idx="0">
                  <c:v>300.0</c:v>
                </c:pt>
                <c:pt idx="1">
                  <c:v>225</c:v>
                </c:pt>
                <c:pt idx="2">
                  <c:v>18</c:v>
                </c:pt>
                <c:pt idx="3">
                  <c:v>15</c:v>
                </c:pt>
                <c:pt idx="4">
                  <c:v>128.5714285714286</c:v>
                </c:pt>
                <c:pt idx="5">
                  <c:v>112.5</c:v>
                </c:pt>
                <c:pt idx="6">
                  <c:v>100.0</c:v>
                </c:pt>
                <c:pt idx="7">
                  <c:v>90.0</c:v>
                </c:pt>
                <c:pt idx="8">
                  <c:v>81.81818181818183</c:v>
                </c:pt>
                <c:pt idx="9">
                  <c:v>75.00000000000001</c:v>
                </c:pt>
                <c:pt idx="10">
                  <c:v>69.23076923076924</c:v>
                </c:pt>
                <c:pt idx="11">
                  <c:v>64.2857142857143</c:v>
                </c:pt>
                <c:pt idx="12">
                  <c:v>60.00000000000001</c:v>
                </c:pt>
                <c:pt idx="13">
                  <c:v>56.25000000000001</c:v>
                </c:pt>
                <c:pt idx="14">
                  <c:v>52.94117647058824</c:v>
                </c:pt>
                <c:pt idx="15">
                  <c:v>50.0</c:v>
                </c:pt>
                <c:pt idx="16">
                  <c:v>47.36842105263158</c:v>
                </c:pt>
                <c:pt idx="17">
                  <c:v>45</c:v>
                </c:pt>
                <c:pt idx="18">
                  <c:v>42.85714285714285</c:v>
                </c:pt>
                <c:pt idx="19">
                  <c:v>40.9090909090909</c:v>
                </c:pt>
                <c:pt idx="20">
                  <c:v>39.13043478260869</c:v>
                </c:pt>
                <c:pt idx="21">
                  <c:v>37.5</c:v>
                </c:pt>
                <c:pt idx="22">
                  <c:v>35.99999999999998</c:v>
                </c:pt>
                <c:pt idx="23">
                  <c:v>34.61538461538461</c:v>
                </c:pt>
              </c:numCache>
            </c:numRef>
          </c:yVal>
          <c:smooth val="1"/>
        </c:ser>
        <c:ser>
          <c:idx val="1"/>
          <c:order val="1"/>
          <c:tx>
            <c:strRef>
              <c:f>'EOQ Model 2'!$D$36</c:f>
              <c:strCache>
                <c:ptCount val="1"/>
                <c:pt idx="0">
                  <c:v>Holding cost</c:v>
                </c:pt>
              </c:strCache>
            </c:strRef>
          </c:tx>
          <c:marker>
            <c:symbol val="none"/>
          </c:marker>
          <c:xVal>
            <c:numRef>
              <c:f>'EOQ Model 2'!$B$37:$B$60</c:f>
              <c:numCache>
                <c:formatCode>0.00</c:formatCode>
                <c:ptCount val="24"/>
                <c:pt idx="0">
                  <c:v>50.0</c:v>
                </c:pt>
                <c:pt idx="1">
                  <c:v>66.66666666666667</c:v>
                </c:pt>
                <c:pt idx="2">
                  <c:v>83.33333333333334</c:v>
                </c:pt>
                <c:pt idx="3">
                  <c:v>100.0</c:v>
                </c:pt>
                <c:pt idx="4">
                  <c:v>116.6666666666667</c:v>
                </c:pt>
                <c:pt idx="5">
                  <c:v>133.3333333333333</c:v>
                </c:pt>
                <c:pt idx="6">
                  <c:v>150.0</c:v>
                </c:pt>
                <c:pt idx="7">
                  <c:v>166.6666666666667</c:v>
                </c:pt>
                <c:pt idx="8">
                  <c:v>183.3333333333333</c:v>
                </c:pt>
                <c:pt idx="9">
                  <c:v>2</c:v>
                </c:pt>
                <c:pt idx="10">
                  <c:v>216.6666666666666</c:v>
                </c:pt>
                <c:pt idx="11">
                  <c:v>233.3333333333333</c:v>
                </c:pt>
                <c:pt idx="12">
                  <c:v>249.9999999999999</c:v>
                </c:pt>
                <c:pt idx="13">
                  <c:v>266.6666666666666</c:v>
                </c:pt>
                <c:pt idx="14">
                  <c:v>283.3333333333333</c:v>
                </c:pt>
                <c:pt idx="15">
                  <c:v>300.0</c:v>
                </c:pt>
                <c:pt idx="16">
                  <c:v>316.6666666666666</c:v>
                </c:pt>
                <c:pt idx="17">
                  <c:v>333.3333333333334</c:v>
                </c:pt>
                <c:pt idx="18">
                  <c:v>350.0000000000001</c:v>
                </c:pt>
                <c:pt idx="19">
                  <c:v>366.6666666666667</c:v>
                </c:pt>
                <c:pt idx="20">
                  <c:v>383.3333333333334</c:v>
                </c:pt>
                <c:pt idx="21">
                  <c:v>400.0000000000001</c:v>
                </c:pt>
                <c:pt idx="22">
                  <c:v>416.6666666666668</c:v>
                </c:pt>
                <c:pt idx="23">
                  <c:v>433.3333333333335</c:v>
                </c:pt>
              </c:numCache>
            </c:numRef>
          </c:xVal>
          <c:yVal>
            <c:numRef>
              <c:f>'EOQ Model 2'!$D$37:$D$60</c:f>
              <c:numCache>
                <c:formatCode>0.00</c:formatCode>
                <c:ptCount val="24"/>
                <c:pt idx="0">
                  <c:v>12.5</c:v>
                </c:pt>
                <c:pt idx="1">
                  <c:v>16.66666666666667</c:v>
                </c:pt>
                <c:pt idx="2">
                  <c:v>20.83333333333334</c:v>
                </c:pt>
                <c:pt idx="3">
                  <c:v>25.0</c:v>
                </c:pt>
                <c:pt idx="4">
                  <c:v>29.16666666666667</c:v>
                </c:pt>
                <c:pt idx="5">
                  <c:v>33.33333333333334</c:v>
                </c:pt>
                <c:pt idx="6">
                  <c:v>37.5</c:v>
                </c:pt>
                <c:pt idx="7">
                  <c:v>41.66666666666666</c:v>
                </c:pt>
                <c:pt idx="8">
                  <c:v>45.83333333333333</c:v>
                </c:pt>
                <c:pt idx="9">
                  <c:v>5</c:v>
                </c:pt>
                <c:pt idx="10">
                  <c:v>54.16666666666666</c:v>
                </c:pt>
                <c:pt idx="11">
                  <c:v>58.33333333333332</c:v>
                </c:pt>
                <c:pt idx="12">
                  <c:v>62.49999999999998</c:v>
                </c:pt>
                <c:pt idx="13">
                  <c:v>66.66666666666665</c:v>
                </c:pt>
                <c:pt idx="14">
                  <c:v>70.83333333333333</c:v>
                </c:pt>
                <c:pt idx="15">
                  <c:v>75.0</c:v>
                </c:pt>
                <c:pt idx="16">
                  <c:v>79.16666666666667</c:v>
                </c:pt>
                <c:pt idx="17">
                  <c:v>83.33333333333334</c:v>
                </c:pt>
                <c:pt idx="18">
                  <c:v>87.50000000000001</c:v>
                </c:pt>
                <c:pt idx="19">
                  <c:v>91.66666666666668</c:v>
                </c:pt>
                <c:pt idx="20">
                  <c:v>95.83333333333336</c:v>
                </c:pt>
                <c:pt idx="21">
                  <c:v>100.0</c:v>
                </c:pt>
                <c:pt idx="22">
                  <c:v>104.1666666666667</c:v>
                </c:pt>
                <c:pt idx="23">
                  <c:v>108.3333333333334</c:v>
                </c:pt>
              </c:numCache>
            </c:numRef>
          </c:yVal>
          <c:smooth val="1"/>
        </c:ser>
        <c:ser>
          <c:idx val="2"/>
          <c:order val="2"/>
          <c:tx>
            <c:strRef>
              <c:f>'EOQ Model 2'!$E$36</c:f>
              <c:strCache>
                <c:ptCount val="1"/>
                <c:pt idx="0">
                  <c:v>Total cost</c:v>
                </c:pt>
              </c:strCache>
            </c:strRef>
          </c:tx>
          <c:marker>
            <c:symbol val="none"/>
          </c:marker>
          <c:xVal>
            <c:numRef>
              <c:f>'EOQ Model 2'!$B$37:$B$60</c:f>
              <c:numCache>
                <c:formatCode>0.00</c:formatCode>
                <c:ptCount val="24"/>
                <c:pt idx="0">
                  <c:v>50.0</c:v>
                </c:pt>
                <c:pt idx="1">
                  <c:v>66.66666666666667</c:v>
                </c:pt>
                <c:pt idx="2">
                  <c:v>83.33333333333334</c:v>
                </c:pt>
                <c:pt idx="3">
                  <c:v>100.0</c:v>
                </c:pt>
                <c:pt idx="4">
                  <c:v>116.6666666666667</c:v>
                </c:pt>
                <c:pt idx="5">
                  <c:v>133.3333333333333</c:v>
                </c:pt>
                <c:pt idx="6">
                  <c:v>150.0</c:v>
                </c:pt>
                <c:pt idx="7">
                  <c:v>166.6666666666667</c:v>
                </c:pt>
                <c:pt idx="8">
                  <c:v>183.3333333333333</c:v>
                </c:pt>
                <c:pt idx="9">
                  <c:v>2</c:v>
                </c:pt>
                <c:pt idx="10">
                  <c:v>216.6666666666666</c:v>
                </c:pt>
                <c:pt idx="11">
                  <c:v>233.3333333333333</c:v>
                </c:pt>
                <c:pt idx="12">
                  <c:v>249.9999999999999</c:v>
                </c:pt>
                <c:pt idx="13">
                  <c:v>266.6666666666666</c:v>
                </c:pt>
                <c:pt idx="14">
                  <c:v>283.3333333333333</c:v>
                </c:pt>
                <c:pt idx="15">
                  <c:v>300.0</c:v>
                </c:pt>
                <c:pt idx="16">
                  <c:v>316.6666666666666</c:v>
                </c:pt>
                <c:pt idx="17">
                  <c:v>333.3333333333334</c:v>
                </c:pt>
                <c:pt idx="18">
                  <c:v>350.0000000000001</c:v>
                </c:pt>
                <c:pt idx="19">
                  <c:v>366.6666666666667</c:v>
                </c:pt>
                <c:pt idx="20">
                  <c:v>383.3333333333334</c:v>
                </c:pt>
                <c:pt idx="21">
                  <c:v>400.0000000000001</c:v>
                </c:pt>
                <c:pt idx="22">
                  <c:v>416.6666666666668</c:v>
                </c:pt>
                <c:pt idx="23">
                  <c:v>433.3333333333335</c:v>
                </c:pt>
              </c:numCache>
            </c:numRef>
          </c:xVal>
          <c:yVal>
            <c:numRef>
              <c:f>'EOQ Model 2'!$E$37:$E$60</c:f>
              <c:numCache>
                <c:formatCode>0.00</c:formatCode>
                <c:ptCount val="24"/>
                <c:pt idx="0">
                  <c:v>312.5</c:v>
                </c:pt>
                <c:pt idx="1">
                  <c:v>241.6666666666666</c:v>
                </c:pt>
                <c:pt idx="2">
                  <c:v>200.8333333333333</c:v>
                </c:pt>
                <c:pt idx="3">
                  <c:v>175</c:v>
                </c:pt>
                <c:pt idx="4">
                  <c:v>157.7380952380952</c:v>
                </c:pt>
                <c:pt idx="5">
                  <c:v>145.8333333333333</c:v>
                </c:pt>
                <c:pt idx="6">
                  <c:v>137.5</c:v>
                </c:pt>
                <c:pt idx="7">
                  <c:v>131.6666666666667</c:v>
                </c:pt>
                <c:pt idx="8">
                  <c:v>127.6515151515152</c:v>
                </c:pt>
                <c:pt idx="9">
                  <c:v>125.0</c:v>
                </c:pt>
                <c:pt idx="10">
                  <c:v>123.3974358974359</c:v>
                </c:pt>
                <c:pt idx="11">
                  <c:v>122.6190476190476</c:v>
                </c:pt>
                <c:pt idx="12">
                  <c:v>122.5</c:v>
                </c:pt>
                <c:pt idx="13">
                  <c:v>122.9166666666667</c:v>
                </c:pt>
                <c:pt idx="14">
                  <c:v>123.7745098039216</c:v>
                </c:pt>
                <c:pt idx="15">
                  <c:v>125.0</c:v>
                </c:pt>
                <c:pt idx="16">
                  <c:v>126.5350877192982</c:v>
                </c:pt>
                <c:pt idx="17">
                  <c:v>128.3333333333333</c:v>
                </c:pt>
                <c:pt idx="18">
                  <c:v>130.3571428571429</c:v>
                </c:pt>
                <c:pt idx="19">
                  <c:v>132.5757575757576</c:v>
                </c:pt>
                <c:pt idx="20">
                  <c:v>134.9637681159421</c:v>
                </c:pt>
                <c:pt idx="21">
                  <c:v>137.5</c:v>
                </c:pt>
                <c:pt idx="22">
                  <c:v>140.1666666666667</c:v>
                </c:pt>
                <c:pt idx="23">
                  <c:v>142.948717948718</c:v>
                </c:pt>
              </c:numCache>
            </c:numRef>
          </c:yVal>
          <c:smooth val="1"/>
        </c:ser>
        <c:ser>
          <c:idx val="3"/>
          <c:order val="3"/>
          <c:tx>
            <c:v>EOQ</c:v>
          </c:tx>
          <c:spPr>
            <a:ln>
              <a:prstDash val="sysDot"/>
            </a:ln>
          </c:spPr>
          <c:marker>
            <c:symbol val="none"/>
          </c:marker>
          <c:xVal>
            <c:numRef>
              <c:f>'EOQ Model 2'!$B$62:$B$63</c:f>
              <c:numCache>
                <c:formatCode>0.00</c:formatCode>
                <c:ptCount val="2"/>
                <c:pt idx="0">
                  <c:v>200.0</c:v>
                </c:pt>
                <c:pt idx="1">
                  <c:v>200.0</c:v>
                </c:pt>
              </c:numCache>
            </c:numRef>
          </c:xVal>
          <c:yVal>
            <c:numRef>
              <c:f>'EOQ Model 2'!$C$62:$C$63</c:f>
              <c:numCache>
                <c:formatCode>0.00</c:formatCode>
                <c:ptCount val="2"/>
                <c:pt idx="0">
                  <c:v>0.0</c:v>
                </c:pt>
                <c:pt idx="1">
                  <c:v>125.0</c:v>
                </c:pt>
              </c:numCache>
            </c:numRef>
          </c:yVal>
          <c:smooth val="1"/>
        </c:ser>
        <c:dLbls>
          <c:showLegendKey val="0"/>
          <c:showVal val="0"/>
          <c:showCatName val="0"/>
          <c:showSerName val="0"/>
          <c:showPercent val="0"/>
          <c:showBubbleSize val="0"/>
        </c:dLbls>
        <c:axId val="-2121738856"/>
        <c:axId val="-2121761720"/>
      </c:scatterChart>
      <c:valAx>
        <c:axId val="-2121738856"/>
        <c:scaling>
          <c:orientation val="minMax"/>
        </c:scaling>
        <c:delete val="0"/>
        <c:axPos val="b"/>
        <c:numFmt formatCode="0.00" sourceLinked="1"/>
        <c:majorTickMark val="out"/>
        <c:minorTickMark val="none"/>
        <c:tickLblPos val="nextTo"/>
        <c:crossAx val="-2121761720"/>
        <c:crosses val="autoZero"/>
        <c:crossBetween val="midCat"/>
      </c:valAx>
      <c:valAx>
        <c:axId val="-2121761720"/>
        <c:scaling>
          <c:orientation val="minMax"/>
        </c:scaling>
        <c:delete val="0"/>
        <c:axPos val="l"/>
        <c:majorGridlines/>
        <c:numFmt formatCode="0.00" sourceLinked="1"/>
        <c:majorTickMark val="out"/>
        <c:minorTickMark val="none"/>
        <c:tickLblPos val="nextTo"/>
        <c:crossAx val="-2121738856"/>
        <c:crosses val="autoZero"/>
        <c:crossBetween val="midCat"/>
      </c:valAx>
      <c:spPr>
        <a:gradFill flip="none" rotWithShape="1">
          <a:gsLst>
            <a:gs pos="0">
              <a:srgbClr val="9AB5E4"/>
            </a:gs>
            <a:gs pos="100000">
              <a:srgbClr val="FFFFFF"/>
            </a:gs>
          </a:gsLst>
          <a:lin ang="5400000" scaled="1"/>
          <a:tileRect/>
        </a:gradFill>
      </c:spPr>
    </c:plotArea>
    <c:legend>
      <c:legendPos val="b"/>
      <c:overlay val="0"/>
    </c:legend>
    <c:plotVisOnly val="1"/>
    <c:dispBlanksAs val="gap"/>
    <c:showDLblsOverMax val="0"/>
  </c:chart>
  <c:printSettings>
    <c:headerFooter/>
    <c:pageMargins b="1.0" l="0.75" r="0.75" t="1.0" header="0.5" footer="0.5"/>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Production Order Quantity Costs</a:t>
            </a:r>
          </a:p>
        </c:rich>
      </c:tx>
      <c:overlay val="0"/>
    </c:title>
    <c:autoTitleDeleted val="0"/>
    <c:plotArea>
      <c:layout/>
      <c:scatterChart>
        <c:scatterStyle val="smoothMarker"/>
        <c:varyColors val="0"/>
        <c:ser>
          <c:idx val="0"/>
          <c:order val="0"/>
          <c:tx>
            <c:strRef>
              <c:f>'POQ Model'!$C$36</c:f>
              <c:strCache>
                <c:ptCount val="1"/>
                <c:pt idx="0">
                  <c:v>Setup/Order cost</c:v>
                </c:pt>
              </c:strCache>
            </c:strRef>
          </c:tx>
          <c:marker>
            <c:symbol val="none"/>
          </c:marker>
          <c:xVal>
            <c:numRef>
              <c:f>'POQ Model'!$B$37:$B$60</c:f>
              <c:numCache>
                <c:formatCode>0.00</c:formatCode>
                <c:ptCount val="24"/>
                <c:pt idx="0">
                  <c:v>70.71067811865475</c:v>
                </c:pt>
                <c:pt idx="1">
                  <c:v>94.28090415820634</c:v>
                </c:pt>
                <c:pt idx="2">
                  <c:v>117.8511301977579</c:v>
                </c:pt>
                <c:pt idx="3">
                  <c:v>141.4213562373095</c:v>
                </c:pt>
                <c:pt idx="4">
                  <c:v>164.9915822768611</c:v>
                </c:pt>
                <c:pt idx="5">
                  <c:v>188.5618083164127</c:v>
                </c:pt>
                <c:pt idx="6">
                  <c:v>212.1320343559643</c:v>
                </c:pt>
                <c:pt idx="7">
                  <c:v>235.7022603955159</c:v>
                </c:pt>
                <c:pt idx="8">
                  <c:v>259.2724864350674</c:v>
                </c:pt>
                <c:pt idx="9">
                  <c:v>282.842712474619</c:v>
                </c:pt>
                <c:pt idx="10">
                  <c:v>306.4129385141706</c:v>
                </c:pt>
                <c:pt idx="11">
                  <c:v>329.9831645537222</c:v>
                </c:pt>
                <c:pt idx="12">
                  <c:v>353.5533905932738</c:v>
                </c:pt>
                <c:pt idx="13">
                  <c:v>377.1236166328254</c:v>
                </c:pt>
                <c:pt idx="14">
                  <c:v>400.693842672377</c:v>
                </c:pt>
                <c:pt idx="15">
                  <c:v>424.2640687119285</c:v>
                </c:pt>
                <c:pt idx="16">
                  <c:v>447.8342947514801</c:v>
                </c:pt>
                <c:pt idx="17">
                  <c:v>471.4045207910317</c:v>
                </c:pt>
                <c:pt idx="18">
                  <c:v>494.9747468305833</c:v>
                </c:pt>
                <c:pt idx="19">
                  <c:v>518.5449728701348</c:v>
                </c:pt>
                <c:pt idx="20">
                  <c:v>542.1151989096864</c:v>
                </c:pt>
                <c:pt idx="21">
                  <c:v>565.685424949238</c:v>
                </c:pt>
                <c:pt idx="22">
                  <c:v>589.2556509887896</c:v>
                </c:pt>
                <c:pt idx="23">
                  <c:v>612.8258770283412</c:v>
                </c:pt>
              </c:numCache>
            </c:numRef>
          </c:xVal>
          <c:yVal>
            <c:numRef>
              <c:f>'POQ Model'!$C$37:$C$60</c:f>
              <c:numCache>
                <c:formatCode>0.00</c:formatCode>
                <c:ptCount val="24"/>
                <c:pt idx="0">
                  <c:v>141.4213562373095</c:v>
                </c:pt>
                <c:pt idx="1">
                  <c:v>106.0660171779821</c:v>
                </c:pt>
                <c:pt idx="2">
                  <c:v>84.85281374238571</c:v>
                </c:pt>
                <c:pt idx="3">
                  <c:v>70.71067811865475</c:v>
                </c:pt>
                <c:pt idx="4">
                  <c:v>60.60915267313264</c:v>
                </c:pt>
                <c:pt idx="5">
                  <c:v>53.03300858899106</c:v>
                </c:pt>
                <c:pt idx="6">
                  <c:v>47.14045207910317</c:v>
                </c:pt>
                <c:pt idx="7">
                  <c:v>42.42640687119285</c:v>
                </c:pt>
                <c:pt idx="8">
                  <c:v>38.5694607919935</c:v>
                </c:pt>
                <c:pt idx="9">
                  <c:v>35.35533905932738</c:v>
                </c:pt>
                <c:pt idx="10">
                  <c:v>32.63569759322527</c:v>
                </c:pt>
                <c:pt idx="11">
                  <c:v>30.30457633656632</c:v>
                </c:pt>
                <c:pt idx="12">
                  <c:v>28.2842712474619</c:v>
                </c:pt>
                <c:pt idx="13">
                  <c:v>26.51650429449553</c:v>
                </c:pt>
                <c:pt idx="14">
                  <c:v>24.95670992423109</c:v>
                </c:pt>
                <c:pt idx="15">
                  <c:v>23.57022603955159</c:v>
                </c:pt>
                <c:pt idx="16">
                  <c:v>22.3296878269436</c:v>
                </c:pt>
                <c:pt idx="17">
                  <c:v>21.21320343559643</c:v>
                </c:pt>
                <c:pt idx="18">
                  <c:v>20.20305089104421</c:v>
                </c:pt>
                <c:pt idx="19">
                  <c:v>19.28473039599675</c:v>
                </c:pt>
                <c:pt idx="20">
                  <c:v>18.44626385704037</c:v>
                </c:pt>
                <c:pt idx="21">
                  <c:v>17.67766952966369</c:v>
                </c:pt>
                <c:pt idx="22">
                  <c:v>16.97056274847714</c:v>
                </c:pt>
                <c:pt idx="23">
                  <c:v>16.31784879661263</c:v>
                </c:pt>
              </c:numCache>
            </c:numRef>
          </c:yVal>
          <c:smooth val="1"/>
        </c:ser>
        <c:ser>
          <c:idx val="1"/>
          <c:order val="1"/>
          <c:tx>
            <c:strRef>
              <c:f>'POQ Model'!$D$36</c:f>
              <c:strCache>
                <c:ptCount val="1"/>
                <c:pt idx="0">
                  <c:v>Holding cost</c:v>
                </c:pt>
              </c:strCache>
            </c:strRef>
          </c:tx>
          <c:marker>
            <c:symbol val="none"/>
          </c:marker>
          <c:xVal>
            <c:numRef>
              <c:f>'POQ Model'!$B$37:$B$60</c:f>
              <c:numCache>
                <c:formatCode>0.00</c:formatCode>
                <c:ptCount val="24"/>
                <c:pt idx="0">
                  <c:v>70.71067811865475</c:v>
                </c:pt>
                <c:pt idx="1">
                  <c:v>94.28090415820634</c:v>
                </c:pt>
                <c:pt idx="2">
                  <c:v>117.8511301977579</c:v>
                </c:pt>
                <c:pt idx="3">
                  <c:v>141.4213562373095</c:v>
                </c:pt>
                <c:pt idx="4">
                  <c:v>164.9915822768611</c:v>
                </c:pt>
                <c:pt idx="5">
                  <c:v>188.5618083164127</c:v>
                </c:pt>
                <c:pt idx="6">
                  <c:v>212.1320343559643</c:v>
                </c:pt>
                <c:pt idx="7">
                  <c:v>235.7022603955159</c:v>
                </c:pt>
                <c:pt idx="8">
                  <c:v>259.2724864350674</c:v>
                </c:pt>
                <c:pt idx="9">
                  <c:v>282.842712474619</c:v>
                </c:pt>
                <c:pt idx="10">
                  <c:v>306.4129385141706</c:v>
                </c:pt>
                <c:pt idx="11">
                  <c:v>329.9831645537222</c:v>
                </c:pt>
                <c:pt idx="12">
                  <c:v>353.5533905932738</c:v>
                </c:pt>
                <c:pt idx="13">
                  <c:v>377.1236166328254</c:v>
                </c:pt>
                <c:pt idx="14">
                  <c:v>400.693842672377</c:v>
                </c:pt>
                <c:pt idx="15">
                  <c:v>424.2640687119285</c:v>
                </c:pt>
                <c:pt idx="16">
                  <c:v>447.8342947514801</c:v>
                </c:pt>
                <c:pt idx="17">
                  <c:v>471.4045207910317</c:v>
                </c:pt>
                <c:pt idx="18">
                  <c:v>494.9747468305833</c:v>
                </c:pt>
                <c:pt idx="19">
                  <c:v>518.5449728701348</c:v>
                </c:pt>
                <c:pt idx="20">
                  <c:v>542.1151989096864</c:v>
                </c:pt>
                <c:pt idx="21">
                  <c:v>565.685424949238</c:v>
                </c:pt>
                <c:pt idx="22">
                  <c:v>589.2556509887896</c:v>
                </c:pt>
                <c:pt idx="23">
                  <c:v>612.8258770283412</c:v>
                </c:pt>
              </c:numCache>
            </c:numRef>
          </c:xVal>
          <c:yVal>
            <c:numRef>
              <c:f>'POQ Model'!$D$37:$D$60</c:f>
              <c:numCache>
                <c:formatCode>0.00</c:formatCode>
                <c:ptCount val="24"/>
                <c:pt idx="0">
                  <c:v>8.838834764831844</c:v>
                </c:pt>
                <c:pt idx="1">
                  <c:v>11.78511301977579</c:v>
                </c:pt>
                <c:pt idx="2">
                  <c:v>14.73139127471974</c:v>
                </c:pt>
                <c:pt idx="3">
                  <c:v>17.67766952966369</c:v>
                </c:pt>
                <c:pt idx="4">
                  <c:v>20.62394778460764</c:v>
                </c:pt>
                <c:pt idx="5">
                  <c:v>23.57022603955159</c:v>
                </c:pt>
                <c:pt idx="6">
                  <c:v>26.51650429449553</c:v>
                </c:pt>
                <c:pt idx="7">
                  <c:v>29.46278254943948</c:v>
                </c:pt>
                <c:pt idx="8">
                  <c:v>32.40906080438343</c:v>
                </c:pt>
                <c:pt idx="9">
                  <c:v>35.35533905932738</c:v>
                </c:pt>
                <c:pt idx="10">
                  <c:v>38.30161731427133</c:v>
                </c:pt>
                <c:pt idx="11">
                  <c:v>41.24789556921527</c:v>
                </c:pt>
                <c:pt idx="12">
                  <c:v>44.19417382415922</c:v>
                </c:pt>
                <c:pt idx="13">
                  <c:v>47.14045207910317</c:v>
                </c:pt>
                <c:pt idx="14">
                  <c:v>50.08673033404712</c:v>
                </c:pt>
                <c:pt idx="15">
                  <c:v>53.03300858899107</c:v>
                </c:pt>
                <c:pt idx="16">
                  <c:v>55.97928684393501</c:v>
                </c:pt>
                <c:pt idx="17">
                  <c:v>58.92556509887896</c:v>
                </c:pt>
                <c:pt idx="18">
                  <c:v>61.87184335382291</c:v>
                </c:pt>
                <c:pt idx="19">
                  <c:v>64.81812160876685</c:v>
                </c:pt>
                <c:pt idx="20">
                  <c:v>67.7643998637108</c:v>
                </c:pt>
                <c:pt idx="21">
                  <c:v>70.71067811865475</c:v>
                </c:pt>
                <c:pt idx="22">
                  <c:v>73.6569563735987</c:v>
                </c:pt>
                <c:pt idx="23">
                  <c:v>76.60323462854265</c:v>
                </c:pt>
              </c:numCache>
            </c:numRef>
          </c:yVal>
          <c:smooth val="1"/>
        </c:ser>
        <c:ser>
          <c:idx val="2"/>
          <c:order val="2"/>
          <c:tx>
            <c:strRef>
              <c:f>'POQ Model'!$E$36</c:f>
              <c:strCache>
                <c:ptCount val="1"/>
                <c:pt idx="0">
                  <c:v>Total cost</c:v>
                </c:pt>
              </c:strCache>
            </c:strRef>
          </c:tx>
          <c:marker>
            <c:symbol val="none"/>
          </c:marker>
          <c:xVal>
            <c:numRef>
              <c:f>'POQ Model'!$B$37:$B$60</c:f>
              <c:numCache>
                <c:formatCode>0.00</c:formatCode>
                <c:ptCount val="24"/>
                <c:pt idx="0">
                  <c:v>70.71067811865475</c:v>
                </c:pt>
                <c:pt idx="1">
                  <c:v>94.28090415820634</c:v>
                </c:pt>
                <c:pt idx="2">
                  <c:v>117.8511301977579</c:v>
                </c:pt>
                <c:pt idx="3">
                  <c:v>141.4213562373095</c:v>
                </c:pt>
                <c:pt idx="4">
                  <c:v>164.9915822768611</c:v>
                </c:pt>
                <c:pt idx="5">
                  <c:v>188.5618083164127</c:v>
                </c:pt>
                <c:pt idx="6">
                  <c:v>212.1320343559643</c:v>
                </c:pt>
                <c:pt idx="7">
                  <c:v>235.7022603955159</c:v>
                </c:pt>
                <c:pt idx="8">
                  <c:v>259.2724864350674</c:v>
                </c:pt>
                <c:pt idx="9">
                  <c:v>282.842712474619</c:v>
                </c:pt>
                <c:pt idx="10">
                  <c:v>306.4129385141706</c:v>
                </c:pt>
                <c:pt idx="11">
                  <c:v>329.9831645537222</c:v>
                </c:pt>
                <c:pt idx="12">
                  <c:v>353.5533905932738</c:v>
                </c:pt>
                <c:pt idx="13">
                  <c:v>377.1236166328254</c:v>
                </c:pt>
                <c:pt idx="14">
                  <c:v>400.693842672377</c:v>
                </c:pt>
                <c:pt idx="15">
                  <c:v>424.2640687119285</c:v>
                </c:pt>
                <c:pt idx="16">
                  <c:v>447.8342947514801</c:v>
                </c:pt>
                <c:pt idx="17">
                  <c:v>471.4045207910317</c:v>
                </c:pt>
                <c:pt idx="18">
                  <c:v>494.9747468305833</c:v>
                </c:pt>
                <c:pt idx="19">
                  <c:v>518.5449728701348</c:v>
                </c:pt>
                <c:pt idx="20">
                  <c:v>542.1151989096864</c:v>
                </c:pt>
                <c:pt idx="21">
                  <c:v>565.685424949238</c:v>
                </c:pt>
                <c:pt idx="22">
                  <c:v>589.2556509887896</c:v>
                </c:pt>
                <c:pt idx="23">
                  <c:v>612.8258770283412</c:v>
                </c:pt>
              </c:numCache>
            </c:numRef>
          </c:xVal>
          <c:yVal>
            <c:numRef>
              <c:f>'POQ Model'!$E$37:$E$60</c:f>
              <c:numCache>
                <c:formatCode>0.00</c:formatCode>
                <c:ptCount val="24"/>
                <c:pt idx="0">
                  <c:v>150.2601910021414</c:v>
                </c:pt>
                <c:pt idx="1">
                  <c:v>117.8511301977579</c:v>
                </c:pt>
                <c:pt idx="2">
                  <c:v>99.58420501710544</c:v>
                </c:pt>
                <c:pt idx="3">
                  <c:v>88.38834764831844</c:v>
                </c:pt>
                <c:pt idx="4">
                  <c:v>81.23310045774027</c:v>
                </c:pt>
                <c:pt idx="5">
                  <c:v>76.60323462854265</c:v>
                </c:pt>
                <c:pt idx="6">
                  <c:v>73.6569563735987</c:v>
                </c:pt>
                <c:pt idx="7">
                  <c:v>71.88918942063233</c:v>
                </c:pt>
                <c:pt idx="8">
                  <c:v>70.97852159637694</c:v>
                </c:pt>
                <c:pt idx="9">
                  <c:v>70.71067811865475</c:v>
                </c:pt>
                <c:pt idx="10">
                  <c:v>70.93731490749658</c:v>
                </c:pt>
                <c:pt idx="11">
                  <c:v>71.5524719057816</c:v>
                </c:pt>
                <c:pt idx="12">
                  <c:v>72.47844507162112</c:v>
                </c:pt>
                <c:pt idx="13">
                  <c:v>73.6569563735987</c:v>
                </c:pt>
                <c:pt idx="14">
                  <c:v>75.0434402582782</c:v>
                </c:pt>
                <c:pt idx="15">
                  <c:v>76.60323462854265</c:v>
                </c:pt>
                <c:pt idx="16">
                  <c:v>78.30897467087863</c:v>
                </c:pt>
                <c:pt idx="17">
                  <c:v>80.13876853447539</c:v>
                </c:pt>
                <c:pt idx="18">
                  <c:v>82.07489424486712</c:v>
                </c:pt>
                <c:pt idx="19">
                  <c:v>84.10285200476361</c:v>
                </c:pt>
                <c:pt idx="20">
                  <c:v>86.21066372075117</c:v>
                </c:pt>
                <c:pt idx="21">
                  <c:v>88.38834764831844</c:v>
                </c:pt>
                <c:pt idx="22">
                  <c:v>90.62751912207584</c:v>
                </c:pt>
                <c:pt idx="23">
                  <c:v>92.92108342515528</c:v>
                </c:pt>
              </c:numCache>
            </c:numRef>
          </c:yVal>
          <c:smooth val="1"/>
        </c:ser>
        <c:ser>
          <c:idx val="3"/>
          <c:order val="3"/>
          <c:tx>
            <c:v>POQ</c:v>
          </c:tx>
          <c:spPr>
            <a:ln>
              <a:prstDash val="sysDot"/>
            </a:ln>
          </c:spPr>
          <c:marker>
            <c:symbol val="none"/>
          </c:marker>
          <c:xVal>
            <c:numRef>
              <c:f>'POQ Model'!$B$62:$B$63</c:f>
              <c:numCache>
                <c:formatCode>0.00</c:formatCode>
                <c:ptCount val="2"/>
                <c:pt idx="0">
                  <c:v>282.842712474619</c:v>
                </c:pt>
                <c:pt idx="1">
                  <c:v>282.842712474619</c:v>
                </c:pt>
              </c:numCache>
            </c:numRef>
          </c:xVal>
          <c:yVal>
            <c:numRef>
              <c:f>'POQ Model'!$C$62:$C$63</c:f>
              <c:numCache>
                <c:formatCode>0.00</c:formatCode>
                <c:ptCount val="2"/>
                <c:pt idx="0">
                  <c:v>0.0</c:v>
                </c:pt>
                <c:pt idx="1">
                  <c:v>70.71067811865475</c:v>
                </c:pt>
              </c:numCache>
            </c:numRef>
          </c:yVal>
          <c:smooth val="1"/>
        </c:ser>
        <c:dLbls>
          <c:showLegendKey val="0"/>
          <c:showVal val="0"/>
          <c:showCatName val="0"/>
          <c:showSerName val="0"/>
          <c:showPercent val="0"/>
          <c:showBubbleSize val="0"/>
        </c:dLbls>
        <c:axId val="-2121566216"/>
        <c:axId val="-2121976648"/>
      </c:scatterChart>
      <c:valAx>
        <c:axId val="-2121566216"/>
        <c:scaling>
          <c:orientation val="minMax"/>
        </c:scaling>
        <c:delete val="0"/>
        <c:axPos val="b"/>
        <c:numFmt formatCode="0.00" sourceLinked="1"/>
        <c:majorTickMark val="out"/>
        <c:minorTickMark val="none"/>
        <c:tickLblPos val="nextTo"/>
        <c:crossAx val="-2121976648"/>
        <c:crosses val="autoZero"/>
        <c:crossBetween val="midCat"/>
      </c:valAx>
      <c:valAx>
        <c:axId val="-2121976648"/>
        <c:scaling>
          <c:orientation val="minMax"/>
        </c:scaling>
        <c:delete val="0"/>
        <c:axPos val="l"/>
        <c:majorGridlines/>
        <c:numFmt formatCode="0.00" sourceLinked="1"/>
        <c:majorTickMark val="out"/>
        <c:minorTickMark val="none"/>
        <c:tickLblPos val="nextTo"/>
        <c:crossAx val="-2121566216"/>
        <c:crosses val="autoZero"/>
        <c:crossBetween val="midCat"/>
      </c:valAx>
      <c:spPr>
        <a:gradFill flip="none" rotWithShape="1">
          <a:gsLst>
            <a:gs pos="0">
              <a:srgbClr val="9AB5E4"/>
            </a:gs>
            <a:gs pos="100000">
              <a:srgbClr val="FFFFFF"/>
            </a:gs>
          </a:gsLst>
          <a:lin ang="5400000" scaled="1"/>
          <a:tileRect/>
        </a:gradFill>
      </c:spPr>
    </c:plotArea>
    <c:legend>
      <c:legendPos val="b"/>
      <c:overlay val="0"/>
    </c:legend>
    <c:plotVisOnly val="1"/>
    <c:dispBlanksAs val="gap"/>
    <c:showDLblsOverMax val="0"/>
  </c:chart>
  <c:printSettings>
    <c:headerFooter/>
    <c:pageMargins b="1.0" l="0.75" r="0.75" t="1.0" header="0.5" footer="0.5"/>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0" u="none" strike="noStrike" baseline="0">
                <a:latin typeface="Calibri"/>
                <a:ea typeface="Calibri"/>
                <a:cs typeface="Calibri"/>
              </a:defRPr>
            </a:pPr>
            <a:r>
              <a:rPr lang="en-US"/>
              <a:t>Total Cost vs Order Quantity</a:t>
            </a:r>
          </a:p>
        </c:rich>
      </c:tx>
      <c:overlay val="0"/>
      <c:spPr>
        <a:effectLst/>
      </c:spPr>
    </c:title>
    <c:autoTitleDeleted val="0"/>
    <c:plotArea>
      <c:layout/>
      <c:lineChart>
        <c:grouping val="standard"/>
        <c:varyColors val="0"/>
        <c:ser>
          <c:idx val="0"/>
          <c:order val="0"/>
          <c:tx>
            <c:strRef>
              <c:f>'Quantity Discount Model'!$G$29</c:f>
              <c:strCache>
                <c:ptCount val="1"/>
                <c:pt idx="0">
                  <c:v>Total Costs</c:v>
                </c:pt>
              </c:strCache>
            </c:strRef>
          </c:tx>
          <c:marker>
            <c:symbol val="none"/>
          </c:marker>
          <c:cat>
            <c:numRef>
              <c:f>'Quantity Discount Model'!$B$30:$B$53</c:f>
              <c:numCache>
                <c:formatCode>General</c:formatCode>
                <c:ptCount val="24"/>
                <c:pt idx="0">
                  <c:v>250.0</c:v>
                </c:pt>
                <c:pt idx="1">
                  <c:v>312.5</c:v>
                </c:pt>
                <c:pt idx="2">
                  <c:v>375.0</c:v>
                </c:pt>
                <c:pt idx="3">
                  <c:v>437.5</c:v>
                </c:pt>
                <c:pt idx="4">
                  <c:v>500.0</c:v>
                </c:pt>
                <c:pt idx="5">
                  <c:v>562.5</c:v>
                </c:pt>
                <c:pt idx="6">
                  <c:v>625.0</c:v>
                </c:pt>
                <c:pt idx="7">
                  <c:v>687.5</c:v>
                </c:pt>
                <c:pt idx="8">
                  <c:v>750.0</c:v>
                </c:pt>
                <c:pt idx="9">
                  <c:v>812.5</c:v>
                </c:pt>
                <c:pt idx="10">
                  <c:v>875.0</c:v>
                </c:pt>
                <c:pt idx="11">
                  <c:v>937.5</c:v>
                </c:pt>
                <c:pt idx="12">
                  <c:v>1000.0</c:v>
                </c:pt>
                <c:pt idx="13">
                  <c:v>1062.5</c:v>
                </c:pt>
                <c:pt idx="14">
                  <c:v>1125.0</c:v>
                </c:pt>
                <c:pt idx="15">
                  <c:v>1187.5</c:v>
                </c:pt>
                <c:pt idx="16">
                  <c:v>1250.0</c:v>
                </c:pt>
                <c:pt idx="17">
                  <c:v>1312.5</c:v>
                </c:pt>
                <c:pt idx="18">
                  <c:v>1375.0</c:v>
                </c:pt>
                <c:pt idx="19">
                  <c:v>1437.5</c:v>
                </c:pt>
                <c:pt idx="20">
                  <c:v>1500.0</c:v>
                </c:pt>
                <c:pt idx="21">
                  <c:v>1562.5</c:v>
                </c:pt>
                <c:pt idx="22">
                  <c:v>1625.0</c:v>
                </c:pt>
                <c:pt idx="23">
                  <c:v>1687.5</c:v>
                </c:pt>
              </c:numCache>
            </c:numRef>
          </c:cat>
          <c:val>
            <c:numRef>
              <c:f>'Quantity Discount Model'!$G$30:$G$53</c:f>
              <c:numCache>
                <c:formatCode>General</c:formatCode>
                <c:ptCount val="24"/>
                <c:pt idx="0">
                  <c:v>517190.0</c:v>
                </c:pt>
                <c:pt idx="1">
                  <c:v>517215.5</c:v>
                </c:pt>
                <c:pt idx="2">
                  <c:v>517518.3333333333</c:v>
                </c:pt>
                <c:pt idx="3">
                  <c:v>517979.6428571428</c:v>
                </c:pt>
                <c:pt idx="4">
                  <c:v>518540.0</c:v>
                </c:pt>
                <c:pt idx="5">
                  <c:v>519166.3888888889</c:v>
                </c:pt>
                <c:pt idx="6">
                  <c:v>519839.0</c:v>
                </c:pt>
                <c:pt idx="7">
                  <c:v>520545.2272727273</c:v>
                </c:pt>
                <c:pt idx="8">
                  <c:v>521276.6666666667</c:v>
                </c:pt>
                <c:pt idx="9">
                  <c:v>522027.5</c:v>
                </c:pt>
                <c:pt idx="10">
                  <c:v>522793.5714285714</c:v>
                </c:pt>
                <c:pt idx="11">
                  <c:v>523571.8333333333</c:v>
                </c:pt>
                <c:pt idx="12">
                  <c:v>524360.0</c:v>
                </c:pt>
                <c:pt idx="13">
                  <c:v>525156.3235294118</c:v>
                </c:pt>
                <c:pt idx="14">
                  <c:v>525959.4444444445</c:v>
                </c:pt>
                <c:pt idx="15">
                  <c:v>526768.2894736842</c:v>
                </c:pt>
                <c:pt idx="16">
                  <c:v>527582.0</c:v>
                </c:pt>
                <c:pt idx="17">
                  <c:v>528399.880952381</c:v>
                </c:pt>
                <c:pt idx="18">
                  <c:v>529221.3636363636</c:v>
                </c:pt>
                <c:pt idx="19">
                  <c:v>530045.9782608695</c:v>
                </c:pt>
                <c:pt idx="20">
                  <c:v>520053.3333333333</c:v>
                </c:pt>
                <c:pt idx="21">
                  <c:v>520865.6</c:v>
                </c:pt>
                <c:pt idx="22">
                  <c:v>521680.0</c:v>
                </c:pt>
                <c:pt idx="23">
                  <c:v>522496.2962962963</c:v>
                </c:pt>
              </c:numCache>
            </c:numRef>
          </c:val>
          <c:smooth val="0"/>
        </c:ser>
        <c:dLbls>
          <c:showLegendKey val="0"/>
          <c:showVal val="0"/>
          <c:showCatName val="0"/>
          <c:showSerName val="0"/>
          <c:showPercent val="0"/>
          <c:showBubbleSize val="0"/>
        </c:dLbls>
        <c:marker val="1"/>
        <c:smooth val="0"/>
        <c:axId val="-2122019080"/>
        <c:axId val="-2122013688"/>
      </c:lineChart>
      <c:catAx>
        <c:axId val="-2122019080"/>
        <c:scaling>
          <c:orientation val="minMax"/>
        </c:scaling>
        <c:delete val="0"/>
        <c:axPos val="b"/>
        <c:title>
          <c:tx>
            <c:rich>
              <a:bodyPr/>
              <a:lstStyle/>
              <a:p>
                <a:pPr>
                  <a:defRPr/>
                </a:pPr>
                <a:r>
                  <a:rPr lang="en-US"/>
                  <a:t>Quantity</a:t>
                </a:r>
              </a:p>
            </c:rich>
          </c:tx>
          <c:overlay val="0"/>
        </c:title>
        <c:numFmt formatCode="0.00" sourceLinked="0"/>
        <c:majorTickMark val="out"/>
        <c:minorTickMark val="none"/>
        <c:tickLblPos val="nextTo"/>
        <c:crossAx val="-2122013688"/>
        <c:crosses val="autoZero"/>
        <c:auto val="1"/>
        <c:lblAlgn val="ctr"/>
        <c:lblOffset val="100"/>
        <c:noMultiLvlLbl val="0"/>
      </c:catAx>
      <c:valAx>
        <c:axId val="-2122013688"/>
        <c:scaling>
          <c:orientation val="minMax"/>
        </c:scaling>
        <c:delete val="0"/>
        <c:axPos val="l"/>
        <c:title>
          <c:tx>
            <c:rich>
              <a:bodyPr/>
              <a:lstStyle/>
              <a:p>
                <a:pPr>
                  <a:defRPr/>
                </a:pPr>
                <a:r>
                  <a:rPr lang="en-US"/>
                  <a:t>Cost</a:t>
                </a:r>
              </a:p>
            </c:rich>
          </c:tx>
          <c:overlay val="0"/>
        </c:title>
        <c:numFmt formatCode="General" sourceLinked="1"/>
        <c:majorTickMark val="out"/>
        <c:minorTickMark val="none"/>
        <c:tickLblPos val="nextTo"/>
        <c:crossAx val="-2122019080"/>
        <c:crosses val="autoZero"/>
        <c:crossBetween val="midCat"/>
      </c:valAx>
      <c:spPr>
        <a:gradFill flip="none" rotWithShape="1">
          <a:gsLst>
            <a:gs pos="0">
              <a:srgbClr val="9AB5E4"/>
            </a:gs>
            <a:gs pos="100000">
              <a:srgbClr val="FFFFFF"/>
            </a:gs>
          </a:gsLst>
          <a:lin ang="5400000" scaled="1"/>
          <a:tileRect/>
        </a:gradFill>
      </c:spPr>
    </c:plotArea>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1.0" l="0.75" r="0.75" t="1.0" header="0.5" footer="0.5"/>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lang="en-US"/>
            </a:pPr>
            <a:r>
              <a:rPr lang="en-US"/>
              <a:t>Learning Curve</a:t>
            </a:r>
          </a:p>
        </c:rich>
      </c:tx>
      <c:overlay val="0"/>
    </c:title>
    <c:autoTitleDeleted val="0"/>
    <c:plotArea>
      <c:layout/>
      <c:lineChart>
        <c:grouping val="standard"/>
        <c:varyColors val="0"/>
        <c:ser>
          <c:idx val="0"/>
          <c:order val="0"/>
          <c:val>
            <c:numRef>
              <c:f>'Determining Times'!$B$16:$B$18</c:f>
              <c:numCache>
                <c:formatCode>General</c:formatCode>
                <c:ptCount val="3"/>
                <c:pt idx="0">
                  <c:v>100.0</c:v>
                </c:pt>
                <c:pt idx="1">
                  <c:v>80.0</c:v>
                </c:pt>
                <c:pt idx="2">
                  <c:v>70.21037027785601</c:v>
                </c:pt>
              </c:numCache>
            </c:numRef>
          </c:val>
          <c:smooth val="0"/>
        </c:ser>
        <c:dLbls>
          <c:showLegendKey val="0"/>
          <c:showVal val="0"/>
          <c:showCatName val="0"/>
          <c:showSerName val="0"/>
          <c:showPercent val="0"/>
          <c:showBubbleSize val="0"/>
        </c:dLbls>
        <c:marker val="1"/>
        <c:smooth val="0"/>
        <c:axId val="2143246072"/>
        <c:axId val="2142815704"/>
      </c:lineChart>
      <c:catAx>
        <c:axId val="2143246072"/>
        <c:scaling>
          <c:orientation val="minMax"/>
        </c:scaling>
        <c:delete val="0"/>
        <c:axPos val="b"/>
        <c:title>
          <c:tx>
            <c:rich>
              <a:bodyPr/>
              <a:lstStyle/>
              <a:p>
                <a:pPr>
                  <a:defRPr lang="en-US"/>
                </a:pPr>
                <a:r>
                  <a:rPr lang="en-US"/>
                  <a:t>Unit</a:t>
                </a:r>
              </a:p>
            </c:rich>
          </c:tx>
          <c:overlay val="0"/>
        </c:title>
        <c:majorTickMark val="out"/>
        <c:minorTickMark val="none"/>
        <c:tickLblPos val="nextTo"/>
        <c:crossAx val="2142815704"/>
        <c:crosses val="autoZero"/>
        <c:auto val="1"/>
        <c:lblAlgn val="ctr"/>
        <c:lblOffset val="100"/>
        <c:noMultiLvlLbl val="0"/>
      </c:catAx>
      <c:valAx>
        <c:axId val="2142815704"/>
        <c:scaling>
          <c:orientation val="minMax"/>
        </c:scaling>
        <c:delete val="0"/>
        <c:axPos val="l"/>
        <c:majorGridlines/>
        <c:title>
          <c:tx>
            <c:rich>
              <a:bodyPr/>
              <a:lstStyle/>
              <a:p>
                <a:pPr>
                  <a:defRPr lang="en-US"/>
                </a:pPr>
                <a:r>
                  <a:rPr lang="en-US"/>
                  <a:t>Time</a:t>
                </a:r>
              </a:p>
            </c:rich>
          </c:tx>
          <c:overlay val="0"/>
        </c:title>
        <c:numFmt formatCode="General" sourceLinked="1"/>
        <c:majorTickMark val="out"/>
        <c:minorTickMark val="none"/>
        <c:tickLblPos val="nextTo"/>
        <c:crossAx val="2143246072"/>
        <c:crosses val="autoZero"/>
        <c:crossBetween val="between"/>
      </c:valAx>
    </c:plotArea>
    <c:plotVisOnly val="1"/>
    <c:dispBlanksAs val="gap"/>
    <c:showDLblsOverMax val="0"/>
  </c:chart>
  <c:printSettings>
    <c:headerFooter/>
    <c:pageMargins b="1.0" l="0.75" r="0.75" t="1.0"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lang="en-US"/>
            </a:pPr>
            <a:r>
              <a:rPr lang="en-US"/>
              <a:t>Learning Curve</a:t>
            </a:r>
          </a:p>
        </c:rich>
      </c:tx>
      <c:overlay val="0"/>
    </c:title>
    <c:autoTitleDeleted val="0"/>
    <c:plotArea>
      <c:layout>
        <c:manualLayout>
          <c:layoutTarget val="inner"/>
          <c:xMode val="edge"/>
          <c:yMode val="edge"/>
          <c:x val="0.049090156706836"/>
          <c:y val="0.14888178913738"/>
          <c:w val="0.933712312237984"/>
          <c:h val="0.699851072928983"/>
        </c:manualLayout>
      </c:layout>
      <c:lineChart>
        <c:grouping val="standard"/>
        <c:varyColors val="0"/>
        <c:ser>
          <c:idx val="0"/>
          <c:order val="0"/>
          <c:val>
            <c:numRef>
              <c:f>'Determining Rates'!$B$18:$B$62</c:f>
              <c:numCache>
                <c:formatCode>General</c:formatCode>
                <c:ptCount val="45"/>
                <c:pt idx="0">
                  <c:v>448.0</c:v>
                </c:pt>
                <c:pt idx="1">
                  <c:v>380.9853614928896</c:v>
                </c:pt>
                <c:pt idx="2">
                  <c:v>346.5330324424199</c:v>
                </c:pt>
                <c:pt idx="3">
                  <c:v>323.9951912318477</c:v>
                </c:pt>
                <c:pt idx="4">
                  <c:v>307.5279356671716</c:v>
                </c:pt>
                <c:pt idx="5">
                  <c:v>294.6964567729968</c:v>
                </c:pt>
                <c:pt idx="6">
                  <c:v>284.2661978637553</c:v>
                </c:pt>
                <c:pt idx="7">
                  <c:v>275.5299666371058</c:v>
                </c:pt>
                <c:pt idx="8">
                  <c:v>268.0471932449537</c:v>
                </c:pt>
                <c:pt idx="9">
                  <c:v>261.5259860252666</c:v>
                </c:pt>
                <c:pt idx="10">
                  <c:v>255.7636158059956</c:v>
                </c:pt>
                <c:pt idx="11">
                  <c:v>250.6139198980667</c:v>
                </c:pt>
                <c:pt idx="12">
                  <c:v>245.9682716186618</c:v>
                </c:pt>
                <c:pt idx="13">
                  <c:v>241.7438842708306</c:v>
                </c:pt>
                <c:pt idx="14">
                  <c:v>237.8763127399606</c:v>
                </c:pt>
                <c:pt idx="15">
                  <c:v>234.3144730833963</c:v>
                </c:pt>
                <c:pt idx="16">
                  <c:v>231.0172335087608</c:v>
                </c:pt>
                <c:pt idx="17">
                  <c:v>227.9510196776408</c:v>
                </c:pt>
                <c:pt idx="18">
                  <c:v>225.0880941404161</c:v>
                </c:pt>
                <c:pt idx="19">
                  <c:v>222.4052953696888</c:v>
                </c:pt>
                <c:pt idx="20">
                  <c:v>219.883097246884</c:v>
                </c:pt>
                <c:pt idx="21">
                  <c:v>217.504896483428</c:v>
                </c:pt>
                <c:pt idx="22">
                  <c:v>215.256465085694</c:v>
                </c:pt>
                <c:pt idx="23">
                  <c:v>213.1255242578461</c:v>
                </c:pt>
                <c:pt idx="24">
                  <c:v>211.1014089636428</c:v>
                </c:pt>
                <c:pt idx="25">
                  <c:v>209.1748010678953</c:v>
                </c:pt>
                <c:pt idx="26">
                  <c:v>207.3375149840471</c:v>
                </c:pt>
                <c:pt idx="27">
                  <c:v>205.5823239678965</c:v>
                </c:pt>
                <c:pt idx="28">
                  <c:v>203.9028181976633</c:v>
                </c:pt>
                <c:pt idx="29">
                  <c:v>202.2932879460482</c:v>
                </c:pt>
                <c:pt idx="30">
                  <c:v>200.7486267326014</c:v>
                </c:pt>
                <c:pt idx="31">
                  <c:v>199.2642505149413</c:v>
                </c:pt>
                <c:pt idx="32">
                  <c:v>197.836029851986</c:v>
                </c:pt>
                <c:pt idx="33">
                  <c:v>196.4602326326395</c:v>
                </c:pt>
                <c:pt idx="34">
                  <c:v>195.1334754665098</c:v>
                </c:pt>
                <c:pt idx="35">
                  <c:v>193.8526822199973</c:v>
                </c:pt>
                <c:pt idx="36">
                  <c:v>192.6150484808489</c:v>
                </c:pt>
                <c:pt idx="37">
                  <c:v>191.418010968375</c:v>
                </c:pt>
                <c:pt idx="38">
                  <c:v>190.2592210907046</c:v>
                </c:pt>
                <c:pt idx="39">
                  <c:v>189.1365219963254</c:v>
                </c:pt>
                <c:pt idx="40">
                  <c:v>188.0479285834551</c:v>
                </c:pt>
                <c:pt idx="41">
                  <c:v>186.9916100240632</c:v>
                </c:pt>
                <c:pt idx="42">
                  <c:v>185.9658744346135</c:v>
                </c:pt>
                <c:pt idx="43">
                  <c:v>184.9691553866348</c:v>
                </c:pt>
                <c:pt idx="44">
                  <c:v>184.0</c:v>
                </c:pt>
              </c:numCache>
            </c:numRef>
          </c:val>
          <c:smooth val="0"/>
        </c:ser>
        <c:dLbls>
          <c:showLegendKey val="0"/>
          <c:showVal val="0"/>
          <c:showCatName val="0"/>
          <c:showSerName val="0"/>
          <c:showPercent val="0"/>
          <c:showBubbleSize val="0"/>
        </c:dLbls>
        <c:marker val="1"/>
        <c:smooth val="0"/>
        <c:axId val="2111527416"/>
        <c:axId val="2142581096"/>
      </c:lineChart>
      <c:catAx>
        <c:axId val="2111527416"/>
        <c:scaling>
          <c:orientation val="minMax"/>
        </c:scaling>
        <c:delete val="0"/>
        <c:axPos val="b"/>
        <c:title>
          <c:tx>
            <c:rich>
              <a:bodyPr/>
              <a:lstStyle/>
              <a:p>
                <a:pPr>
                  <a:defRPr lang="en-US"/>
                </a:pPr>
                <a:r>
                  <a:rPr lang="en-US"/>
                  <a:t>Unit</a:t>
                </a:r>
              </a:p>
            </c:rich>
          </c:tx>
          <c:overlay val="0"/>
        </c:title>
        <c:majorTickMark val="out"/>
        <c:minorTickMark val="none"/>
        <c:tickLblPos val="nextTo"/>
        <c:crossAx val="2142581096"/>
        <c:crosses val="autoZero"/>
        <c:auto val="1"/>
        <c:lblAlgn val="ctr"/>
        <c:lblOffset val="100"/>
        <c:noMultiLvlLbl val="0"/>
      </c:catAx>
      <c:valAx>
        <c:axId val="2142581096"/>
        <c:scaling>
          <c:orientation val="minMax"/>
        </c:scaling>
        <c:delete val="0"/>
        <c:axPos val="l"/>
        <c:majorGridlines/>
        <c:title>
          <c:tx>
            <c:rich>
              <a:bodyPr/>
              <a:lstStyle/>
              <a:p>
                <a:pPr>
                  <a:defRPr lang="en-US"/>
                </a:pPr>
                <a:r>
                  <a:rPr lang="en-US"/>
                  <a:t>Time</a:t>
                </a:r>
              </a:p>
            </c:rich>
          </c:tx>
          <c:overlay val="0"/>
        </c:title>
        <c:numFmt formatCode="General" sourceLinked="1"/>
        <c:majorTickMark val="out"/>
        <c:minorTickMark val="none"/>
        <c:tickLblPos val="nextTo"/>
        <c:crossAx val="2111527416"/>
        <c:crosses val="autoZero"/>
        <c:crossBetween val="between"/>
      </c:valAx>
    </c:plotArea>
    <c:plotVisOnly val="1"/>
    <c:dispBlanksAs val="gap"/>
    <c:showDLblsOverMax val="0"/>
  </c:chart>
  <c:printSettings>
    <c:headerFooter/>
    <c:pageMargins b="1.0" l="0.75" r="0.75" t="1.0" header="0.5" footer="0.5"/>
    <c:pageSetup/>
  </c:printSettings>
</c:chartSpace>
</file>

<file path=xl/ctrlProps/ctrlProp1.xml><?xml version="1.0" encoding="utf-8"?>
<formControlPr xmlns="http://schemas.microsoft.com/office/spreadsheetml/2009/9/main" objectType="Scroll" dx="16" fmlaLink="$B$6" horiz="1" max="12" min="1" page="0" val="3"/>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Button" lockText="1"/>
</file>

<file path=xl/ctrlProps/ctrlProp19.xml><?xml version="1.0" encoding="utf-8"?>
<formControlPr xmlns="http://schemas.microsoft.com/office/spreadsheetml/2009/9/main" objectType="Button" lockText="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Button" lockText="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ctrlProps/ctrlProp26.xml><?xml version="1.0" encoding="utf-8"?>
<formControlPr xmlns="http://schemas.microsoft.com/office/spreadsheetml/2009/9/main" objectType="Button" lockText="1"/>
</file>

<file path=xl/ctrlProps/ctrlProp27.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4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9.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50.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8</xdr:col>
      <xdr:colOff>63500</xdr:colOff>
      <xdr:row>21</xdr:row>
      <xdr:rowOff>0</xdr:rowOff>
    </xdr:from>
    <xdr:to>
      <xdr:col>12</xdr:col>
      <xdr:colOff>571500</xdr:colOff>
      <xdr:row>40</xdr:row>
      <xdr:rowOff>165100</xdr:rowOff>
    </xdr:to>
    <xdr:graphicFrame macro="">
      <xdr:nvGraphicFramePr>
        <xdr:cNvPr id="2" name="hjwGraph"/>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0</xdr:colOff>
          <xdr:row>4</xdr:row>
          <xdr:rowOff>177800</xdr:rowOff>
        </xdr:from>
        <xdr:to>
          <xdr:col>2</xdr:col>
          <xdr:colOff>596900</xdr:colOff>
          <xdr:row>5</xdr:row>
          <xdr:rowOff>177800</xdr:rowOff>
        </xdr:to>
        <xdr:sp macro="" textlink="">
          <xdr:nvSpPr>
            <xdr:cNvPr id="3074" name="Scroll Bar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0</xdr:colOff>
          <xdr:row>3</xdr:row>
          <xdr:rowOff>0</xdr:rowOff>
        </xdr:from>
        <xdr:to>
          <xdr:col>2</xdr:col>
          <xdr:colOff>0</xdr:colOff>
          <xdr:row>5</xdr:row>
          <xdr:rowOff>0</xdr:rowOff>
        </xdr:to>
        <xdr:sp macro="" textlink="">
          <xdr:nvSpPr>
            <xdr:cNvPr id="3075" name="Button 3" hidden="1">
              <a:extLst>
                <a:ext uri="{63B3BB69-23CF-44E3-9099-C40C66FF867C}">
                  <a14:compatExt spid="_x0000_s307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Errors as a function of n</a:t>
              </a:r>
            </a:p>
          </xdr:txBody>
        </xdr:sp>
        <xdr:clientData fPrintsWithSheet="0"/>
      </xdr:twoCellAnchor>
    </mc:Choice>
    <mc:Fallback/>
  </mc:AlternateContent>
  <xdr:twoCellAnchor>
    <xdr:from>
      <xdr:col>2</xdr:col>
      <xdr:colOff>139700</xdr:colOff>
      <xdr:row>3</xdr:row>
      <xdr:rowOff>0</xdr:rowOff>
    </xdr:from>
    <xdr:to>
      <xdr:col>4</xdr:col>
      <xdr:colOff>774700</xdr:colOff>
      <xdr:row>4</xdr:row>
      <xdr:rowOff>12700</xdr:rowOff>
    </xdr:to>
    <xdr:sp macro="" textlink="">
      <xdr:nvSpPr>
        <xdr:cNvPr id="3" name="messageTextbox"/>
        <xdr:cNvSpPr txBox="1"/>
      </xdr:nvSpPr>
      <xdr:spPr>
        <a:xfrm>
          <a:off x="1905000" y="647700"/>
          <a:ext cx="2286000" cy="2032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past demands in the data area</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11</xdr:col>
      <xdr:colOff>482600</xdr:colOff>
      <xdr:row>15</xdr:row>
      <xdr:rowOff>76200</xdr:rowOff>
    </xdr:from>
    <xdr:to>
      <xdr:col>16</xdr:col>
      <xdr:colOff>114300</xdr:colOff>
      <xdr:row>35</xdr:row>
      <xdr:rowOff>38100</xdr:rowOff>
    </xdr:to>
    <xdr:graphicFrame macro="">
      <xdr:nvGraphicFramePr>
        <xdr:cNvPr id="2" name="hjwGraph"/>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254000</xdr:colOff>
      <xdr:row>3</xdr:row>
      <xdr:rowOff>0</xdr:rowOff>
    </xdr:from>
    <xdr:to>
      <xdr:col>3</xdr:col>
      <xdr:colOff>584200</xdr:colOff>
      <xdr:row>5</xdr:row>
      <xdr:rowOff>63500</xdr:rowOff>
    </xdr:to>
    <xdr:sp macro="" textlink="">
      <xdr:nvSpPr>
        <xdr:cNvPr id="3" name="messageTextbox"/>
        <xdr:cNvSpPr txBox="1"/>
      </xdr:nvSpPr>
      <xdr:spPr>
        <a:xfrm>
          <a:off x="254000" y="647700"/>
          <a:ext cx="2921000" cy="444500"/>
        </a:xfrm>
        <a:prstGeom prst="rect">
          <a:avLst/>
        </a:prstGeom>
        <a:solidFill>
          <a:srgbClr val="FF0000"/>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FFFFFF"/>
              </a:solidFill>
              <a:latin typeface="Arial"/>
            </a:rPr>
            <a:t>Enter the data in the shaded area. Enter weights in INCREASING order from top to bottom.</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0</xdr:col>
      <xdr:colOff>63500</xdr:colOff>
      <xdr:row>1</xdr:row>
      <xdr:rowOff>0</xdr:rowOff>
    </xdr:from>
    <xdr:to>
      <xdr:col>5</xdr:col>
      <xdr:colOff>647700</xdr:colOff>
      <xdr:row>3</xdr:row>
      <xdr:rowOff>76200</xdr:rowOff>
    </xdr:to>
    <xdr:sp macro="" textlink="">
      <xdr:nvSpPr>
        <xdr:cNvPr id="3" name="messageTextbox"/>
        <xdr:cNvSpPr txBox="1"/>
      </xdr:nvSpPr>
      <xdr:spPr>
        <a:xfrm>
          <a:off x="63500" y="228600"/>
          <a:ext cx="4826000" cy="4953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alpha (between 0 and 1), enter the past demands in the shaded column then enter a starting forecast. If the starting forecast is not in the first period then delete the error analysis for all rows above the starting forecast.</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11</xdr:col>
      <xdr:colOff>812800</xdr:colOff>
      <xdr:row>13</xdr:row>
      <xdr:rowOff>0</xdr:rowOff>
    </xdr:from>
    <xdr:to>
      <xdr:col>16</xdr:col>
      <xdr:colOff>495300</xdr:colOff>
      <xdr:row>32</xdr:row>
      <xdr:rowOff>152400</xdr:rowOff>
    </xdr:to>
    <xdr:graphicFrame macro="">
      <xdr:nvGraphicFramePr>
        <xdr:cNvPr id="2" name="hjwGraph"/>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3</xdr:row>
      <xdr:rowOff>0</xdr:rowOff>
    </xdr:from>
    <xdr:to>
      <xdr:col>5</xdr:col>
      <xdr:colOff>647700</xdr:colOff>
      <xdr:row>5</xdr:row>
      <xdr:rowOff>63500</xdr:rowOff>
    </xdr:to>
    <xdr:sp macro="" textlink="">
      <xdr:nvSpPr>
        <xdr:cNvPr id="3" name="messageTextbox"/>
        <xdr:cNvSpPr txBox="1"/>
      </xdr:nvSpPr>
      <xdr:spPr>
        <a:xfrm>
          <a:off x="63500" y="647700"/>
          <a:ext cx="4826000" cy="444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alpha and beta (between 0 and 1), enter the past demands in the shaded column then enter a starting forecast. If the starting forecast is not in the first period then delete the error analysis for all rows above the starting forecast.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10</xdr:col>
      <xdr:colOff>241300</xdr:colOff>
      <xdr:row>25</xdr:row>
      <xdr:rowOff>0</xdr:rowOff>
    </xdr:from>
    <xdr:to>
      <xdr:col>14</xdr:col>
      <xdr:colOff>685800</xdr:colOff>
      <xdr:row>36</xdr:row>
      <xdr:rowOff>19050</xdr:rowOff>
    </xdr:to>
    <xdr:graphicFrame macro="">
      <xdr:nvGraphicFramePr>
        <xdr:cNvPr id="2" name="hjwGraph"/>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10</xdr:col>
      <xdr:colOff>431800</xdr:colOff>
      <xdr:row>16</xdr:row>
      <xdr:rowOff>12700</xdr:rowOff>
    </xdr:from>
    <xdr:to>
      <xdr:col>15</xdr:col>
      <xdr:colOff>50800</xdr:colOff>
      <xdr:row>27</xdr:row>
      <xdr:rowOff>6350</xdr:rowOff>
    </xdr:to>
    <xdr:graphicFrame macro="">
      <xdr:nvGraphicFramePr>
        <xdr:cNvPr id="2" name="hjwGraph"/>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3</xdr:row>
      <xdr:rowOff>0</xdr:rowOff>
    </xdr:from>
    <xdr:to>
      <xdr:col>4</xdr:col>
      <xdr:colOff>457200</xdr:colOff>
      <xdr:row>5</xdr:row>
      <xdr:rowOff>127000</xdr:rowOff>
    </xdr:to>
    <xdr:sp macro="" textlink="">
      <xdr:nvSpPr>
        <xdr:cNvPr id="3" name="messageTextbox"/>
        <xdr:cNvSpPr txBox="1"/>
      </xdr:nvSpPr>
      <xdr:spPr>
        <a:xfrm>
          <a:off x="63500" y="647700"/>
          <a:ext cx="3810000" cy="5080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If this is trend analysis then simply enter the past demands in the demand column. If this is causal regression then enter the y,x pairs with y first and enter a new value of x at the bottom in order to forecast y.</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7</xdr:col>
      <xdr:colOff>165100</xdr:colOff>
      <xdr:row>2</xdr:row>
      <xdr:rowOff>190500</xdr:rowOff>
    </xdr:from>
    <xdr:to>
      <xdr:col>11</xdr:col>
      <xdr:colOff>38100</xdr:colOff>
      <xdr:row>4</xdr:row>
      <xdr:rowOff>88900</xdr:rowOff>
    </xdr:to>
    <xdr:sp macro="" textlink="">
      <xdr:nvSpPr>
        <xdr:cNvPr id="2" name="messageTextbox"/>
        <xdr:cNvSpPr txBox="1"/>
      </xdr:nvSpPr>
      <xdr:spPr>
        <a:xfrm>
          <a:off x="7213600" y="609600"/>
          <a:ext cx="3175000" cy="317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past demands in the data area. Do not change the time period numbers!</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254000</xdr:colOff>
      <xdr:row>3</xdr:row>
      <xdr:rowOff>0</xdr:rowOff>
    </xdr:from>
    <xdr:to>
      <xdr:col>3</xdr:col>
      <xdr:colOff>317500</xdr:colOff>
      <xdr:row>4</xdr:row>
      <xdr:rowOff>12700</xdr:rowOff>
    </xdr:to>
    <xdr:sp macro="" textlink="">
      <xdr:nvSpPr>
        <xdr:cNvPr id="2" name="messageTextbox"/>
        <xdr:cNvSpPr txBox="1"/>
      </xdr:nvSpPr>
      <xdr:spPr>
        <a:xfrm>
          <a:off x="254000" y="254000"/>
          <a:ext cx="2540000" cy="2032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data in the shaded area.</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0</xdr:col>
      <xdr:colOff>254000</xdr:colOff>
      <xdr:row>3</xdr:row>
      <xdr:rowOff>0</xdr:rowOff>
    </xdr:from>
    <xdr:to>
      <xdr:col>4</xdr:col>
      <xdr:colOff>647700</xdr:colOff>
      <xdr:row>4</xdr:row>
      <xdr:rowOff>12700</xdr:rowOff>
    </xdr:to>
    <xdr:sp macro="" textlink="">
      <xdr:nvSpPr>
        <xdr:cNvPr id="2" name="messageTextbox"/>
        <xdr:cNvSpPr txBox="1"/>
      </xdr:nvSpPr>
      <xdr:spPr>
        <a:xfrm>
          <a:off x="254000" y="647700"/>
          <a:ext cx="3810000" cy="2032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past demands and forecasts in the data area</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5</xdr:col>
      <xdr:colOff>412750</xdr:colOff>
      <xdr:row>18</xdr:row>
      <xdr:rowOff>0</xdr:rowOff>
    </xdr:from>
    <xdr:to>
      <xdr:col>17</xdr:col>
      <xdr:colOff>171450</xdr:colOff>
      <xdr:row>28</xdr:row>
      <xdr:rowOff>101600</xdr:rowOff>
    </xdr:to>
    <xdr:graphicFrame macro="">
      <xdr:nvGraphicFramePr>
        <xdr:cNvPr id="2" name="hjwGraph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660400</xdr:colOff>
      <xdr:row>1</xdr:row>
      <xdr:rowOff>177800</xdr:rowOff>
    </xdr:from>
    <xdr:to>
      <xdr:col>7</xdr:col>
      <xdr:colOff>254000</xdr:colOff>
      <xdr:row>3</xdr:row>
      <xdr:rowOff>76200</xdr:rowOff>
    </xdr:to>
    <xdr:sp macro="" textlink="">
      <xdr:nvSpPr>
        <xdr:cNvPr id="3" name="messageTextbox"/>
        <xdr:cNvSpPr txBox="1"/>
      </xdr:nvSpPr>
      <xdr:spPr>
        <a:xfrm>
          <a:off x="3873500" y="406400"/>
          <a:ext cx="2540000" cy="317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sample size then enter the number of defects in each sample.</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5</xdr:col>
      <xdr:colOff>107950</xdr:colOff>
      <xdr:row>17</xdr:row>
      <xdr:rowOff>114300</xdr:rowOff>
    </xdr:from>
    <xdr:to>
      <xdr:col>22</xdr:col>
      <xdr:colOff>158750</xdr:colOff>
      <xdr:row>27</xdr:row>
      <xdr:rowOff>25400</xdr:rowOff>
    </xdr:to>
    <xdr:graphicFrame macro="">
      <xdr:nvGraphicFramePr>
        <xdr:cNvPr id="2" name="hjwGraph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82550</xdr:colOff>
      <xdr:row>29</xdr:row>
      <xdr:rowOff>38100</xdr:rowOff>
    </xdr:from>
    <xdr:to>
      <xdr:col>22</xdr:col>
      <xdr:colOff>133350</xdr:colOff>
      <xdr:row>39</xdr:row>
      <xdr:rowOff>139700</xdr:rowOff>
    </xdr:to>
    <xdr:graphicFrame macro="">
      <xdr:nvGraphicFramePr>
        <xdr:cNvPr id="3" name="hjwGraph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254000</xdr:colOff>
      <xdr:row>3</xdr:row>
      <xdr:rowOff>0</xdr:rowOff>
    </xdr:from>
    <xdr:to>
      <xdr:col>4</xdr:col>
      <xdr:colOff>1143000</xdr:colOff>
      <xdr:row>4</xdr:row>
      <xdr:rowOff>127000</xdr:rowOff>
    </xdr:to>
    <xdr:sp macro="" textlink="">
      <xdr:nvSpPr>
        <xdr:cNvPr id="4" name="messageTextbox"/>
        <xdr:cNvSpPr txBox="1"/>
      </xdr:nvSpPr>
      <xdr:spPr>
        <a:xfrm>
          <a:off x="2387600" y="647700"/>
          <a:ext cx="2540000" cy="317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mean and range from each sample.</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6</xdr:col>
      <xdr:colOff>476250</xdr:colOff>
      <xdr:row>21</xdr:row>
      <xdr:rowOff>177800</xdr:rowOff>
    </xdr:from>
    <xdr:to>
      <xdr:col>18</xdr:col>
      <xdr:colOff>146050</xdr:colOff>
      <xdr:row>32</xdr:row>
      <xdr:rowOff>88900</xdr:rowOff>
    </xdr:to>
    <xdr:graphicFrame macro="">
      <xdr:nvGraphicFramePr>
        <xdr:cNvPr id="2" name="hjwGraph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3</xdr:row>
      <xdr:rowOff>0</xdr:rowOff>
    </xdr:from>
    <xdr:to>
      <xdr:col>5</xdr:col>
      <xdr:colOff>101600</xdr:colOff>
      <xdr:row>4</xdr:row>
      <xdr:rowOff>127000</xdr:rowOff>
    </xdr:to>
    <xdr:sp macro="" textlink="">
      <xdr:nvSpPr>
        <xdr:cNvPr id="3" name="messageTextbox"/>
        <xdr:cNvSpPr txBox="1"/>
      </xdr:nvSpPr>
      <xdr:spPr>
        <a:xfrm>
          <a:off x="2159000" y="647700"/>
          <a:ext cx="2540000" cy="317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number of defects for each of the samples/items.</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0</xdr:col>
      <xdr:colOff>254000</xdr:colOff>
      <xdr:row>3</xdr:row>
      <xdr:rowOff>0</xdr:rowOff>
    </xdr:from>
    <xdr:to>
      <xdr:col>2</xdr:col>
      <xdr:colOff>127000</xdr:colOff>
      <xdr:row>4</xdr:row>
      <xdr:rowOff>12700</xdr:rowOff>
    </xdr:to>
    <xdr:sp macro="" textlink="">
      <xdr:nvSpPr>
        <xdr:cNvPr id="2" name="messageTextbox"/>
        <xdr:cNvSpPr txBox="1"/>
      </xdr:nvSpPr>
      <xdr:spPr>
        <a:xfrm>
          <a:off x="254000" y="647700"/>
          <a:ext cx="2540000" cy="2032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data in the shaded area.</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4</xdr:col>
      <xdr:colOff>412750</xdr:colOff>
      <xdr:row>3</xdr:row>
      <xdr:rowOff>0</xdr:rowOff>
    </xdr:from>
    <xdr:to>
      <xdr:col>16</xdr:col>
      <xdr:colOff>666750</xdr:colOff>
      <xdr:row>22</xdr:row>
      <xdr:rowOff>101600</xdr:rowOff>
    </xdr:to>
    <xdr:graphicFrame macro="">
      <xdr:nvGraphicFramePr>
        <xdr:cNvPr id="2" name="hjwGraph"/>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4</xdr:col>
      <xdr:colOff>412750</xdr:colOff>
      <xdr:row>3</xdr:row>
      <xdr:rowOff>0</xdr:rowOff>
    </xdr:from>
    <xdr:to>
      <xdr:col>17</xdr:col>
      <xdr:colOff>374650</xdr:colOff>
      <xdr:row>22</xdr:row>
      <xdr:rowOff>101600</xdr:rowOff>
    </xdr:to>
    <xdr:graphicFrame macro="">
      <xdr:nvGraphicFramePr>
        <xdr:cNvPr id="2" name="hjwGraph"/>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254000</xdr:colOff>
      <xdr:row>3</xdr:row>
      <xdr:rowOff>0</xdr:rowOff>
    </xdr:from>
    <xdr:to>
      <xdr:col>2</xdr:col>
      <xdr:colOff>228600</xdr:colOff>
      <xdr:row>6</xdr:row>
      <xdr:rowOff>0</xdr:rowOff>
    </xdr:to>
    <xdr:sp macro="" textlink="">
      <xdr:nvSpPr>
        <xdr:cNvPr id="3" name="messageTextbox"/>
        <xdr:cNvSpPr txBox="1"/>
      </xdr:nvSpPr>
      <xdr:spPr>
        <a:xfrm>
          <a:off x="254000" y="647700"/>
          <a:ext cx="2540000" cy="571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fixed and variable costs and the selling price in the data area. You may enter a volume at which to perform a volume analysis.</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0</xdr:col>
      <xdr:colOff>254000</xdr:colOff>
      <xdr:row>3</xdr:row>
      <xdr:rowOff>0</xdr:rowOff>
    </xdr:from>
    <xdr:to>
      <xdr:col>3</xdr:col>
      <xdr:colOff>533400</xdr:colOff>
      <xdr:row>4</xdr:row>
      <xdr:rowOff>127000</xdr:rowOff>
    </xdr:to>
    <xdr:sp macro="" textlink="">
      <xdr:nvSpPr>
        <xdr:cNvPr id="2" name="messageTextbox"/>
        <xdr:cNvSpPr txBox="1"/>
      </xdr:nvSpPr>
      <xdr:spPr>
        <a:xfrm>
          <a:off x="254000" y="647700"/>
          <a:ext cx="3175000" cy="317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weights for the factors and the scores of each site on each factor.</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4</xdr:col>
      <xdr:colOff>412750</xdr:colOff>
      <xdr:row>3</xdr:row>
      <xdr:rowOff>0</xdr:rowOff>
    </xdr:from>
    <xdr:to>
      <xdr:col>18</xdr:col>
      <xdr:colOff>234950</xdr:colOff>
      <xdr:row>17</xdr:row>
      <xdr:rowOff>101600</xdr:rowOff>
    </xdr:to>
    <xdr:graphicFrame macro="">
      <xdr:nvGraphicFramePr>
        <xdr:cNvPr id="2" name="hjwGraph"/>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254000</xdr:colOff>
      <xdr:row>3</xdr:row>
      <xdr:rowOff>0</xdr:rowOff>
    </xdr:from>
    <xdr:to>
      <xdr:col>2</xdr:col>
      <xdr:colOff>749300</xdr:colOff>
      <xdr:row>4</xdr:row>
      <xdr:rowOff>12700</xdr:rowOff>
    </xdr:to>
    <xdr:sp macro="" textlink="">
      <xdr:nvSpPr>
        <xdr:cNvPr id="3" name="messageTextbox"/>
        <xdr:cNvSpPr txBox="1"/>
      </xdr:nvSpPr>
      <xdr:spPr>
        <a:xfrm>
          <a:off x="254000" y="647700"/>
          <a:ext cx="3175000" cy="2032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weights and coordinates in the data area.</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4</xdr:col>
      <xdr:colOff>412750</xdr:colOff>
      <xdr:row>3</xdr:row>
      <xdr:rowOff>0</xdr:rowOff>
    </xdr:from>
    <xdr:to>
      <xdr:col>16</xdr:col>
      <xdr:colOff>666750</xdr:colOff>
      <xdr:row>22</xdr:row>
      <xdr:rowOff>101600</xdr:rowOff>
    </xdr:to>
    <xdr:graphicFrame macro="">
      <xdr:nvGraphicFramePr>
        <xdr:cNvPr id="2" name="hjwGraph"/>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3</xdr:row>
          <xdr:rowOff>88900</xdr:rowOff>
        </xdr:from>
        <xdr:to>
          <xdr:col>0</xdr:col>
          <xdr:colOff>609600</xdr:colOff>
          <xdr:row>4</xdr:row>
          <xdr:rowOff>127000</xdr:rowOff>
        </xdr:to>
        <xdr:sp macro="" textlink="">
          <xdr:nvSpPr>
            <xdr:cNvPr id="48130" name="Button 2" hidden="1">
              <a:extLst>
                <a:ext uri="{63B3BB69-23CF-44E3-9099-C40C66FF867C}">
                  <a14:compatExt spid="_x0000_s48130"/>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Solve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127000</xdr:colOff>
          <xdr:row>3</xdr:row>
          <xdr:rowOff>88900</xdr:rowOff>
        </xdr:from>
        <xdr:to>
          <xdr:col>2</xdr:col>
          <xdr:colOff>520700</xdr:colOff>
          <xdr:row>4</xdr:row>
          <xdr:rowOff>127000</xdr:rowOff>
        </xdr:to>
        <xdr:sp macro="" textlink="">
          <xdr:nvSpPr>
            <xdr:cNvPr id="48131" name="Button 3" hidden="1">
              <a:extLst>
                <a:ext uri="{63B3BB69-23CF-44E3-9099-C40C66FF867C}">
                  <a14:compatExt spid="_x0000_s48131"/>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Set D(j,i)=D(i,j)</a:t>
              </a:r>
            </a:p>
          </xdr:txBody>
        </xdr:sp>
        <xdr:clientData fPrintsWithSheet="0"/>
      </xdr:twoCellAnchor>
    </mc:Choice>
    <mc:Fallback/>
  </mc:AlternateContent>
  <xdr:twoCellAnchor>
    <xdr:from>
      <xdr:col>4</xdr:col>
      <xdr:colOff>0</xdr:colOff>
      <xdr:row>0</xdr:row>
      <xdr:rowOff>114300</xdr:rowOff>
    </xdr:from>
    <xdr:to>
      <xdr:col>9</xdr:col>
      <xdr:colOff>317500</xdr:colOff>
      <xdr:row>3</xdr:row>
      <xdr:rowOff>38100</xdr:rowOff>
    </xdr:to>
    <xdr:sp macro="" textlink="">
      <xdr:nvSpPr>
        <xdr:cNvPr id="2" name="messageTextbox"/>
        <xdr:cNvSpPr txBox="1"/>
      </xdr:nvSpPr>
      <xdr:spPr>
        <a:xfrm>
          <a:off x="3225800" y="114300"/>
          <a:ext cx="4445000" cy="571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flow table and the distance table in the shaded area. Then either enter the room NUMBERS into which you want to place each process in the column labeled 'Room assignment' or use the SOLVE button to find the optimal layout.</a:t>
          </a:r>
        </a:p>
      </xdr:txBody>
    </xdr:sp>
    <xdr:clientData fPrintsWithSheet="0"/>
  </xdr:twoCellAnchor>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3</xdr:row>
          <xdr:rowOff>88900</xdr:rowOff>
        </xdr:from>
        <xdr:to>
          <xdr:col>0</xdr:col>
          <xdr:colOff>609600</xdr:colOff>
          <xdr:row>4</xdr:row>
          <xdr:rowOff>127000</xdr:rowOff>
        </xdr:to>
        <xdr:sp macro="" textlink="">
          <xdr:nvSpPr>
            <xdr:cNvPr id="49154" name="Button 2" hidden="1">
              <a:extLst>
                <a:ext uri="{63B3BB69-23CF-44E3-9099-C40C66FF867C}">
                  <a14:compatExt spid="_x0000_s49154"/>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Solve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127000</xdr:colOff>
          <xdr:row>3</xdr:row>
          <xdr:rowOff>88900</xdr:rowOff>
        </xdr:from>
        <xdr:to>
          <xdr:col>2</xdr:col>
          <xdr:colOff>520700</xdr:colOff>
          <xdr:row>4</xdr:row>
          <xdr:rowOff>127000</xdr:rowOff>
        </xdr:to>
        <xdr:sp macro="" textlink="">
          <xdr:nvSpPr>
            <xdr:cNvPr id="49155" name="Button 3" hidden="1">
              <a:extLst>
                <a:ext uri="{63B3BB69-23CF-44E3-9099-C40C66FF867C}">
                  <a14:compatExt spid="_x0000_s4915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Set D(j,i)=D(i,j)</a:t>
              </a:r>
            </a:p>
          </xdr:txBody>
        </xdr:sp>
        <xdr:clientData fPrintsWithSheet="0"/>
      </xdr:twoCellAnchor>
    </mc:Choice>
    <mc:Fallback/>
  </mc:AlternateContent>
  <xdr:twoCellAnchor>
    <xdr:from>
      <xdr:col>4</xdr:col>
      <xdr:colOff>0</xdr:colOff>
      <xdr:row>0</xdr:row>
      <xdr:rowOff>114300</xdr:rowOff>
    </xdr:from>
    <xdr:to>
      <xdr:col>9</xdr:col>
      <xdr:colOff>317500</xdr:colOff>
      <xdr:row>3</xdr:row>
      <xdr:rowOff>38100</xdr:rowOff>
    </xdr:to>
    <xdr:sp macro="" textlink="">
      <xdr:nvSpPr>
        <xdr:cNvPr id="2" name="messageTextbox"/>
        <xdr:cNvSpPr txBox="1"/>
      </xdr:nvSpPr>
      <xdr:spPr>
        <a:xfrm>
          <a:off x="3225800" y="114300"/>
          <a:ext cx="4445000" cy="571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flow table and the distance table in the shaded area. Then either enter the room NUMBERS into which you want to place each process in the column labeled 'Room assignment' or use the SOLVE button to find the optimal layout.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1</xdr:col>
      <xdr:colOff>0</xdr:colOff>
      <xdr:row>3</xdr:row>
      <xdr:rowOff>0</xdr:rowOff>
    </xdr:from>
    <xdr:to>
      <xdr:col>11</xdr:col>
      <xdr:colOff>571500</xdr:colOff>
      <xdr:row>5</xdr:row>
      <xdr:rowOff>174625</xdr:rowOff>
    </xdr:to>
    <xdr:sp macro="" textlink="">
      <xdr:nvSpPr>
        <xdr:cNvPr id="2" name="messageTextbox"/>
        <xdr:cNvSpPr txBox="1"/>
      </xdr:nvSpPr>
      <xdr:spPr>
        <a:xfrm>
          <a:off x="1397000" y="673100"/>
          <a:ext cx="8915400" cy="555625"/>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cycle time below. You may need to compute it based on demand. Be certain the time unit (minutes, second, hrs) matches the task time unit. Enter the data for each task. Predecesors should be separated by commas. Enter a number between 1 and 5 for the priority rule. Do not change any of the cells shaded in red.</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63500</xdr:colOff>
      <xdr:row>3</xdr:row>
      <xdr:rowOff>0</xdr:rowOff>
    </xdr:from>
    <xdr:to>
      <xdr:col>3</xdr:col>
      <xdr:colOff>50800</xdr:colOff>
      <xdr:row>4</xdr:row>
      <xdr:rowOff>12700</xdr:rowOff>
    </xdr:to>
    <xdr:sp macro="" textlink="">
      <xdr:nvSpPr>
        <xdr:cNvPr id="2" name="messageTextbox"/>
        <xdr:cNvSpPr txBox="1"/>
      </xdr:nvSpPr>
      <xdr:spPr>
        <a:xfrm>
          <a:off x="63500" y="647700"/>
          <a:ext cx="3289300" cy="2032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data in the shaded area.</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254000</xdr:colOff>
      <xdr:row>3</xdr:row>
      <xdr:rowOff>0</xdr:rowOff>
    </xdr:from>
    <xdr:to>
      <xdr:col>6</xdr:col>
      <xdr:colOff>330200</xdr:colOff>
      <xdr:row>4</xdr:row>
      <xdr:rowOff>127000</xdr:rowOff>
    </xdr:to>
    <xdr:sp macro="" textlink="">
      <xdr:nvSpPr>
        <xdr:cNvPr id="2" name="messageTextbox"/>
        <xdr:cNvSpPr txBox="1"/>
      </xdr:nvSpPr>
      <xdr:spPr>
        <a:xfrm>
          <a:off x="254000" y="622300"/>
          <a:ext cx="5080000" cy="317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Select one of the two models and enter the data in the appropriate cells. Use the Table at the bottom to determine the number of required standard deviations.</a:t>
          </a: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571500</xdr:colOff>
      <xdr:row>3</xdr:row>
      <xdr:rowOff>0</xdr:rowOff>
    </xdr:from>
    <xdr:to>
      <xdr:col>5</xdr:col>
      <xdr:colOff>673100</xdr:colOff>
      <xdr:row>5</xdr:row>
      <xdr:rowOff>127000</xdr:rowOff>
    </xdr:to>
    <xdr:sp macro="" textlink="">
      <xdr:nvSpPr>
        <xdr:cNvPr id="2" name="messageTextbox"/>
        <xdr:cNvSpPr txBox="1"/>
      </xdr:nvSpPr>
      <xdr:spPr>
        <a:xfrm>
          <a:off x="571500" y="647700"/>
          <a:ext cx="3810000" cy="5080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unit costs and the unit volumes into the shaded data area. NOTE: The dollar volume in column F (but not in column L) is adjusted to prevent ties.</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xdr:from>
      <xdr:col>0</xdr:col>
      <xdr:colOff>254000</xdr:colOff>
      <xdr:row>3</xdr:row>
      <xdr:rowOff>0</xdr:rowOff>
    </xdr:from>
    <xdr:to>
      <xdr:col>0</xdr:col>
      <xdr:colOff>2794000</xdr:colOff>
      <xdr:row>4</xdr:row>
      <xdr:rowOff>12700</xdr:rowOff>
    </xdr:to>
    <xdr:sp macro="" textlink="">
      <xdr:nvSpPr>
        <xdr:cNvPr id="2" name="messageTextbox"/>
        <xdr:cNvSpPr txBox="1"/>
      </xdr:nvSpPr>
      <xdr:spPr>
        <a:xfrm>
          <a:off x="254000" y="622300"/>
          <a:ext cx="2540000" cy="203200"/>
        </a:xfrm>
        <a:prstGeom prst="rect">
          <a:avLst/>
        </a:prstGeom>
        <a:solidFill>
          <a:srgbClr val="FFEB9C"/>
        </a:solidFill>
        <a:ln w="1" cmpd="sng">
          <a:solidFill>
            <a:schemeClr val="lt1">
              <a:shade val="50000"/>
            </a:schemeClr>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vert="horz" rtlCol="0" anchor="ctr"/>
        <a:lstStyle/>
        <a:p>
          <a:r>
            <a:rPr lang="en-US" sz="900" b="0" i="0" u="none" strike="noStrike" baseline="0">
              <a:solidFill>
                <a:srgbClr val="9C6500"/>
              </a:solidFill>
              <a:effectLst/>
              <a:latin typeface="Arial"/>
            </a:rPr>
            <a:t>Enter the data in the shaded area.</a:t>
          </a:r>
        </a:p>
      </xdr:txBody>
    </xdr:sp>
    <xdr:clientData fPrintsWithSheet="0"/>
  </xdr:twoCellAnchor>
  <xdr:twoCellAnchor>
    <xdr:from>
      <xdr:col>3</xdr:col>
      <xdr:colOff>0</xdr:colOff>
      <xdr:row>11</xdr:row>
      <xdr:rowOff>0</xdr:rowOff>
    </xdr:from>
    <xdr:to>
      <xdr:col>11</xdr:col>
      <xdr:colOff>101600</xdr:colOff>
      <xdr:row>30</xdr:row>
      <xdr:rowOff>88900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254000</xdr:colOff>
      <xdr:row>3</xdr:row>
      <xdr:rowOff>24130</xdr:rowOff>
    </xdr:from>
    <xdr:to>
      <xdr:col>3</xdr:col>
      <xdr:colOff>431800</xdr:colOff>
      <xdr:row>4</xdr:row>
      <xdr:rowOff>62230</xdr:rowOff>
    </xdr:to>
    <xdr:sp macro="" textlink="">
      <xdr:nvSpPr>
        <xdr:cNvPr id="4" name="messageTextbox"/>
        <xdr:cNvSpPr txBox="1"/>
      </xdr:nvSpPr>
      <xdr:spPr>
        <a:xfrm>
          <a:off x="254000" y="265430"/>
          <a:ext cx="5334000" cy="2286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900" b="0" i="0" u="none" strike="noStrike" baseline="0">
              <a:solidFill>
                <a:srgbClr val="9C6500"/>
              </a:solidFill>
              <a:latin typeface="Arial"/>
            </a:rPr>
            <a:t>Enter the data in the shaded area.</a:t>
          </a:r>
        </a:p>
      </xdr:txBody>
    </xdr:sp>
    <xdr:clientData fPrintsWithSheet="0"/>
  </xdr:twoCellAnchor>
</xdr:wsDr>
</file>

<file path=xl/drawings/drawing26.xml><?xml version="1.0" encoding="utf-8"?>
<xdr:wsDr xmlns:xdr="http://schemas.openxmlformats.org/drawingml/2006/spreadsheetDrawing" xmlns:a="http://schemas.openxmlformats.org/drawingml/2006/main">
  <xdr:twoCellAnchor>
    <xdr:from>
      <xdr:col>0</xdr:col>
      <xdr:colOff>254000</xdr:colOff>
      <xdr:row>3</xdr:row>
      <xdr:rowOff>0</xdr:rowOff>
    </xdr:from>
    <xdr:to>
      <xdr:col>0</xdr:col>
      <xdr:colOff>2794000</xdr:colOff>
      <xdr:row>4</xdr:row>
      <xdr:rowOff>12700</xdr:rowOff>
    </xdr:to>
    <xdr:sp macro="" textlink="">
      <xdr:nvSpPr>
        <xdr:cNvPr id="2" name="messageTextbox"/>
        <xdr:cNvSpPr txBox="1"/>
      </xdr:nvSpPr>
      <xdr:spPr>
        <a:xfrm>
          <a:off x="254000" y="622300"/>
          <a:ext cx="2540000" cy="203200"/>
        </a:xfrm>
        <a:prstGeom prst="rect">
          <a:avLst/>
        </a:prstGeom>
        <a:solidFill>
          <a:srgbClr val="FFEB9C"/>
        </a:solidFill>
        <a:ln w="1" cmpd="sng">
          <a:solidFill>
            <a:schemeClr val="lt1">
              <a:shade val="50000"/>
            </a:schemeClr>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vert="horz" rtlCol="0" anchor="ctr"/>
        <a:lstStyle/>
        <a:p>
          <a:r>
            <a:rPr lang="en-US" sz="900" b="0" i="0" u="none" strike="noStrike" baseline="0">
              <a:solidFill>
                <a:srgbClr val="9C6500"/>
              </a:solidFill>
              <a:effectLst/>
              <a:latin typeface="Arial"/>
            </a:rPr>
            <a:t>Enter the data in the shaded area.</a:t>
          </a:r>
        </a:p>
      </xdr:txBody>
    </xdr:sp>
    <xdr:clientData fPrintsWithSheet="0"/>
  </xdr:twoCellAnchor>
  <xdr:twoCellAnchor>
    <xdr:from>
      <xdr:col>3</xdr:col>
      <xdr:colOff>0</xdr:colOff>
      <xdr:row>11</xdr:row>
      <xdr:rowOff>0</xdr:rowOff>
    </xdr:from>
    <xdr:to>
      <xdr:col>11</xdr:col>
      <xdr:colOff>101600</xdr:colOff>
      <xdr:row>30</xdr:row>
      <xdr:rowOff>88900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254000</xdr:colOff>
      <xdr:row>3</xdr:row>
      <xdr:rowOff>24130</xdr:rowOff>
    </xdr:from>
    <xdr:to>
      <xdr:col>3</xdr:col>
      <xdr:colOff>431800</xdr:colOff>
      <xdr:row>4</xdr:row>
      <xdr:rowOff>62230</xdr:rowOff>
    </xdr:to>
    <xdr:sp macro="" textlink="">
      <xdr:nvSpPr>
        <xdr:cNvPr id="4" name="messageTextbox"/>
        <xdr:cNvSpPr txBox="1"/>
      </xdr:nvSpPr>
      <xdr:spPr>
        <a:xfrm>
          <a:off x="254000" y="265430"/>
          <a:ext cx="5334000" cy="2286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900" b="0" i="0" u="none" strike="noStrike" baseline="0">
              <a:solidFill>
                <a:srgbClr val="9C6500"/>
              </a:solidFill>
              <a:latin typeface="Arial"/>
            </a:rPr>
            <a:t>Enter the data in the shaded area.</a:t>
          </a:r>
        </a:p>
      </xdr:txBody>
    </xdr:sp>
    <xdr:clientData fPrintsWithSheet="0"/>
  </xdr:twoCellAnchor>
</xdr:wsDr>
</file>

<file path=xl/drawings/drawing27.xml><?xml version="1.0" encoding="utf-8"?>
<xdr:wsDr xmlns:xdr="http://schemas.openxmlformats.org/drawingml/2006/spreadsheetDrawing" xmlns:a="http://schemas.openxmlformats.org/drawingml/2006/main">
  <xdr:twoCellAnchor>
    <xdr:from>
      <xdr:col>0</xdr:col>
      <xdr:colOff>254000</xdr:colOff>
      <xdr:row>3</xdr:row>
      <xdr:rowOff>0</xdr:rowOff>
    </xdr:from>
    <xdr:to>
      <xdr:col>1</xdr:col>
      <xdr:colOff>482600</xdr:colOff>
      <xdr:row>4</xdr:row>
      <xdr:rowOff>12700</xdr:rowOff>
    </xdr:to>
    <xdr:sp macro="" textlink="">
      <xdr:nvSpPr>
        <xdr:cNvPr id="2" name="messageTextbox"/>
        <xdr:cNvSpPr txBox="1"/>
      </xdr:nvSpPr>
      <xdr:spPr>
        <a:xfrm>
          <a:off x="254000" y="622300"/>
          <a:ext cx="2540000" cy="203200"/>
        </a:xfrm>
        <a:prstGeom prst="rect">
          <a:avLst/>
        </a:prstGeom>
        <a:solidFill>
          <a:srgbClr val="FFFFE6"/>
        </a:solidFill>
        <a:ln w="1" cmpd="sng">
          <a:solidFill>
            <a:schemeClr val="lt1">
              <a:shade val="50000"/>
            </a:schemeClr>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vert="horz" rtlCol="0" anchor="ctr"/>
        <a:lstStyle/>
        <a:p>
          <a:r>
            <a:rPr lang="en-US" sz="900" b="0" i="0" u="none" strike="noStrike" baseline="0">
              <a:solidFill>
                <a:srgbClr val="9C6500"/>
              </a:solidFill>
              <a:effectLst/>
              <a:latin typeface="Arial"/>
            </a:rPr>
            <a:t>Enter the data in the shaded area. You may have to do some work to enter the daily production rate.</a:t>
          </a:r>
        </a:p>
      </xdr:txBody>
    </xdr:sp>
    <xdr:clientData fPrintsWithSheet="0"/>
  </xdr:twoCellAnchor>
  <xdr:twoCellAnchor>
    <xdr:from>
      <xdr:col>4</xdr:col>
      <xdr:colOff>0</xdr:colOff>
      <xdr:row>13</xdr:row>
      <xdr:rowOff>0</xdr:rowOff>
    </xdr:from>
    <xdr:to>
      <xdr:col>12</xdr:col>
      <xdr:colOff>101600</xdr:colOff>
      <xdr:row>32</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254000</xdr:colOff>
      <xdr:row>3</xdr:row>
      <xdr:rowOff>24130</xdr:rowOff>
    </xdr:from>
    <xdr:to>
      <xdr:col>5</xdr:col>
      <xdr:colOff>139700</xdr:colOff>
      <xdr:row>4</xdr:row>
      <xdr:rowOff>62230</xdr:rowOff>
    </xdr:to>
    <xdr:sp macro="" textlink="">
      <xdr:nvSpPr>
        <xdr:cNvPr id="4" name="messageTextbox"/>
        <xdr:cNvSpPr txBox="1"/>
      </xdr:nvSpPr>
      <xdr:spPr>
        <a:xfrm>
          <a:off x="254000" y="265430"/>
          <a:ext cx="5334000" cy="2286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900" b="0" i="0" u="none" strike="noStrike" baseline="0">
              <a:solidFill>
                <a:srgbClr val="9C6500"/>
              </a:solidFill>
              <a:latin typeface="Arial"/>
            </a:rPr>
            <a:t>Enter the data in the shaded area.</a:t>
          </a:r>
        </a:p>
      </xdr:txBody>
    </xdr:sp>
    <xdr:clientData fPrintsWithSheet="0"/>
  </xdr:twoCellAnchor>
</xdr:wsDr>
</file>

<file path=xl/drawings/drawing28.xml><?xml version="1.0" encoding="utf-8"?>
<xdr:wsDr xmlns:xdr="http://schemas.openxmlformats.org/drawingml/2006/spreadsheetDrawing" xmlns:a="http://schemas.openxmlformats.org/drawingml/2006/main">
  <xdr:twoCellAnchor>
    <xdr:from>
      <xdr:col>4</xdr:col>
      <xdr:colOff>514350</xdr:colOff>
      <xdr:row>6</xdr:row>
      <xdr:rowOff>0</xdr:rowOff>
    </xdr:from>
    <xdr:to>
      <xdr:col>16</xdr:col>
      <xdr:colOff>44450</xdr:colOff>
      <xdr:row>25</xdr:row>
      <xdr:rowOff>101600</xdr:rowOff>
    </xdr:to>
    <xdr:graphicFrame macro="">
      <xdr:nvGraphicFramePr>
        <xdr:cNvPr id="2" name="hjwGraph"/>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254000</xdr:colOff>
      <xdr:row>3</xdr:row>
      <xdr:rowOff>0</xdr:rowOff>
    </xdr:from>
    <xdr:to>
      <xdr:col>4</xdr:col>
      <xdr:colOff>558800</xdr:colOff>
      <xdr:row>5</xdr:row>
      <xdr:rowOff>0</xdr:rowOff>
    </xdr:to>
    <xdr:sp macro="" textlink="">
      <xdr:nvSpPr>
        <xdr:cNvPr id="3" name="messageTextbox"/>
        <xdr:cNvSpPr txBox="1"/>
      </xdr:nvSpPr>
      <xdr:spPr>
        <a:xfrm>
          <a:off x="254000" y="647700"/>
          <a:ext cx="5080000" cy="3810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data in the shaded area. The minimum quantity is the minimum amount that needs to be ordered in order to get the price that is in the same column.</a:t>
          </a:r>
        </a:p>
      </xdr:txBody>
    </xdr:sp>
    <xdr:clientData fPrintsWithSheet="0"/>
  </xdr:twoCellAnchor>
</xdr:wsDr>
</file>

<file path=xl/drawings/drawing29.xml><?xml version="1.0" encoding="utf-8"?>
<xdr:wsDr xmlns:xdr="http://schemas.openxmlformats.org/drawingml/2006/spreadsheetDrawing" xmlns:a="http://schemas.openxmlformats.org/drawingml/2006/main">
  <xdr:twoCellAnchor>
    <xdr:from>
      <xdr:col>0</xdr:col>
      <xdr:colOff>457200</xdr:colOff>
      <xdr:row>3</xdr:row>
      <xdr:rowOff>0</xdr:rowOff>
    </xdr:from>
    <xdr:to>
      <xdr:col>3</xdr:col>
      <xdr:colOff>647700</xdr:colOff>
      <xdr:row>4</xdr:row>
      <xdr:rowOff>127000</xdr:rowOff>
    </xdr:to>
    <xdr:sp macro="" textlink="">
      <xdr:nvSpPr>
        <xdr:cNvPr id="2" name="messageTextbox"/>
        <xdr:cNvSpPr txBox="1"/>
      </xdr:nvSpPr>
      <xdr:spPr>
        <a:xfrm>
          <a:off x="457200" y="254000"/>
          <a:ext cx="2540000" cy="317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data in the shaded area.</a:t>
          </a:r>
        </a:p>
      </xdr:txBody>
    </xdr:sp>
    <xdr:clientData fPrintsWithSheet="0"/>
  </xdr:twoCellAnchor>
</xdr:wsDr>
</file>

<file path=xl/drawings/drawing30.xml><?xml version="1.0" encoding="utf-8"?>
<xdr:wsDr xmlns:xdr="http://schemas.openxmlformats.org/drawingml/2006/spreadsheetDrawing" xmlns:a="http://schemas.openxmlformats.org/drawingml/2006/main">
  <xdr:twoCellAnchor>
    <xdr:from>
      <xdr:col>0</xdr:col>
      <xdr:colOff>254000</xdr:colOff>
      <xdr:row>3</xdr:row>
      <xdr:rowOff>0</xdr:rowOff>
    </xdr:from>
    <xdr:to>
      <xdr:col>2</xdr:col>
      <xdr:colOff>63500</xdr:colOff>
      <xdr:row>4</xdr:row>
      <xdr:rowOff>127000</xdr:rowOff>
    </xdr:to>
    <xdr:sp macro="" textlink="">
      <xdr:nvSpPr>
        <xdr:cNvPr id="2" name="messageTextbox"/>
        <xdr:cNvSpPr txBox="1"/>
      </xdr:nvSpPr>
      <xdr:spPr>
        <a:xfrm>
          <a:off x="254000" y="622300"/>
          <a:ext cx="5080000" cy="317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Select a model and then enter the data in the shaded area. The model on the bottom left represents the 3 models described in the textbook under Other Probabilistic Models</a:t>
          </a:r>
        </a:p>
      </xdr:txBody>
    </xdr:sp>
    <xdr:clientData fPrintsWithSheet="0"/>
  </xdr:twoCellAnchor>
</xdr:wsDr>
</file>

<file path=xl/drawings/drawing31.xml><?xml version="1.0" encoding="utf-8"?>
<xdr:wsDr xmlns:xdr="http://schemas.openxmlformats.org/drawingml/2006/spreadsheetDrawing" xmlns:a="http://schemas.openxmlformats.org/drawingml/2006/main">
  <xdr:twoCellAnchor>
    <xdr:from>
      <xdr:col>3</xdr:col>
      <xdr:colOff>304800</xdr:colOff>
      <xdr:row>3</xdr:row>
      <xdr:rowOff>0</xdr:rowOff>
    </xdr:from>
    <xdr:to>
      <xdr:col>9</xdr:col>
      <xdr:colOff>152400</xdr:colOff>
      <xdr:row>6</xdr:row>
      <xdr:rowOff>127000</xdr:rowOff>
    </xdr:to>
    <xdr:sp macro="" textlink="">
      <xdr:nvSpPr>
        <xdr:cNvPr id="2" name="messageTextbox"/>
        <xdr:cNvSpPr txBox="1"/>
      </xdr:nvSpPr>
      <xdr:spPr>
        <a:xfrm>
          <a:off x="3238500" y="647700"/>
          <a:ext cx="3810000" cy="698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values in the shaded area then use the Run Excel's Solver button. Alternatively, open Solver by going to the Data Tab (Excel 2007, 2010, 2013, 2016) or the Tools menu (Excel 2003, 2011).</a:t>
          </a:r>
        </a:p>
      </xdr:txBody>
    </xdr:sp>
    <xdr:clientData fPrintsWithSheet="0"/>
  </xdr:twoCellAnchor>
  <mc:AlternateContent xmlns:mc="http://schemas.openxmlformats.org/markup-compatibility/2006">
    <mc:Choice xmlns:a14="http://schemas.microsoft.com/office/drawing/2010/main" Requires="a14">
      <xdr:twoCellAnchor>
        <xdr:from>
          <xdr:col>0</xdr:col>
          <xdr:colOff>63500</xdr:colOff>
          <xdr:row>1</xdr:row>
          <xdr:rowOff>0</xdr:rowOff>
        </xdr:from>
        <xdr:to>
          <xdr:col>0</xdr:col>
          <xdr:colOff>1587500</xdr:colOff>
          <xdr:row>2</xdr:row>
          <xdr:rowOff>38100</xdr:rowOff>
        </xdr:to>
        <xdr:sp macro="" textlink="">
          <xdr:nvSpPr>
            <xdr:cNvPr id="314371" name="solverButton" hidden="1">
              <a:extLst>
                <a:ext uri="{63B3BB69-23CF-44E3-9099-C40C66FF867C}">
                  <a14:compatExt spid="_x0000_s314371"/>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Run Excel's Solver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38100</xdr:colOff>
          <xdr:row>1</xdr:row>
          <xdr:rowOff>0</xdr:rowOff>
        </xdr:from>
        <xdr:to>
          <xdr:col>3</xdr:col>
          <xdr:colOff>241300</xdr:colOff>
          <xdr:row>2</xdr:row>
          <xdr:rowOff>38100</xdr:rowOff>
        </xdr:to>
        <xdr:sp macro="" textlink="">
          <xdr:nvSpPr>
            <xdr:cNvPr id="314372" name="solverHelpButton" hidden="1">
              <a:extLst>
                <a:ext uri="{63B3BB69-23CF-44E3-9099-C40C66FF867C}">
                  <a14:compatExt spid="_x0000_s314372"/>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Solver Help</a:t>
              </a:r>
            </a:p>
          </xdr:txBody>
        </xdr:sp>
        <xdr:clientData fPrintsWithSheet="0"/>
      </xdr:twoCellAnchor>
    </mc:Choice>
    <mc:Fallback/>
  </mc:AlternateContent>
</xdr:wsDr>
</file>

<file path=xl/drawings/drawing32.xml><?xml version="1.0" encoding="utf-8"?>
<xdr:wsDr xmlns:xdr="http://schemas.openxmlformats.org/drawingml/2006/spreadsheetDrawing" xmlns:a="http://schemas.openxmlformats.org/drawingml/2006/main">
  <xdr:twoCellAnchor>
    <xdr:from>
      <xdr:col>6</xdr:col>
      <xdr:colOff>191912</xdr:colOff>
      <xdr:row>2</xdr:row>
      <xdr:rowOff>141111</xdr:rowOff>
    </xdr:from>
    <xdr:to>
      <xdr:col>12</xdr:col>
      <xdr:colOff>1126067</xdr:colOff>
      <xdr:row>6</xdr:row>
      <xdr:rowOff>42333</xdr:rowOff>
    </xdr:to>
    <xdr:sp macro="" textlink="">
      <xdr:nvSpPr>
        <xdr:cNvPr id="2" name="messageTextbox"/>
        <xdr:cNvSpPr txBox="1"/>
      </xdr:nvSpPr>
      <xdr:spPr>
        <a:xfrm>
          <a:off x="6203245" y="564444"/>
          <a:ext cx="4913489" cy="719667"/>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values in the shaded area then use the Run Excel's Solver button. Alternatively, open Solver by going to the Data Tab (Excel 2007, 2010, 2013, 2016) or the Tools menu (Excel 2003, 2011).</a:t>
          </a:r>
        </a:p>
      </xdr:txBody>
    </xdr:sp>
    <xdr:clientData fPrintsWithSheet="0"/>
  </xdr:twoCellAnchor>
  <mc:AlternateContent xmlns:mc="http://schemas.openxmlformats.org/markup-compatibility/2006">
    <mc:Choice xmlns:a14="http://schemas.microsoft.com/office/drawing/2010/main" Requires="a14">
      <xdr:twoCellAnchor>
        <xdr:from>
          <xdr:col>0</xdr:col>
          <xdr:colOff>63500</xdr:colOff>
          <xdr:row>1</xdr:row>
          <xdr:rowOff>0</xdr:rowOff>
        </xdr:from>
        <xdr:to>
          <xdr:col>0</xdr:col>
          <xdr:colOff>1587500</xdr:colOff>
          <xdr:row>2</xdr:row>
          <xdr:rowOff>38100</xdr:rowOff>
        </xdr:to>
        <xdr:sp macro="" textlink="">
          <xdr:nvSpPr>
            <xdr:cNvPr id="79875" name="solverButton" hidden="1">
              <a:extLst>
                <a:ext uri="{63B3BB69-23CF-44E3-9099-C40C66FF867C}">
                  <a14:compatExt spid="_x0000_s7987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Run Excel's Solver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38100</xdr:colOff>
          <xdr:row>1</xdr:row>
          <xdr:rowOff>0</xdr:rowOff>
        </xdr:from>
        <xdr:to>
          <xdr:col>3</xdr:col>
          <xdr:colOff>241300</xdr:colOff>
          <xdr:row>2</xdr:row>
          <xdr:rowOff>38100</xdr:rowOff>
        </xdr:to>
        <xdr:sp macro="" textlink="">
          <xdr:nvSpPr>
            <xdr:cNvPr id="79876" name="solverHelpButton" hidden="1">
              <a:extLst>
                <a:ext uri="{63B3BB69-23CF-44E3-9099-C40C66FF867C}">
                  <a14:compatExt spid="_x0000_s79876"/>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Solver Help</a:t>
              </a:r>
            </a:p>
          </xdr:txBody>
        </xdr:sp>
        <xdr:clientData fPrintsWithSheet="0"/>
      </xdr:twoCellAnchor>
    </mc:Choice>
    <mc:Fallback/>
  </mc:AlternateContent>
</xdr:wsDr>
</file>

<file path=xl/drawings/drawing33.xml><?xml version="1.0" encoding="utf-8"?>
<xdr:wsDr xmlns:xdr="http://schemas.openxmlformats.org/drawingml/2006/spreadsheetDrawing" xmlns:a="http://schemas.openxmlformats.org/drawingml/2006/main">
  <xdr:twoCellAnchor>
    <xdr:from>
      <xdr:col>2</xdr:col>
      <xdr:colOff>50800</xdr:colOff>
      <xdr:row>3</xdr:row>
      <xdr:rowOff>0</xdr:rowOff>
    </xdr:from>
    <xdr:to>
      <xdr:col>6</xdr:col>
      <xdr:colOff>558800</xdr:colOff>
      <xdr:row>6</xdr:row>
      <xdr:rowOff>63500</xdr:rowOff>
    </xdr:to>
    <xdr:sp macro="" textlink="">
      <xdr:nvSpPr>
        <xdr:cNvPr id="2" name="messageTextbox"/>
        <xdr:cNvSpPr txBox="1"/>
      </xdr:nvSpPr>
      <xdr:spPr>
        <a:xfrm>
          <a:off x="2616200" y="647700"/>
          <a:ext cx="3810000" cy="6350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data in the shaded area. Press CTRL-SHIFT-M to return to the indented bill of materials/product tree. Do not change the names in the red shaded box. Return to the indented Bill of Materials if you need to do so.</a:t>
          </a:r>
        </a:p>
      </xdr:txBody>
    </xdr:sp>
    <xdr:clientData fPrintsWithSheet="0"/>
  </xdr:twoCellAnchor>
</xdr:wsDr>
</file>

<file path=xl/drawings/drawing3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762000</xdr:colOff>
          <xdr:row>3</xdr:row>
          <xdr:rowOff>0</xdr:rowOff>
        </xdr:from>
        <xdr:to>
          <xdr:col>2</xdr:col>
          <xdr:colOff>88900</xdr:colOff>
          <xdr:row>4</xdr:row>
          <xdr:rowOff>139700</xdr:rowOff>
        </xdr:to>
        <xdr:sp macro="" textlink="">
          <xdr:nvSpPr>
            <xdr:cNvPr id="98306" name="Button 2" hidden="1">
              <a:extLst>
                <a:ext uri="{63B3BB69-23CF-44E3-9099-C40C66FF867C}">
                  <a14:compatExt spid="_x0000_s98306"/>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Calibri"/>
                  <a:ea typeface="Calibri"/>
                  <a:cs typeface="Calibri"/>
                </a:rPr>
                <a:t>Methods Cost Summary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3</xdr:row>
          <xdr:rowOff>0</xdr:rowOff>
        </xdr:from>
        <xdr:to>
          <xdr:col>0</xdr:col>
          <xdr:colOff>609600</xdr:colOff>
          <xdr:row>4</xdr:row>
          <xdr:rowOff>139700</xdr:rowOff>
        </xdr:to>
        <xdr:sp macro="" textlink="">
          <xdr:nvSpPr>
            <xdr:cNvPr id="98307" name="Button 3" hidden="1">
              <a:extLst>
                <a:ext uri="{63B3BB69-23CF-44E3-9099-C40C66FF867C}">
                  <a14:compatExt spid="_x0000_s98307"/>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Wagner Whitin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4</xdr:row>
          <xdr:rowOff>152400</xdr:rowOff>
        </xdr:from>
        <xdr:to>
          <xdr:col>0</xdr:col>
          <xdr:colOff>609600</xdr:colOff>
          <xdr:row>6</xdr:row>
          <xdr:rowOff>88900</xdr:rowOff>
        </xdr:to>
        <xdr:sp macro="" textlink="">
          <xdr:nvSpPr>
            <xdr:cNvPr id="98308" name="Button 4" hidden="1">
              <a:extLst>
                <a:ext uri="{63B3BB69-23CF-44E3-9099-C40C66FF867C}">
                  <a14:compatExt spid="_x0000_s98308"/>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Lot for lot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6</xdr:row>
          <xdr:rowOff>101600</xdr:rowOff>
        </xdr:from>
        <xdr:to>
          <xdr:col>0</xdr:col>
          <xdr:colOff>609600</xdr:colOff>
          <xdr:row>8</xdr:row>
          <xdr:rowOff>50800</xdr:rowOff>
        </xdr:to>
        <xdr:sp macro="" textlink="">
          <xdr:nvSpPr>
            <xdr:cNvPr id="98309" name="Button 5" hidden="1">
              <a:extLst>
                <a:ext uri="{63B3BB69-23CF-44E3-9099-C40C66FF867C}">
                  <a14:compatExt spid="_x0000_s9830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EOQ</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8</xdr:row>
          <xdr:rowOff>63500</xdr:rowOff>
        </xdr:from>
        <xdr:to>
          <xdr:col>0</xdr:col>
          <xdr:colOff>609600</xdr:colOff>
          <xdr:row>10</xdr:row>
          <xdr:rowOff>0</xdr:rowOff>
        </xdr:to>
        <xdr:sp macro="" textlink="">
          <xdr:nvSpPr>
            <xdr:cNvPr id="98310" name="Button 6" hidden="1">
              <a:extLst>
                <a:ext uri="{63B3BB69-23CF-44E3-9099-C40C66FF867C}">
                  <a14:compatExt spid="_x0000_s98310"/>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POQ</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10</xdr:row>
          <xdr:rowOff>12700</xdr:rowOff>
        </xdr:from>
        <xdr:to>
          <xdr:col>0</xdr:col>
          <xdr:colOff>609600</xdr:colOff>
          <xdr:row>11</xdr:row>
          <xdr:rowOff>152400</xdr:rowOff>
        </xdr:to>
        <xdr:sp macro="" textlink="">
          <xdr:nvSpPr>
            <xdr:cNvPr id="98311" name="Button 7" hidden="1">
              <a:extLst>
                <a:ext uri="{63B3BB69-23CF-44E3-9099-C40C66FF867C}">
                  <a14:compatExt spid="_x0000_s98311"/>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PPB</a:t>
              </a:r>
            </a:p>
          </xdr:txBody>
        </xdr:sp>
        <xdr:clientData fPrintsWithSheet="0"/>
      </xdr:twoCellAnchor>
    </mc:Choice>
    <mc:Fallback/>
  </mc:AlternateContent>
  <xdr:twoCellAnchor>
    <xdr:from>
      <xdr:col>8</xdr:col>
      <xdr:colOff>127000</xdr:colOff>
      <xdr:row>3</xdr:row>
      <xdr:rowOff>50800</xdr:rowOff>
    </xdr:from>
    <xdr:to>
      <xdr:col>12</xdr:col>
      <xdr:colOff>0</xdr:colOff>
      <xdr:row>8</xdr:row>
      <xdr:rowOff>0</xdr:rowOff>
    </xdr:to>
    <xdr:sp macro="" textlink="">
      <xdr:nvSpPr>
        <xdr:cNvPr id="2" name="messageTextbox"/>
        <xdr:cNvSpPr txBox="1"/>
      </xdr:nvSpPr>
      <xdr:spPr>
        <a:xfrm>
          <a:off x="8166100" y="698500"/>
          <a:ext cx="3175000" cy="9144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holding cost and setup cost. These are generally not 0. If there is initial inventory then enter this. Enter the demands for each of the periods in the main data table. Enter a plan that you want to use to meet this demand into the Order column.</a:t>
          </a:r>
        </a:p>
      </xdr:txBody>
    </xdr:sp>
    <xdr:clientData fPrintsWithSheet="0"/>
  </xdr:twoCellAnchor>
</xdr:wsDr>
</file>

<file path=xl/drawings/drawing35.xml><?xml version="1.0" encoding="utf-8"?>
<xdr:wsDr xmlns:xdr="http://schemas.openxmlformats.org/drawingml/2006/spreadsheetDrawing" xmlns:a="http://schemas.openxmlformats.org/drawingml/2006/main">
  <xdr:twoCellAnchor>
    <xdr:from>
      <xdr:col>3</xdr:col>
      <xdr:colOff>520700</xdr:colOff>
      <xdr:row>3</xdr:row>
      <xdr:rowOff>0</xdr:rowOff>
    </xdr:from>
    <xdr:to>
      <xdr:col>9</xdr:col>
      <xdr:colOff>190500</xdr:colOff>
      <xdr:row>6</xdr:row>
      <xdr:rowOff>127000</xdr:rowOff>
    </xdr:to>
    <xdr:sp macro="" textlink="">
      <xdr:nvSpPr>
        <xdr:cNvPr id="2" name="messageTextbox"/>
        <xdr:cNvSpPr txBox="1"/>
      </xdr:nvSpPr>
      <xdr:spPr>
        <a:xfrm>
          <a:off x="3238500" y="647700"/>
          <a:ext cx="3810000" cy="698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values in the shaded area then use the Run Excel's Solver button. Alternatively,open Solver by going to the Data Tab (Excel 2007, 2010, 2013, 2016) or the Tools menu (Excel 2003, 2011).</a:t>
          </a:r>
        </a:p>
      </xdr:txBody>
    </xdr:sp>
    <xdr:clientData fPrintsWithSheet="0"/>
  </xdr:twoCellAnchor>
  <mc:AlternateContent xmlns:mc="http://schemas.openxmlformats.org/markup-compatibility/2006">
    <mc:Choice xmlns:a14="http://schemas.microsoft.com/office/drawing/2010/main" Requires="a14">
      <xdr:twoCellAnchor>
        <xdr:from>
          <xdr:col>0</xdr:col>
          <xdr:colOff>63500</xdr:colOff>
          <xdr:row>1</xdr:row>
          <xdr:rowOff>0</xdr:rowOff>
        </xdr:from>
        <xdr:to>
          <xdr:col>1</xdr:col>
          <xdr:colOff>393700</xdr:colOff>
          <xdr:row>2</xdr:row>
          <xdr:rowOff>38100</xdr:rowOff>
        </xdr:to>
        <xdr:sp macro="" textlink="">
          <xdr:nvSpPr>
            <xdr:cNvPr id="102403" name="solverButton" hidden="1">
              <a:extLst>
                <a:ext uri="{63B3BB69-23CF-44E3-9099-C40C66FF867C}">
                  <a14:compatExt spid="_x0000_s10240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Run Excel's Solver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457200</xdr:colOff>
          <xdr:row>1</xdr:row>
          <xdr:rowOff>0</xdr:rowOff>
        </xdr:from>
        <xdr:to>
          <xdr:col>3</xdr:col>
          <xdr:colOff>457200</xdr:colOff>
          <xdr:row>2</xdr:row>
          <xdr:rowOff>38100</xdr:rowOff>
        </xdr:to>
        <xdr:sp macro="" textlink="">
          <xdr:nvSpPr>
            <xdr:cNvPr id="102404" name="solverHelpButton" hidden="1">
              <a:extLst>
                <a:ext uri="{63B3BB69-23CF-44E3-9099-C40C66FF867C}">
                  <a14:compatExt spid="_x0000_s102404"/>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Solver Help</a:t>
              </a:r>
            </a:p>
          </xdr:txBody>
        </xdr:sp>
        <xdr:clientData fPrintsWithSheet="0"/>
      </xdr:twoCellAnchor>
    </mc:Choice>
    <mc:Fallback/>
  </mc:AlternateContent>
</xdr:wsDr>
</file>

<file path=xl/drawings/drawing3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3</xdr:row>
          <xdr:rowOff>0</xdr:rowOff>
        </xdr:from>
        <xdr:to>
          <xdr:col>0</xdr:col>
          <xdr:colOff>762000</xdr:colOff>
          <xdr:row>4</xdr:row>
          <xdr:rowOff>165100</xdr:rowOff>
        </xdr:to>
        <xdr:sp macro="" textlink="">
          <xdr:nvSpPr>
            <xdr:cNvPr id="105474" name="Button 2" hidden="1">
              <a:extLst>
                <a:ext uri="{63B3BB69-23CF-44E3-9099-C40C66FF867C}">
                  <a14:compatExt spid="_x0000_s105474"/>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Moore's Method</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444500</xdr:colOff>
          <xdr:row>3</xdr:row>
          <xdr:rowOff>0</xdr:rowOff>
        </xdr:from>
        <xdr:to>
          <xdr:col>2</xdr:col>
          <xdr:colOff>381000</xdr:colOff>
          <xdr:row>4</xdr:row>
          <xdr:rowOff>165100</xdr:rowOff>
        </xdr:to>
        <xdr:sp macro="" textlink="">
          <xdr:nvSpPr>
            <xdr:cNvPr id="105475" name="Button 3" hidden="1">
              <a:extLst>
                <a:ext uri="{63B3BB69-23CF-44E3-9099-C40C66FF867C}">
                  <a14:compatExt spid="_x0000_s10547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Summary Table</a:t>
              </a:r>
            </a:p>
          </xdr:txBody>
        </xdr:sp>
        <xdr:clientData fPrintsWithSheet="0"/>
      </xdr:twoCellAnchor>
    </mc:Choice>
    <mc:Fallback/>
  </mc:AlternateContent>
  <xdr:twoCellAnchor>
    <xdr:from>
      <xdr:col>2</xdr:col>
      <xdr:colOff>139700</xdr:colOff>
      <xdr:row>0</xdr:row>
      <xdr:rowOff>0</xdr:rowOff>
    </xdr:from>
    <xdr:to>
      <xdr:col>8</xdr:col>
      <xdr:colOff>266700</xdr:colOff>
      <xdr:row>2</xdr:row>
      <xdr:rowOff>25400</xdr:rowOff>
    </xdr:to>
    <xdr:sp macro="" textlink="">
      <xdr:nvSpPr>
        <xdr:cNvPr id="2" name="messageTextbox"/>
        <xdr:cNvSpPr txBox="1"/>
      </xdr:nvSpPr>
      <xdr:spPr>
        <a:xfrm>
          <a:off x="2540000" y="0"/>
          <a:ext cx="5080000" cy="444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data in the shaded area.. Use the filters in columns A through D to sort by those criteria or use Data, Sort, to sort by slack or critical ratio</a:t>
          </a:r>
        </a:p>
      </xdr:txBody>
    </xdr:sp>
    <xdr:clientData fPrintsWithSheet="0"/>
  </xdr:twoCellAnchor>
</xdr:wsDr>
</file>

<file path=xl/drawings/drawing37.xml><?xml version="1.0" encoding="utf-8"?>
<xdr:wsDr xmlns:xdr="http://schemas.openxmlformats.org/drawingml/2006/spreadsheetDrawing" xmlns:a="http://schemas.openxmlformats.org/drawingml/2006/main">
  <xdr:twoCellAnchor>
    <xdr:from>
      <xdr:col>2</xdr:col>
      <xdr:colOff>139700</xdr:colOff>
      <xdr:row>1</xdr:row>
      <xdr:rowOff>25400</xdr:rowOff>
    </xdr:from>
    <xdr:to>
      <xdr:col>8</xdr:col>
      <xdr:colOff>266700</xdr:colOff>
      <xdr:row>3</xdr:row>
      <xdr:rowOff>50800</xdr:rowOff>
    </xdr:to>
    <xdr:sp macro="" textlink="">
      <xdr:nvSpPr>
        <xdr:cNvPr id="2" name="messageTextbox"/>
        <xdr:cNvSpPr txBox="1"/>
      </xdr:nvSpPr>
      <xdr:spPr>
        <a:xfrm>
          <a:off x="2540000" y="254000"/>
          <a:ext cx="5080000" cy="444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data in the shaded area.. If you wish to use a sequence other than the one generated by Johnson's method then change the sequence in the first column of the results area.</a:t>
          </a:r>
        </a:p>
      </xdr:txBody>
    </xdr:sp>
    <xdr:clientData fPrintsWithSheet="0"/>
  </xdr:twoCellAnchor>
</xdr:wsDr>
</file>

<file path=xl/drawings/drawing38.xml><?xml version="1.0" encoding="utf-8"?>
<xdr:wsDr xmlns:xdr="http://schemas.openxmlformats.org/drawingml/2006/spreadsheetDrawing" xmlns:a="http://schemas.openxmlformats.org/drawingml/2006/main">
  <xdr:twoCellAnchor>
    <xdr:from>
      <xdr:col>0</xdr:col>
      <xdr:colOff>889000</xdr:colOff>
      <xdr:row>3</xdr:row>
      <xdr:rowOff>0</xdr:rowOff>
    </xdr:from>
    <xdr:to>
      <xdr:col>3</xdr:col>
      <xdr:colOff>368300</xdr:colOff>
      <xdr:row>4</xdr:row>
      <xdr:rowOff>12700</xdr:rowOff>
    </xdr:to>
    <xdr:sp macro="" textlink="">
      <xdr:nvSpPr>
        <xdr:cNvPr id="2" name="messageTextbox"/>
        <xdr:cNvSpPr txBox="1"/>
      </xdr:nvSpPr>
      <xdr:spPr>
        <a:xfrm>
          <a:off x="889000" y="254000"/>
          <a:ext cx="2540000" cy="2032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data into the shaded area.</a:t>
          </a:r>
        </a:p>
      </xdr:txBody>
    </xdr:sp>
    <xdr:clientData fPrintsWithSheet="0"/>
  </xdr:twoCellAnchor>
</xdr:wsDr>
</file>

<file path=xl/drawings/drawing39.xml><?xml version="1.0" encoding="utf-8"?>
<xdr:wsDr xmlns:xdr="http://schemas.openxmlformats.org/drawingml/2006/spreadsheetDrawing" xmlns:a="http://schemas.openxmlformats.org/drawingml/2006/main">
  <xdr:twoCellAnchor>
    <xdr:from>
      <xdr:col>0</xdr:col>
      <xdr:colOff>254000</xdr:colOff>
      <xdr:row>3</xdr:row>
      <xdr:rowOff>0</xdr:rowOff>
    </xdr:from>
    <xdr:to>
      <xdr:col>3</xdr:col>
      <xdr:colOff>635000</xdr:colOff>
      <xdr:row>4</xdr:row>
      <xdr:rowOff>127000</xdr:rowOff>
    </xdr:to>
    <xdr:sp macro="" textlink="">
      <xdr:nvSpPr>
        <xdr:cNvPr id="2" name="messageTextbox"/>
        <xdr:cNvSpPr txBox="1"/>
      </xdr:nvSpPr>
      <xdr:spPr>
        <a:xfrm>
          <a:off x="254000" y="622300"/>
          <a:ext cx="3810000" cy="317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data in the shaded area for one of the six models</a:t>
          </a:r>
        </a:p>
      </xdr:txBody>
    </xdr:sp>
    <xdr:clientData fPrintsWithSheet="0"/>
  </xdr:twoCellAnchor>
</xdr:wsDr>
</file>

<file path=xl/drawings/drawing40.xml><?xml version="1.0" encoding="utf-8"?>
<xdr:wsDr xmlns:xdr="http://schemas.openxmlformats.org/drawingml/2006/spreadsheetDrawing" xmlns:a="http://schemas.openxmlformats.org/drawingml/2006/main">
  <xdr:twoCellAnchor>
    <xdr:from>
      <xdr:col>4</xdr:col>
      <xdr:colOff>317500</xdr:colOff>
      <xdr:row>1</xdr:row>
      <xdr:rowOff>139700</xdr:rowOff>
    </xdr:from>
    <xdr:to>
      <xdr:col>10</xdr:col>
      <xdr:colOff>444500</xdr:colOff>
      <xdr:row>3</xdr:row>
      <xdr:rowOff>38100</xdr:rowOff>
    </xdr:to>
    <xdr:sp macro="" textlink="">
      <xdr:nvSpPr>
        <xdr:cNvPr id="2" name="messageTextbox"/>
        <xdr:cNvSpPr txBox="1"/>
      </xdr:nvSpPr>
      <xdr:spPr>
        <a:xfrm>
          <a:off x="3759200" y="368300"/>
          <a:ext cx="5080000" cy="317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reliabilities as DECIMALS less than 1 (rather than as percentages) in the shaded area. For systems with parallel components that consist of items in series, enter the product (multiplication) of items in series.</a:t>
          </a:r>
        </a:p>
      </xdr:txBody>
    </xdr:sp>
    <xdr:clientData fPrintsWithSheet="0"/>
  </xdr:twoCellAnchor>
</xdr:wsDr>
</file>

<file path=xl/drawings/drawing41.xml><?xml version="1.0" encoding="utf-8"?>
<xdr:wsDr xmlns:xdr="http://schemas.openxmlformats.org/drawingml/2006/spreadsheetDrawing" xmlns:a="http://schemas.openxmlformats.org/drawingml/2006/main">
  <xdr:twoCellAnchor>
    <xdr:from>
      <xdr:col>0</xdr:col>
      <xdr:colOff>254000</xdr:colOff>
      <xdr:row>3</xdr:row>
      <xdr:rowOff>0</xdr:rowOff>
    </xdr:from>
    <xdr:to>
      <xdr:col>1</xdr:col>
      <xdr:colOff>698500</xdr:colOff>
      <xdr:row>4</xdr:row>
      <xdr:rowOff>12700</xdr:rowOff>
    </xdr:to>
    <xdr:sp macro="" textlink="">
      <xdr:nvSpPr>
        <xdr:cNvPr id="2" name="messageTextbox"/>
        <xdr:cNvSpPr txBox="1"/>
      </xdr:nvSpPr>
      <xdr:spPr>
        <a:xfrm>
          <a:off x="254000" y="622300"/>
          <a:ext cx="2540000" cy="2032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data in the shaded area.</a:t>
          </a:r>
        </a:p>
      </xdr:txBody>
    </xdr:sp>
    <xdr:clientData fPrintsWithSheet="0"/>
  </xdr:twoCellAnchor>
</xdr:wsDr>
</file>

<file path=xl/drawings/drawing42.xml><?xml version="1.0" encoding="utf-8"?>
<xdr:wsDr xmlns:xdr="http://schemas.openxmlformats.org/drawingml/2006/spreadsheetDrawing" xmlns:a="http://schemas.openxmlformats.org/drawingml/2006/main">
  <xdr:twoCellAnchor>
    <xdr:from>
      <xdr:col>0</xdr:col>
      <xdr:colOff>254000</xdr:colOff>
      <xdr:row>3</xdr:row>
      <xdr:rowOff>0</xdr:rowOff>
    </xdr:from>
    <xdr:to>
      <xdr:col>6</xdr:col>
      <xdr:colOff>508000</xdr:colOff>
      <xdr:row>4</xdr:row>
      <xdr:rowOff>127000</xdr:rowOff>
    </xdr:to>
    <xdr:sp macro="" textlink="">
      <xdr:nvSpPr>
        <xdr:cNvPr id="2" name="messageTextbox"/>
        <xdr:cNvSpPr txBox="1"/>
      </xdr:nvSpPr>
      <xdr:spPr>
        <a:xfrm>
          <a:off x="254000" y="647700"/>
          <a:ext cx="5080000" cy="317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profits in the main body of the data table. Enter probabilities in the first row if you want to compute the expected value.</a:t>
          </a:r>
        </a:p>
      </xdr:txBody>
    </xdr:sp>
    <xdr:clientData fPrintsWithSheet="0"/>
  </xdr:twoCellAnchor>
</xdr:wsDr>
</file>

<file path=xl/drawings/drawing43.xml><?xml version="1.0" encoding="utf-8"?>
<xdr:wsDr xmlns:xdr="http://schemas.openxmlformats.org/drawingml/2006/spreadsheetDrawing" xmlns:a="http://schemas.openxmlformats.org/drawingml/2006/main">
  <xdr:twoCellAnchor>
    <xdr:from>
      <xdr:col>2</xdr:col>
      <xdr:colOff>228600</xdr:colOff>
      <xdr:row>0</xdr:row>
      <xdr:rowOff>0</xdr:rowOff>
    </xdr:from>
    <xdr:to>
      <xdr:col>8</xdr:col>
      <xdr:colOff>76200</xdr:colOff>
      <xdr:row>3</xdr:row>
      <xdr:rowOff>50800</xdr:rowOff>
    </xdr:to>
    <xdr:sp macro="" textlink="">
      <xdr:nvSpPr>
        <xdr:cNvPr id="2" name="messageTextbox"/>
        <xdr:cNvSpPr txBox="1"/>
      </xdr:nvSpPr>
      <xdr:spPr>
        <a:xfrm>
          <a:off x="3238500" y="0"/>
          <a:ext cx="3810000" cy="698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values in the shaded area then use the Run Excel's Solver button. Alternatively, open Solver by going to the Data Tab (Excel 2007, 2010, 2013, 2016) or the Tools menu (Excel 2003, 2011).</a:t>
          </a:r>
        </a:p>
      </xdr:txBody>
    </xdr:sp>
    <xdr:clientData fPrintsWithSheet="0"/>
  </xdr:twoCellAnchor>
  <mc:AlternateContent xmlns:mc="http://schemas.openxmlformats.org/markup-compatibility/2006">
    <mc:Choice xmlns:a14="http://schemas.microsoft.com/office/drawing/2010/main" Requires="a14">
      <xdr:twoCellAnchor>
        <xdr:from>
          <xdr:col>0</xdr:col>
          <xdr:colOff>63500</xdr:colOff>
          <xdr:row>1</xdr:row>
          <xdr:rowOff>0</xdr:rowOff>
        </xdr:from>
        <xdr:to>
          <xdr:col>0</xdr:col>
          <xdr:colOff>1587500</xdr:colOff>
          <xdr:row>2</xdr:row>
          <xdr:rowOff>38100</xdr:rowOff>
        </xdr:to>
        <xdr:sp macro="" textlink="">
          <xdr:nvSpPr>
            <xdr:cNvPr id="129027" name="solverButton" hidden="1">
              <a:extLst>
                <a:ext uri="{63B3BB69-23CF-44E3-9099-C40C66FF867C}">
                  <a14:compatExt spid="_x0000_s129027"/>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Run Excel's Solver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1651000</xdr:colOff>
          <xdr:row>1</xdr:row>
          <xdr:rowOff>0</xdr:rowOff>
        </xdr:from>
        <xdr:to>
          <xdr:col>2</xdr:col>
          <xdr:colOff>165100</xdr:colOff>
          <xdr:row>2</xdr:row>
          <xdr:rowOff>38100</xdr:rowOff>
        </xdr:to>
        <xdr:sp macro="" textlink="">
          <xdr:nvSpPr>
            <xdr:cNvPr id="129028" name="solverHelpButton" hidden="1">
              <a:extLst>
                <a:ext uri="{63B3BB69-23CF-44E3-9099-C40C66FF867C}">
                  <a14:compatExt spid="_x0000_s129028"/>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Solver Help</a:t>
              </a:r>
            </a:p>
          </xdr:txBody>
        </xdr:sp>
        <xdr:clientData fPrintsWithSheet="0"/>
      </xdr:twoCellAnchor>
    </mc:Choice>
    <mc:Fallback/>
  </mc:AlternateContent>
  <xdr:twoCellAnchor editAs="oneCell">
    <xdr:from>
      <xdr:col>5</xdr:col>
      <xdr:colOff>177800</xdr:colOff>
      <xdr:row>16</xdr:row>
      <xdr:rowOff>139700</xdr:rowOff>
    </xdr:from>
    <xdr:to>
      <xdr:col>23</xdr:col>
      <xdr:colOff>317500</xdr:colOff>
      <xdr:row>50</xdr:row>
      <xdr:rowOff>38100</xdr:rowOff>
    </xdr:to>
    <xdr:pic>
      <xdr:nvPicPr>
        <xdr:cNvPr id="3" name="Picture 2"/>
        <xdr:cNvPicPr>
          <a:picLocks noChangeAspect="1"/>
        </xdr:cNvPicPr>
      </xdr:nvPicPr>
      <xdr:blipFill>
        <a:blip xmlns:r="http://schemas.openxmlformats.org/officeDocument/2006/relationships" r:embed="rId1"/>
        <a:stretch>
          <a:fillRect/>
        </a:stretch>
      </xdr:blipFill>
      <xdr:spPr>
        <a:xfrm>
          <a:off x="5168900" y="3289300"/>
          <a:ext cx="12026900" cy="6400800"/>
        </a:xfrm>
        <a:prstGeom prst="rect">
          <a:avLst/>
        </a:prstGeom>
      </xdr:spPr>
    </xdr:pic>
    <xdr:clientData/>
  </xdr:twoCellAnchor>
</xdr:wsDr>
</file>

<file path=xl/drawings/drawing44.xml><?xml version="1.0" encoding="utf-8"?>
<xdr:wsDr xmlns:xdr="http://schemas.openxmlformats.org/drawingml/2006/spreadsheetDrawing" xmlns:a="http://schemas.openxmlformats.org/drawingml/2006/main">
  <xdr:twoCellAnchor>
    <xdr:from>
      <xdr:col>4</xdr:col>
      <xdr:colOff>63500</xdr:colOff>
      <xdr:row>3</xdr:row>
      <xdr:rowOff>0</xdr:rowOff>
    </xdr:from>
    <xdr:to>
      <xdr:col>9</xdr:col>
      <xdr:colOff>571500</xdr:colOff>
      <xdr:row>6</xdr:row>
      <xdr:rowOff>127000</xdr:rowOff>
    </xdr:to>
    <xdr:sp macro="" textlink="">
      <xdr:nvSpPr>
        <xdr:cNvPr id="2" name="messageTextbox"/>
        <xdr:cNvSpPr txBox="1"/>
      </xdr:nvSpPr>
      <xdr:spPr>
        <a:xfrm>
          <a:off x="3238500" y="647700"/>
          <a:ext cx="3810000" cy="698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values in the shaded area then use the Run Excel's Solver button. Alternatively,open Solver by going to the Data Tab (Excel 2007, 2010, 2013, 2016) or the Tools menu (Excel 2003, 2011). Use the buttons on the left to find a starting solution.</a:t>
          </a:r>
        </a:p>
      </xdr:txBody>
    </xdr:sp>
    <xdr:clientData fPrintsWithSheet="0"/>
  </xdr:twoCellAnchor>
  <mc:AlternateContent xmlns:mc="http://schemas.openxmlformats.org/markup-compatibility/2006">
    <mc:Choice xmlns:a14="http://schemas.microsoft.com/office/drawing/2010/main" Requires="a14">
      <xdr:twoCellAnchor>
        <xdr:from>
          <xdr:col>0</xdr:col>
          <xdr:colOff>0</xdr:colOff>
          <xdr:row>1</xdr:row>
          <xdr:rowOff>25400</xdr:rowOff>
        </xdr:from>
        <xdr:to>
          <xdr:col>1</xdr:col>
          <xdr:colOff>76200</xdr:colOff>
          <xdr:row>2</xdr:row>
          <xdr:rowOff>25400</xdr:rowOff>
        </xdr:to>
        <xdr:sp macro="" textlink="">
          <xdr:nvSpPr>
            <xdr:cNvPr id="130051" name="Button 3" hidden="1">
              <a:extLst>
                <a:ext uri="{63B3BB69-23CF-44E3-9099-C40C66FF867C}">
                  <a14:compatExt spid="_x0000_s130051"/>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a:ea typeface="Calibri"/>
                  <a:cs typeface="Calibri"/>
                </a:rPr>
                <a:t>Northwest Corner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2</xdr:row>
          <xdr:rowOff>25400</xdr:rowOff>
        </xdr:from>
        <xdr:to>
          <xdr:col>1</xdr:col>
          <xdr:colOff>76200</xdr:colOff>
          <xdr:row>2</xdr:row>
          <xdr:rowOff>215900</xdr:rowOff>
        </xdr:to>
        <xdr:sp macro="" textlink="">
          <xdr:nvSpPr>
            <xdr:cNvPr id="130052" name="Button 4" hidden="1">
              <a:extLst>
                <a:ext uri="{63B3BB69-23CF-44E3-9099-C40C66FF867C}">
                  <a14:compatExt spid="_x0000_s130052"/>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a:ea typeface="Calibri"/>
                  <a:cs typeface="Calibri"/>
                </a:rPr>
                <a:t>Vogel's Method</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2</xdr:row>
          <xdr:rowOff>215900</xdr:rowOff>
        </xdr:from>
        <xdr:to>
          <xdr:col>1</xdr:col>
          <xdr:colOff>76200</xdr:colOff>
          <xdr:row>3</xdr:row>
          <xdr:rowOff>177800</xdr:rowOff>
        </xdr:to>
        <xdr:sp macro="" textlink="">
          <xdr:nvSpPr>
            <xdr:cNvPr id="130053" name="Button 5" hidden="1">
              <a:extLst>
                <a:ext uri="{63B3BB69-23CF-44E3-9099-C40C66FF867C}">
                  <a14:compatExt spid="_x0000_s13005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a:ea typeface="Calibri"/>
                  <a:cs typeface="Calibri"/>
                </a:rPr>
                <a:t>Minimum Cost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0</xdr:colOff>
          <xdr:row>0</xdr:row>
          <xdr:rowOff>0</xdr:rowOff>
        </xdr:from>
        <xdr:to>
          <xdr:col>4</xdr:col>
          <xdr:colOff>203200</xdr:colOff>
          <xdr:row>1</xdr:row>
          <xdr:rowOff>0</xdr:rowOff>
        </xdr:to>
        <xdr:sp macro="" textlink="">
          <xdr:nvSpPr>
            <xdr:cNvPr id="130054" name="solverButton" hidden="1">
              <a:extLst>
                <a:ext uri="{63B3BB69-23CF-44E3-9099-C40C66FF867C}">
                  <a14:compatExt spid="_x0000_s130054"/>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Run Excel's Solver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0</xdr:colOff>
          <xdr:row>1</xdr:row>
          <xdr:rowOff>0</xdr:rowOff>
        </xdr:from>
        <xdr:to>
          <xdr:col>4</xdr:col>
          <xdr:colOff>203200</xdr:colOff>
          <xdr:row>2</xdr:row>
          <xdr:rowOff>38100</xdr:rowOff>
        </xdr:to>
        <xdr:sp macro="" textlink="">
          <xdr:nvSpPr>
            <xdr:cNvPr id="130055" name="solverHelpButton" hidden="1">
              <a:extLst>
                <a:ext uri="{63B3BB69-23CF-44E3-9099-C40C66FF867C}">
                  <a14:compatExt spid="_x0000_s13005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Solver Help</a:t>
              </a:r>
            </a:p>
          </xdr:txBody>
        </xdr:sp>
        <xdr:clientData fPrintsWithSheet="0"/>
      </xdr:twoCellAnchor>
    </mc:Choice>
    <mc:Fallback/>
  </mc:AlternateContent>
</xdr:wsDr>
</file>

<file path=xl/drawings/drawing45.xml><?xml version="1.0" encoding="utf-8"?>
<xdr:wsDr xmlns:xdr="http://schemas.openxmlformats.org/drawingml/2006/spreadsheetDrawing" xmlns:a="http://schemas.openxmlformats.org/drawingml/2006/main">
  <xdr:twoCellAnchor>
    <xdr:from>
      <xdr:col>0</xdr:col>
      <xdr:colOff>254000</xdr:colOff>
      <xdr:row>3</xdr:row>
      <xdr:rowOff>0</xdr:rowOff>
    </xdr:from>
    <xdr:to>
      <xdr:col>3</xdr:col>
      <xdr:colOff>2120900</xdr:colOff>
      <xdr:row>5</xdr:row>
      <xdr:rowOff>0</xdr:rowOff>
    </xdr:to>
    <xdr:sp macro="" textlink="">
      <xdr:nvSpPr>
        <xdr:cNvPr id="2" name="messageTextbox"/>
        <xdr:cNvSpPr txBox="1"/>
      </xdr:nvSpPr>
      <xdr:spPr>
        <a:xfrm>
          <a:off x="254000" y="647700"/>
          <a:ext cx="5080000" cy="3810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The arrival RATE and service RATE both must be rates and use the same time unit. Given a time such as 10 minutes, convert it to a rate such as 6 per hour.</a:t>
          </a:r>
        </a:p>
      </xdr:txBody>
    </xdr:sp>
    <xdr:clientData fPrintsWithSheet="0"/>
  </xdr:twoCellAnchor>
</xdr:wsDr>
</file>

<file path=xl/drawings/drawing46.xml><?xml version="1.0" encoding="utf-8"?>
<xdr:wsDr xmlns:xdr="http://schemas.openxmlformats.org/drawingml/2006/spreadsheetDrawing" xmlns:a="http://schemas.openxmlformats.org/drawingml/2006/main">
  <xdr:twoCellAnchor>
    <xdr:from>
      <xdr:col>0</xdr:col>
      <xdr:colOff>254000</xdr:colOff>
      <xdr:row>3</xdr:row>
      <xdr:rowOff>0</xdr:rowOff>
    </xdr:from>
    <xdr:to>
      <xdr:col>3</xdr:col>
      <xdr:colOff>2387600</xdr:colOff>
      <xdr:row>4</xdr:row>
      <xdr:rowOff>177800</xdr:rowOff>
    </xdr:to>
    <xdr:sp macro="" textlink="">
      <xdr:nvSpPr>
        <xdr:cNvPr id="2" name="messageTextbox"/>
        <xdr:cNvSpPr txBox="1"/>
      </xdr:nvSpPr>
      <xdr:spPr>
        <a:xfrm>
          <a:off x="254000" y="647700"/>
          <a:ext cx="5080000" cy="3810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The arrival RATE and service RATE both must be rates and use the same time unit. Given a time such as 10 minutes, convert it to a rate such as 6 per hour.</a:t>
          </a:r>
        </a:p>
      </xdr:txBody>
    </xdr:sp>
    <xdr:clientData fPrintsWithSheet="0"/>
  </xdr:twoCellAnchor>
</xdr:wsDr>
</file>

<file path=xl/drawings/drawing47.xml><?xml version="1.0" encoding="utf-8"?>
<xdr:wsDr xmlns:xdr="http://schemas.openxmlformats.org/drawingml/2006/spreadsheetDrawing" xmlns:a="http://schemas.openxmlformats.org/drawingml/2006/main">
  <xdr:twoCellAnchor>
    <xdr:from>
      <xdr:col>0</xdr:col>
      <xdr:colOff>254000</xdr:colOff>
      <xdr:row>3</xdr:row>
      <xdr:rowOff>0</xdr:rowOff>
    </xdr:from>
    <xdr:to>
      <xdr:col>3</xdr:col>
      <xdr:colOff>2705100</xdr:colOff>
      <xdr:row>5</xdr:row>
      <xdr:rowOff>0</xdr:rowOff>
    </xdr:to>
    <xdr:sp macro="" textlink="">
      <xdr:nvSpPr>
        <xdr:cNvPr id="2" name="messageTextbox"/>
        <xdr:cNvSpPr txBox="1"/>
      </xdr:nvSpPr>
      <xdr:spPr>
        <a:xfrm>
          <a:off x="254000" y="647700"/>
          <a:ext cx="5080000" cy="3810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The arrival RATE and service RATE both must be rates and use the same time unit. Given a time such as 10 minutes, convert it to a rate such as 6 per hour.</a:t>
          </a:r>
        </a:p>
      </xdr:txBody>
    </xdr:sp>
    <xdr:clientData fPrintsWithSheet="0"/>
  </xdr:twoCellAnchor>
</xdr:wsDr>
</file>

<file path=xl/drawings/drawing48.xml><?xml version="1.0" encoding="utf-8"?>
<xdr:wsDr xmlns:xdr="http://schemas.openxmlformats.org/drawingml/2006/spreadsheetDrawing" xmlns:a="http://schemas.openxmlformats.org/drawingml/2006/main">
  <xdr:twoCellAnchor>
    <xdr:from>
      <xdr:col>4</xdr:col>
      <xdr:colOff>611773</xdr:colOff>
      <xdr:row>1</xdr:row>
      <xdr:rowOff>80211</xdr:rowOff>
    </xdr:from>
    <xdr:to>
      <xdr:col>15</xdr:col>
      <xdr:colOff>167855</xdr:colOff>
      <xdr:row>3</xdr:row>
      <xdr:rowOff>23374</xdr:rowOff>
    </xdr:to>
    <xdr:sp macro="" textlink="">
      <xdr:nvSpPr>
        <xdr:cNvPr id="2" name="messageTextbox"/>
        <xdr:cNvSpPr txBox="1">
          <a:spLocks noChangeArrowheads="1"/>
        </xdr:cNvSpPr>
      </xdr:nvSpPr>
      <xdr:spPr bwMode="auto">
        <a:xfrm>
          <a:off x="9167562" y="320843"/>
          <a:ext cx="6761661" cy="317478"/>
        </a:xfrm>
        <a:prstGeom prst="rect">
          <a:avLst/>
        </a:prstGeom>
        <a:solidFill>
          <a:srgbClr val="FFFF99"/>
        </a:solidFill>
        <a:ln w="1">
          <a:solidFill>
            <a:srgbClr val="000000"/>
          </a:solidFill>
          <a:miter lim="800000"/>
          <a:headEnd/>
          <a:tailEnd/>
        </a:ln>
        <a:effectLst>
          <a:outerShdw blurRad="63500" dist="38099" dir="2700000" algn="ctr" rotWithShape="0">
            <a:srgbClr val="000000">
              <a:alpha val="74997"/>
            </a:srgbClr>
          </a:outerShdw>
        </a:effectLst>
      </xdr:spPr>
      <xdr:txBody>
        <a:bodyPr vertOverflow="clip" wrap="square" lIns="27432" tIns="22860" rIns="0" bIns="22860" anchor="ctr"/>
        <a:lstStyle/>
        <a:p>
          <a:pPr algn="l" rtl="0">
            <a:defRPr sz="1000"/>
          </a:pPr>
          <a:r>
            <a:rPr lang="en-US" sz="900" b="0" i="0" u="none" strike="noStrike" baseline="0">
              <a:solidFill>
                <a:srgbClr val="993300"/>
              </a:solidFill>
              <a:latin typeface="Arial"/>
              <a:ea typeface="Arial"/>
              <a:cs typeface="Arial"/>
            </a:rPr>
            <a:t>Enter the data. Notice that TIMES are entered for this model rather than RATES."</a:t>
          </a:r>
        </a:p>
      </xdr:txBody>
    </xdr:sp>
    <xdr:clientData fPrintsWithSheet="0"/>
  </xdr:twoCellAnchor>
</xdr:wsDr>
</file>

<file path=xl/drawings/drawing49.xml><?xml version="1.0" encoding="utf-8"?>
<xdr:wsDr xmlns:xdr="http://schemas.openxmlformats.org/drawingml/2006/spreadsheetDrawing" xmlns:a="http://schemas.openxmlformats.org/drawingml/2006/main">
  <xdr:twoCellAnchor>
    <xdr:from>
      <xdr:col>3</xdr:col>
      <xdr:colOff>209550</xdr:colOff>
      <xdr:row>20</xdr:row>
      <xdr:rowOff>63500</xdr:rowOff>
    </xdr:from>
    <xdr:to>
      <xdr:col>18</xdr:col>
      <xdr:colOff>755650</xdr:colOff>
      <xdr:row>41</xdr:row>
      <xdr:rowOff>25400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0</xdr:row>
      <xdr:rowOff>114300</xdr:rowOff>
    </xdr:from>
    <xdr:to>
      <xdr:col>6</xdr:col>
      <xdr:colOff>812800</xdr:colOff>
      <xdr:row>4</xdr:row>
      <xdr:rowOff>38100</xdr:rowOff>
    </xdr:to>
    <xdr:sp macro="" textlink="">
      <xdr:nvSpPr>
        <xdr:cNvPr id="3" name="messageTextbox"/>
        <xdr:cNvSpPr txBox="1"/>
      </xdr:nvSpPr>
      <xdr:spPr>
        <a:xfrm>
          <a:off x="4140200" y="114300"/>
          <a:ext cx="2463800" cy="7620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unit number for the base unit. This is generally 1 but does not need to be 1. Enter the time that this base unit took and enter the learning curve coefficient. Do not change the numbers in the red shaded area.</a:t>
          </a:r>
        </a:p>
      </xdr:txBody>
    </xdr:sp>
    <xdr:clientData fPrintsWithSheet="0"/>
  </xdr:twoCellAnchor>
</xdr:wsDr>
</file>

<file path=xl/drawings/drawing50.xml><?xml version="1.0" encoding="utf-8"?>
<xdr:wsDr xmlns:xdr="http://schemas.openxmlformats.org/drawingml/2006/spreadsheetDrawing" xmlns:a="http://schemas.openxmlformats.org/drawingml/2006/main">
  <xdr:twoCellAnchor>
    <xdr:from>
      <xdr:col>4</xdr:col>
      <xdr:colOff>692150</xdr:colOff>
      <xdr:row>14</xdr:row>
      <xdr:rowOff>63500</xdr:rowOff>
    </xdr:from>
    <xdr:to>
      <xdr:col>20</xdr:col>
      <xdr:colOff>412750</xdr:colOff>
      <xdr:row>34</xdr:row>
      <xdr:rowOff>25400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800100</xdr:colOff>
      <xdr:row>3</xdr:row>
      <xdr:rowOff>25400</xdr:rowOff>
    </xdr:from>
    <xdr:to>
      <xdr:col>11</xdr:col>
      <xdr:colOff>469900</xdr:colOff>
      <xdr:row>4</xdr:row>
      <xdr:rowOff>152400</xdr:rowOff>
    </xdr:to>
    <xdr:sp macro="" textlink="">
      <xdr:nvSpPr>
        <xdr:cNvPr id="3" name="messageTextbox"/>
        <xdr:cNvSpPr txBox="1"/>
      </xdr:nvSpPr>
      <xdr:spPr>
        <a:xfrm>
          <a:off x="6578600" y="673100"/>
          <a:ext cx="3797300" cy="317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unit number and time for a 'first' unit and a 'last' unit. The last unit number should be greater than the first.</a:t>
          </a:r>
        </a:p>
      </xdr:txBody>
    </xdr:sp>
    <xdr:clientData fPrintsWithSheet="0"/>
  </xdr:twoCellAnchor>
</xdr:wsDr>
</file>

<file path=xl/drawings/drawing51.xml><?xml version="1.0" encoding="utf-8"?>
<xdr:wsDr xmlns:xdr="http://schemas.openxmlformats.org/drawingml/2006/spreadsheetDrawing" xmlns:a="http://schemas.openxmlformats.org/drawingml/2006/main">
  <xdr:twoCellAnchor>
    <xdr:from>
      <xdr:col>10</xdr:col>
      <xdr:colOff>85725</xdr:colOff>
      <xdr:row>19</xdr:row>
      <xdr:rowOff>85725</xdr:rowOff>
    </xdr:from>
    <xdr:to>
      <xdr:col>15</xdr:col>
      <xdr:colOff>647723</xdr:colOff>
      <xdr:row>34</xdr:row>
      <xdr:rowOff>19050</xdr:rowOff>
    </xdr:to>
    <xdr:sp macro="" textlink="">
      <xdr:nvSpPr>
        <xdr:cNvPr id="2" name="message0"/>
        <xdr:cNvSpPr txBox="1"/>
      </xdr:nvSpPr>
      <xdr:spPr>
        <a:xfrm>
          <a:off x="7489825" y="3997325"/>
          <a:ext cx="4841898" cy="2803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solidFill>
                <a:srgbClr val="FF0000"/>
              </a:solidFill>
            </a:rPr>
            <a:t>If you have the Heizer or Render textbook</a:t>
          </a:r>
          <a:r>
            <a:rPr lang="en-US" sz="1100" baseline="0">
              <a:solidFill>
                <a:srgbClr val="FF0000"/>
              </a:solidFill>
            </a:rPr>
            <a:t> and the random number in column B is 0, then Excel's VLOOKUP function will give the smallest value from column C rather than the largest as is done in those textbooks. If you have entered the numbers yourself based on the random numbers from the textbook, rather than using the RAND function , simply change the 0 in column B to 100.</a:t>
          </a:r>
          <a:endParaRPr lang="en-US" sz="1100">
            <a:solidFill>
              <a:srgbClr val="FF0000"/>
            </a:solidFill>
          </a:endParaRPr>
        </a:p>
      </xdr:txBody>
    </xdr:sp>
    <xdr:clientData/>
  </xdr:twoCellAnchor>
  <xdr:twoCellAnchor>
    <xdr:from>
      <xdr:col>11</xdr:col>
      <xdr:colOff>425450</xdr:colOff>
      <xdr:row>1</xdr:row>
      <xdr:rowOff>88900</xdr:rowOff>
    </xdr:from>
    <xdr:to>
      <xdr:col>20</xdr:col>
      <xdr:colOff>628650</xdr:colOff>
      <xdr:row>3</xdr:row>
      <xdr:rowOff>139700</xdr:rowOff>
    </xdr:to>
    <xdr:sp macro="" textlink="">
      <xdr:nvSpPr>
        <xdr:cNvPr id="3" name="messageTextbox"/>
        <xdr:cNvSpPr txBox="1"/>
      </xdr:nvSpPr>
      <xdr:spPr>
        <a:xfrm>
          <a:off x="10534650" y="317500"/>
          <a:ext cx="6515100" cy="4445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values and the requencies in the top table. Press F9 to run another simulation. If you like, you may enter the random numbers in the column labeled "Random number".</a:t>
          </a: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oward%20Weiss/Documents/My%20Dropbox/ExcelOMQMv5Mac/file:/N:/Version4.design.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hittampalliyashaswini/Library/Application%20Support/Microsoft/Office/Office%202011%20AutoRecovery/ExcelOMQMV5Mac.Heizer/excelOMQMV5.xla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odel Comparison"/>
      <sheetName val="regnow"/>
      <sheetName val="pair.com"/>
      <sheetName val="KRM Differences, Manual &amp; Help"/>
      <sheetName val="V4 Builds"/>
      <sheetName val="V3 Builds"/>
      <sheetName val="Todo"/>
      <sheetName val="Final testing"/>
      <sheetName val="Final Steps"/>
      <sheetName val="Installation"/>
      <sheetName val="Save as Excel"/>
      <sheetName val="Startup"/>
      <sheetName val="Entwistle"/>
      <sheetName val="Alana notes"/>
      <sheetName val="Tutorials"/>
      <sheetName val="Programming notes to self"/>
      <sheetName val="HR 7 - new problems solved"/>
      <sheetName val="Phone numbers"/>
      <sheetName val="Menu"/>
      <sheetName val="Colorselection sheet"/>
      <sheetName val="48 Colors"/>
      <sheetName val="V3 improvements"/>
      <sheetName val="V3 Changes"/>
      <sheetName val="Installation programs"/>
      <sheetName val="Version4.design"/>
      <sheetName val="Version4.design.xls"/>
    </sheetNames>
    <definedNames>
      <definedName name="Integer"/>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Paste"/>
      <sheetName val="Todo"/>
      <sheetName val="Mac"/>
      <sheetName val="V3-V4-V5 History"/>
      <sheetName val="v5.2"/>
      <sheetName val="OnLive"/>
      <sheetName val="MenuSheetv5"/>
      <sheetName val="MenuHR9"/>
      <sheetName val="MenuFoster5"/>
      <sheetName val="MenuRSH10"/>
      <sheetName val="MenuRSH11"/>
      <sheetName val="MenuRSH12"/>
      <sheetName val="MenuTaylor10"/>
      <sheetName val="EOQ"/>
      <sheetName val="POQ"/>
      <sheetName val="multiBE"/>
      <sheetName val="ProbDist"/>
      <sheetName val="InvSSNorm"/>
      <sheetName val="WorkMeas"/>
      <sheetName val="Simulation"/>
      <sheetName val="Raw data"/>
      <sheetName val="Frequencies"/>
      <sheetName val="Prob dist"/>
      <sheetName val="Normal"/>
      <sheetName val="Reliability"/>
      <sheetName val="Markov"/>
      <sheetName val="Trans_agg"/>
      <sheetName val="MRPData"/>
      <sheetName val="HJW"/>
      <sheetName val="LP_max"/>
      <sheetName val="LP_min"/>
      <sheetName val="IP_max"/>
      <sheetName val="IP_min"/>
      <sheetName val="HWPert"/>
      <sheetName val="Trans_max"/>
      <sheetName val="Trans_min"/>
      <sheetName val="Assign_min"/>
      <sheetName val="Assign_max"/>
      <sheetName val="Game Theory"/>
      <sheetName val="sqc-1"/>
      <sheetName val="HWShortPath"/>
      <sheetName val="HWMaxFlow"/>
      <sheetName val="Markov chain solver"/>
      <sheetName val="SQC"/>
      <sheetName val="LimitedPop"/>
      <sheetName val="ProjCrashing"/>
      <sheetName val="excelOMQMV5.xlam"/>
    </sheetNames>
    <definedNames>
      <definedName name="CallSolver"/>
      <definedName name="changeN"/>
      <definedName name="layout_solve"/>
      <definedName name="lotforlot"/>
      <definedName name="lotsizeEOQ"/>
      <definedName name="lotsizePOQ"/>
      <definedName name="lotsizePPB"/>
      <definedName name="lotSizeSummary"/>
      <definedName name="Mincost"/>
      <definedName name="Moore"/>
      <definedName name="movavgerrors"/>
      <definedName name="NWcorner"/>
      <definedName name="setSymmetric"/>
      <definedName name="SolverHelp"/>
      <definedName name="summaryTable"/>
      <definedName name="Vogel"/>
      <definedName name="wagnerWhitin"/>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omments" Target="../comments1.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 Id="rId3"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2" Type="http://schemas.openxmlformats.org/officeDocument/2006/relationships/vmlDrawing" Target="../drawings/vmlDrawing6.vml"/><Relationship Id="rId3"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2" Type="http://schemas.openxmlformats.org/officeDocument/2006/relationships/vmlDrawing" Target="../drawings/vmlDrawing7.vml"/><Relationship Id="rId3"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2" Type="http://schemas.openxmlformats.org/officeDocument/2006/relationships/vmlDrawing" Target="../drawings/vmlDrawing8.vml"/><Relationship Id="rId3"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2" Type="http://schemas.openxmlformats.org/officeDocument/2006/relationships/vmlDrawing" Target="../drawings/vmlDrawing9.vml"/><Relationship Id="rId3"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2" Type="http://schemas.openxmlformats.org/officeDocument/2006/relationships/vmlDrawing" Target="../drawings/vmlDrawing10.vml"/><Relationship Id="rId3"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2" Type="http://schemas.openxmlformats.org/officeDocument/2006/relationships/vmlDrawing" Target="../drawings/vmlDrawing11.vml"/><Relationship Id="rId3"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2" Type="http://schemas.openxmlformats.org/officeDocument/2006/relationships/vmlDrawing" Target="../drawings/vmlDrawing12.vml"/><Relationship Id="rId3"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2" Type="http://schemas.openxmlformats.org/officeDocument/2006/relationships/vmlDrawing" Target="../drawings/vmlDrawing13.vml"/><Relationship Id="rId3"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 Id="rId2" Type="http://schemas.openxmlformats.org/officeDocument/2006/relationships/vmlDrawing" Target="../drawings/vmlDrawing14.vml"/><Relationship Id="rId3"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2" Type="http://schemas.openxmlformats.org/officeDocument/2006/relationships/vmlDrawing" Target="../drawings/vmlDrawing15.vml"/><Relationship Id="rId3"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 Id="rId2" Type="http://schemas.openxmlformats.org/officeDocument/2006/relationships/vmlDrawing" Target="../drawings/vmlDrawing16.vml"/><Relationship Id="rId3"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2" Type="http://schemas.openxmlformats.org/officeDocument/2006/relationships/vmlDrawing" Target="../drawings/vmlDrawing17.vml"/><Relationship Id="rId3"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2" Type="http://schemas.openxmlformats.org/officeDocument/2006/relationships/vmlDrawing" Target="../drawings/vmlDrawing18.vml"/><Relationship Id="rId3"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ctrlProp" Target="../ctrlProps/ctrlProp3.xml"/><Relationship Id="rId4" Type="http://schemas.openxmlformats.org/officeDocument/2006/relationships/ctrlProp" Target="../ctrlProps/ctrlProp4.xml"/><Relationship Id="rId5" Type="http://schemas.openxmlformats.org/officeDocument/2006/relationships/comments" Target="../comments19.xml"/><Relationship Id="rId1" Type="http://schemas.openxmlformats.org/officeDocument/2006/relationships/drawing" Target="../drawings/drawing19.xml"/><Relationship Id="rId2" Type="http://schemas.openxmlformats.org/officeDocument/2006/relationships/vmlDrawing" Target="../drawings/vmlDrawing19.vml"/></Relationships>
</file>

<file path=xl/worksheets/_rels/sheet20.xml.rels><?xml version="1.0" encoding="UTF-8" standalone="yes"?>
<Relationships xmlns="http://schemas.openxmlformats.org/package/2006/relationships"><Relationship Id="rId3" Type="http://schemas.openxmlformats.org/officeDocument/2006/relationships/ctrlProp" Target="../ctrlProps/ctrlProp5.xml"/><Relationship Id="rId4" Type="http://schemas.openxmlformats.org/officeDocument/2006/relationships/ctrlProp" Target="../ctrlProps/ctrlProp6.xml"/><Relationship Id="rId5" Type="http://schemas.openxmlformats.org/officeDocument/2006/relationships/comments" Target="../comments20.xml"/><Relationship Id="rId1" Type="http://schemas.openxmlformats.org/officeDocument/2006/relationships/drawing" Target="../drawings/drawing20.xml"/><Relationship Id="rId2" Type="http://schemas.openxmlformats.org/officeDocument/2006/relationships/vmlDrawing" Target="../drawings/vmlDrawing20.v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 Id="rId2" Type="http://schemas.openxmlformats.org/officeDocument/2006/relationships/vmlDrawing" Target="../drawings/vmlDrawing21.vml"/><Relationship Id="rId3"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2" Type="http://schemas.openxmlformats.org/officeDocument/2006/relationships/vmlDrawing" Target="../drawings/vmlDrawing22.vml"/><Relationship Id="rId3"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 Id="rId2" Type="http://schemas.openxmlformats.org/officeDocument/2006/relationships/vmlDrawing" Target="../drawings/vmlDrawing23.vml"/><Relationship Id="rId3"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 Id="rId2" Type="http://schemas.openxmlformats.org/officeDocument/2006/relationships/vmlDrawing" Target="../drawings/vmlDrawing24.vml"/><Relationship Id="rId3"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 Id="rId2" Type="http://schemas.openxmlformats.org/officeDocument/2006/relationships/vmlDrawing" Target="../drawings/vmlDrawing25.vml"/><Relationship Id="rId3"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 Id="rId2" Type="http://schemas.openxmlformats.org/officeDocument/2006/relationships/vmlDrawing" Target="../drawings/vmlDrawing26.vml"/><Relationship Id="rId3"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 Id="rId2" Type="http://schemas.openxmlformats.org/officeDocument/2006/relationships/vmlDrawing" Target="../drawings/vmlDrawing27.vml"/><Relationship Id="rId3"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 Id="rId2" Type="http://schemas.openxmlformats.org/officeDocument/2006/relationships/vmlDrawing" Target="../drawings/vmlDrawing28.vml"/><Relationship Id="rId3"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 Id="rId2" Type="http://schemas.openxmlformats.org/officeDocument/2006/relationships/vmlDrawing" Target="../drawings/vmlDrawing29.vml"/><Relationship Id="rId3"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 Id="rId2" Type="http://schemas.openxmlformats.org/officeDocument/2006/relationships/vmlDrawing" Target="../drawings/vmlDrawing30.vml"/><Relationship Id="rId3" Type="http://schemas.openxmlformats.org/officeDocument/2006/relationships/comments" Target="../comments30.xml"/></Relationships>
</file>

<file path=xl/worksheets/_rels/sheet31.xml.rels><?xml version="1.0" encoding="UTF-8" standalone="yes"?>
<Relationships xmlns="http://schemas.openxmlformats.org/package/2006/relationships"><Relationship Id="rId3" Type="http://schemas.openxmlformats.org/officeDocument/2006/relationships/ctrlProp" Target="../ctrlProps/ctrlProp7.xml"/><Relationship Id="rId4" Type="http://schemas.openxmlformats.org/officeDocument/2006/relationships/ctrlProp" Target="../ctrlProps/ctrlProp8.xml"/><Relationship Id="rId5" Type="http://schemas.openxmlformats.org/officeDocument/2006/relationships/comments" Target="../comments31.xml"/><Relationship Id="rId1" Type="http://schemas.openxmlformats.org/officeDocument/2006/relationships/drawing" Target="../drawings/drawing31.xml"/><Relationship Id="rId2" Type="http://schemas.openxmlformats.org/officeDocument/2006/relationships/vmlDrawing" Target="../drawings/vmlDrawing31.vml"/></Relationships>
</file>

<file path=xl/worksheets/_rels/sheet32.xml.rels><?xml version="1.0" encoding="UTF-8" standalone="yes"?>
<Relationships xmlns="http://schemas.openxmlformats.org/package/2006/relationships"><Relationship Id="rId3" Type="http://schemas.openxmlformats.org/officeDocument/2006/relationships/ctrlProp" Target="../ctrlProps/ctrlProp9.xml"/><Relationship Id="rId4" Type="http://schemas.openxmlformats.org/officeDocument/2006/relationships/ctrlProp" Target="../ctrlProps/ctrlProp10.xml"/><Relationship Id="rId5" Type="http://schemas.openxmlformats.org/officeDocument/2006/relationships/comments" Target="../comments32.xml"/><Relationship Id="rId1" Type="http://schemas.openxmlformats.org/officeDocument/2006/relationships/drawing" Target="../drawings/drawing32.xml"/><Relationship Id="rId2" Type="http://schemas.openxmlformats.org/officeDocument/2006/relationships/vmlDrawing" Target="../drawings/vmlDrawing32.v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 Id="rId2" Type="http://schemas.openxmlformats.org/officeDocument/2006/relationships/vmlDrawing" Target="../drawings/vmlDrawing33.vml"/><Relationship Id="rId3" Type="http://schemas.openxmlformats.org/officeDocument/2006/relationships/comments" Target="../comments33.xml"/></Relationships>
</file>

<file path=xl/worksheets/_rels/sheet34.xml.rels><?xml version="1.0" encoding="UTF-8" standalone="yes"?>
<Relationships xmlns="http://schemas.openxmlformats.org/package/2006/relationships"><Relationship Id="rId3" Type="http://schemas.openxmlformats.org/officeDocument/2006/relationships/ctrlProp" Target="../ctrlProps/ctrlProp11.xml"/><Relationship Id="rId4" Type="http://schemas.openxmlformats.org/officeDocument/2006/relationships/ctrlProp" Target="../ctrlProps/ctrlProp12.xml"/><Relationship Id="rId5" Type="http://schemas.openxmlformats.org/officeDocument/2006/relationships/ctrlProp" Target="../ctrlProps/ctrlProp13.xml"/><Relationship Id="rId6" Type="http://schemas.openxmlformats.org/officeDocument/2006/relationships/ctrlProp" Target="../ctrlProps/ctrlProp14.xml"/><Relationship Id="rId7" Type="http://schemas.openxmlformats.org/officeDocument/2006/relationships/ctrlProp" Target="../ctrlProps/ctrlProp15.xml"/><Relationship Id="rId8" Type="http://schemas.openxmlformats.org/officeDocument/2006/relationships/ctrlProp" Target="../ctrlProps/ctrlProp16.xml"/><Relationship Id="rId9" Type="http://schemas.openxmlformats.org/officeDocument/2006/relationships/comments" Target="../comments34.xml"/><Relationship Id="rId1" Type="http://schemas.openxmlformats.org/officeDocument/2006/relationships/drawing" Target="../drawings/drawing34.xml"/><Relationship Id="rId2" Type="http://schemas.openxmlformats.org/officeDocument/2006/relationships/vmlDrawing" Target="../drawings/vmlDrawing34.vml"/></Relationships>
</file>

<file path=xl/worksheets/_rels/sheet35.xml.rels><?xml version="1.0" encoding="UTF-8" standalone="yes"?>
<Relationships xmlns="http://schemas.openxmlformats.org/package/2006/relationships"><Relationship Id="rId3" Type="http://schemas.openxmlformats.org/officeDocument/2006/relationships/ctrlProp" Target="../ctrlProps/ctrlProp17.xml"/><Relationship Id="rId4" Type="http://schemas.openxmlformats.org/officeDocument/2006/relationships/ctrlProp" Target="../ctrlProps/ctrlProp18.xml"/><Relationship Id="rId5" Type="http://schemas.openxmlformats.org/officeDocument/2006/relationships/comments" Target="../comments35.xml"/><Relationship Id="rId1" Type="http://schemas.openxmlformats.org/officeDocument/2006/relationships/drawing" Target="../drawings/drawing35.xml"/><Relationship Id="rId2" Type="http://schemas.openxmlformats.org/officeDocument/2006/relationships/vmlDrawing" Target="../drawings/vmlDrawing35.vml"/></Relationships>
</file>

<file path=xl/worksheets/_rels/sheet38.xml.rels><?xml version="1.0" encoding="UTF-8" standalone="yes"?>
<Relationships xmlns="http://schemas.openxmlformats.org/package/2006/relationships"><Relationship Id="rId3" Type="http://schemas.openxmlformats.org/officeDocument/2006/relationships/ctrlProp" Target="../ctrlProps/ctrlProp19.xml"/><Relationship Id="rId4" Type="http://schemas.openxmlformats.org/officeDocument/2006/relationships/ctrlProp" Target="../ctrlProps/ctrlProp20.xml"/><Relationship Id="rId5" Type="http://schemas.openxmlformats.org/officeDocument/2006/relationships/comments" Target="../comments36.xml"/><Relationship Id="rId1" Type="http://schemas.openxmlformats.org/officeDocument/2006/relationships/drawing" Target="../drawings/drawing36.xml"/><Relationship Id="rId2" Type="http://schemas.openxmlformats.org/officeDocument/2006/relationships/vmlDrawing" Target="../drawings/vmlDrawing36.v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7.xml"/><Relationship Id="rId2" Type="http://schemas.openxmlformats.org/officeDocument/2006/relationships/vmlDrawing" Target="../drawings/vmlDrawing37.vml"/><Relationship Id="rId3" Type="http://schemas.openxmlformats.org/officeDocument/2006/relationships/comments" Target="../comments37.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8.xml"/><Relationship Id="rId2" Type="http://schemas.openxmlformats.org/officeDocument/2006/relationships/vmlDrawing" Target="../drawings/vmlDrawing38.vml"/><Relationship Id="rId3" Type="http://schemas.openxmlformats.org/officeDocument/2006/relationships/comments" Target="../comments38.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39.xml"/><Relationship Id="rId2" Type="http://schemas.openxmlformats.org/officeDocument/2006/relationships/vmlDrawing" Target="../drawings/vmlDrawing39.vml"/><Relationship Id="rId3" Type="http://schemas.openxmlformats.org/officeDocument/2006/relationships/comments" Target="../comments39.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0.xml"/><Relationship Id="rId2" Type="http://schemas.openxmlformats.org/officeDocument/2006/relationships/vmlDrawing" Target="../drawings/vmlDrawing40.vml"/><Relationship Id="rId3" Type="http://schemas.openxmlformats.org/officeDocument/2006/relationships/comments" Target="../comments40.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1.xml"/><Relationship Id="rId2" Type="http://schemas.openxmlformats.org/officeDocument/2006/relationships/vmlDrawing" Target="../drawings/vmlDrawing41.vml"/><Relationship Id="rId3" Type="http://schemas.openxmlformats.org/officeDocument/2006/relationships/comments" Target="../comments41.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2.xml"/><Relationship Id="rId2" Type="http://schemas.openxmlformats.org/officeDocument/2006/relationships/vmlDrawing" Target="../drawings/vmlDrawing42.vml"/><Relationship Id="rId3" Type="http://schemas.openxmlformats.org/officeDocument/2006/relationships/comments" Target="../comments42.xml"/></Relationships>
</file>

<file path=xl/worksheets/_rels/sheet45.xml.rels><?xml version="1.0" encoding="UTF-8" standalone="yes"?>
<Relationships xmlns="http://schemas.openxmlformats.org/package/2006/relationships"><Relationship Id="rId3" Type="http://schemas.openxmlformats.org/officeDocument/2006/relationships/vmlDrawing" Target="../drawings/vmlDrawing43.vml"/><Relationship Id="rId4" Type="http://schemas.openxmlformats.org/officeDocument/2006/relationships/ctrlProp" Target="../ctrlProps/ctrlProp21.xml"/><Relationship Id="rId5" Type="http://schemas.openxmlformats.org/officeDocument/2006/relationships/ctrlProp" Target="../ctrlProps/ctrlProp22.xml"/><Relationship Id="rId6" Type="http://schemas.openxmlformats.org/officeDocument/2006/relationships/comments" Target="../comments43.xml"/><Relationship Id="rId1" Type="http://schemas.openxmlformats.org/officeDocument/2006/relationships/hyperlink" Target="http://www.zweigmedia.com/utilities/lpg/index.html?lang=en" TargetMode="External"/><Relationship Id="rId2" Type="http://schemas.openxmlformats.org/officeDocument/2006/relationships/drawing" Target="../drawings/drawing43.xml"/></Relationships>
</file>

<file path=xl/worksheets/_rels/sheet46.xml.rels><?xml version="1.0" encoding="UTF-8" standalone="yes"?>
<Relationships xmlns="http://schemas.openxmlformats.org/package/2006/relationships"><Relationship Id="rId3" Type="http://schemas.openxmlformats.org/officeDocument/2006/relationships/ctrlProp" Target="../ctrlProps/ctrlProp23.xml"/><Relationship Id="rId4" Type="http://schemas.openxmlformats.org/officeDocument/2006/relationships/ctrlProp" Target="../ctrlProps/ctrlProp24.xml"/><Relationship Id="rId5" Type="http://schemas.openxmlformats.org/officeDocument/2006/relationships/ctrlProp" Target="../ctrlProps/ctrlProp25.xml"/><Relationship Id="rId6" Type="http://schemas.openxmlformats.org/officeDocument/2006/relationships/ctrlProp" Target="../ctrlProps/ctrlProp26.xml"/><Relationship Id="rId7" Type="http://schemas.openxmlformats.org/officeDocument/2006/relationships/ctrlProp" Target="../ctrlProps/ctrlProp27.xml"/><Relationship Id="rId8" Type="http://schemas.openxmlformats.org/officeDocument/2006/relationships/comments" Target="../comments44.xml"/><Relationship Id="rId1" Type="http://schemas.openxmlformats.org/officeDocument/2006/relationships/drawing" Target="../drawings/drawing44.xml"/><Relationship Id="rId2" Type="http://schemas.openxmlformats.org/officeDocument/2006/relationships/vmlDrawing" Target="../drawings/vmlDrawing44.v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5.xml"/><Relationship Id="rId2" Type="http://schemas.openxmlformats.org/officeDocument/2006/relationships/vmlDrawing" Target="../drawings/vmlDrawing45.vml"/><Relationship Id="rId3" Type="http://schemas.openxmlformats.org/officeDocument/2006/relationships/comments" Target="../comments45.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6.xml"/><Relationship Id="rId2" Type="http://schemas.openxmlformats.org/officeDocument/2006/relationships/vmlDrawing" Target="../drawings/vmlDrawing46.vml"/><Relationship Id="rId3" Type="http://schemas.openxmlformats.org/officeDocument/2006/relationships/comments" Target="../comments46.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7.xml"/><Relationship Id="rId2" Type="http://schemas.openxmlformats.org/officeDocument/2006/relationships/vmlDrawing" Target="../drawings/vmlDrawing47.vml"/><Relationship Id="rId3" Type="http://schemas.openxmlformats.org/officeDocument/2006/relationships/comments" Target="../comments47.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48.xml"/><Relationship Id="rId2" Type="http://schemas.openxmlformats.org/officeDocument/2006/relationships/vmlDrawing" Target="../drawings/vmlDrawing48.vml"/><Relationship Id="rId3" Type="http://schemas.openxmlformats.org/officeDocument/2006/relationships/comments" Target="../comments48.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49.xml"/><Relationship Id="rId2" Type="http://schemas.openxmlformats.org/officeDocument/2006/relationships/vmlDrawing" Target="../drawings/vmlDrawing49.vml"/><Relationship Id="rId3" Type="http://schemas.openxmlformats.org/officeDocument/2006/relationships/comments" Target="../comments49.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0.xml"/><Relationship Id="rId2" Type="http://schemas.openxmlformats.org/officeDocument/2006/relationships/vmlDrawing" Target="../drawings/vmlDrawing50.vml"/><Relationship Id="rId3" Type="http://schemas.openxmlformats.org/officeDocument/2006/relationships/comments" Target="../comments50.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1.xml"/><Relationship Id="rId2" Type="http://schemas.openxmlformats.org/officeDocument/2006/relationships/vmlDrawing" Target="../drawings/vmlDrawing51.vml"/><Relationship Id="rId3" Type="http://schemas.openxmlformats.org/officeDocument/2006/relationships/comments" Target="../comments5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6"/>
  <sheetViews>
    <sheetView topLeftCell="A2" workbookViewId="0">
      <selection activeCell="B26" sqref="B26"/>
    </sheetView>
  </sheetViews>
  <sheetFormatPr baseColWidth="10" defaultRowHeight="15" x14ac:dyDescent="0"/>
  <cols>
    <col min="1" max="1" width="10.83203125" style="2" customWidth="1"/>
    <col min="2" max="7" width="10.83203125" style="2"/>
    <col min="8" max="8" width="10.1640625" style="2" bestFit="1" customWidth="1"/>
    <col min="9" max="16384" width="10.83203125" style="2"/>
  </cols>
  <sheetData>
    <row r="1" spans="1:8" ht="18">
      <c r="A1" s="39" t="s">
        <v>31</v>
      </c>
    </row>
    <row r="3" spans="1:8" ht="18">
      <c r="A3" s="3" t="s">
        <v>0</v>
      </c>
      <c r="B3" s="3"/>
      <c r="C3" s="3" t="s">
        <v>30</v>
      </c>
      <c r="D3" s="3"/>
      <c r="E3" s="3"/>
      <c r="F3" s="3"/>
      <c r="G3" s="3"/>
      <c r="H3" s="3"/>
    </row>
    <row r="4" spans="1:8">
      <c r="A4" s="1"/>
      <c r="B4" s="1"/>
    </row>
    <row r="5" spans="1:8">
      <c r="A5" s="2" t="s">
        <v>29</v>
      </c>
    </row>
    <row r="6" spans="1:8">
      <c r="A6" s="2" t="s">
        <v>27</v>
      </c>
      <c r="B6" s="38">
        <v>3</v>
      </c>
      <c r="D6" s="15" t="s">
        <v>28</v>
      </c>
    </row>
    <row r="8" spans="1:8" ht="16" thickBot="1">
      <c r="A8" s="5" t="s">
        <v>1</v>
      </c>
      <c r="D8" s="23" t="s">
        <v>26</v>
      </c>
    </row>
    <row r="9" spans="1:8">
      <c r="A9" s="8" t="s">
        <v>904</v>
      </c>
      <c r="B9" s="9" t="s">
        <v>3</v>
      </c>
      <c r="D9" s="29" t="s">
        <v>4</v>
      </c>
      <c r="E9" s="30" t="s">
        <v>5</v>
      </c>
      <c r="F9" s="30" t="s">
        <v>6</v>
      </c>
      <c r="G9" s="30" t="s">
        <v>7</v>
      </c>
      <c r="H9" s="33" t="s">
        <v>8</v>
      </c>
    </row>
    <row r="10" spans="1:8">
      <c r="A10" s="10" t="s">
        <v>892</v>
      </c>
      <c r="B10" s="11">
        <v>10</v>
      </c>
      <c r="D10" s="18"/>
      <c r="E10" s="17"/>
      <c r="F10" s="17"/>
      <c r="G10" s="17"/>
      <c r="H10" s="37"/>
    </row>
    <row r="11" spans="1:8">
      <c r="A11" s="10" t="s">
        <v>893</v>
      </c>
      <c r="B11" s="11">
        <v>12</v>
      </c>
      <c r="D11" s="18"/>
      <c r="E11" s="17"/>
      <c r="F11" s="17"/>
      <c r="G11" s="17"/>
      <c r="H11" s="37"/>
    </row>
    <row r="12" spans="1:8">
      <c r="A12" s="10" t="s">
        <v>894</v>
      </c>
      <c r="B12" s="11">
        <v>13</v>
      </c>
      <c r="D12" s="18"/>
      <c r="E12" s="17"/>
      <c r="F12" s="17"/>
      <c r="G12" s="17"/>
      <c r="H12" s="37"/>
    </row>
    <row r="13" spans="1:8">
      <c r="A13" s="10" t="s">
        <v>895</v>
      </c>
      <c r="B13" s="11">
        <v>16</v>
      </c>
      <c r="D13" s="18">
        <f t="shared" ref="D13:D21" si="0">AVERAGE(B10:B12)</f>
        <v>11.666666666666666</v>
      </c>
      <c r="E13" s="17">
        <f>B13-D13</f>
        <v>4.3333333333333339</v>
      </c>
      <c r="F13" s="17">
        <f t="shared" ref="F13:F21" si="1">ABS(E13)</f>
        <v>4.3333333333333339</v>
      </c>
      <c r="G13" s="17">
        <f t="shared" ref="G13:G21" si="2">E13^2</f>
        <v>18.777777777777782</v>
      </c>
      <c r="H13" s="37">
        <f>F13/B13</f>
        <v>0.27083333333333337</v>
      </c>
    </row>
    <row r="14" spans="1:8">
      <c r="A14" s="10" t="s">
        <v>896</v>
      </c>
      <c r="B14" s="11">
        <v>19</v>
      </c>
      <c r="D14" s="18">
        <f t="shared" si="0"/>
        <v>13.666666666666666</v>
      </c>
      <c r="E14" s="17">
        <f t="shared" ref="E14:E21" si="3">B14-D14</f>
        <v>5.3333333333333339</v>
      </c>
      <c r="F14" s="17">
        <f t="shared" si="1"/>
        <v>5.3333333333333339</v>
      </c>
      <c r="G14" s="17">
        <f t="shared" si="2"/>
        <v>28.44444444444445</v>
      </c>
      <c r="H14" s="37">
        <f t="shared" ref="H14:H21" si="4">F14/B14</f>
        <v>0.28070175438596495</v>
      </c>
    </row>
    <row r="15" spans="1:8">
      <c r="A15" s="10" t="s">
        <v>897</v>
      </c>
      <c r="B15" s="11">
        <v>23</v>
      </c>
      <c r="D15" s="18">
        <f t="shared" si="0"/>
        <v>16</v>
      </c>
      <c r="E15" s="17">
        <f t="shared" si="3"/>
        <v>7</v>
      </c>
      <c r="F15" s="17">
        <f t="shared" si="1"/>
        <v>7</v>
      </c>
      <c r="G15" s="17">
        <f t="shared" si="2"/>
        <v>49</v>
      </c>
      <c r="H15" s="37">
        <f t="shared" si="4"/>
        <v>0.30434782608695654</v>
      </c>
    </row>
    <row r="16" spans="1:8">
      <c r="A16" s="10" t="s">
        <v>898</v>
      </c>
      <c r="B16" s="11">
        <v>26</v>
      </c>
      <c r="D16" s="18">
        <f t="shared" si="0"/>
        <v>19.333333333333332</v>
      </c>
      <c r="E16" s="17">
        <f t="shared" si="3"/>
        <v>6.6666666666666679</v>
      </c>
      <c r="F16" s="17">
        <f t="shared" si="1"/>
        <v>6.6666666666666679</v>
      </c>
      <c r="G16" s="17">
        <f t="shared" si="2"/>
        <v>44.444444444444457</v>
      </c>
      <c r="H16" s="37">
        <f t="shared" si="4"/>
        <v>0.25641025641025644</v>
      </c>
    </row>
    <row r="17" spans="1:8">
      <c r="A17" s="10" t="s">
        <v>899</v>
      </c>
      <c r="B17" s="11">
        <v>30</v>
      </c>
      <c r="D17" s="18">
        <f t="shared" si="0"/>
        <v>22.666666666666668</v>
      </c>
      <c r="E17" s="17">
        <f t="shared" si="3"/>
        <v>7.3333333333333321</v>
      </c>
      <c r="F17" s="17">
        <f t="shared" si="1"/>
        <v>7.3333333333333321</v>
      </c>
      <c r="G17" s="17">
        <f t="shared" si="2"/>
        <v>53.777777777777757</v>
      </c>
      <c r="H17" s="37">
        <f t="shared" si="4"/>
        <v>0.24444444444444441</v>
      </c>
    </row>
    <row r="18" spans="1:8">
      <c r="A18" s="10" t="s">
        <v>900</v>
      </c>
      <c r="B18" s="11">
        <v>28</v>
      </c>
      <c r="D18" s="18">
        <f t="shared" si="0"/>
        <v>26.333333333333332</v>
      </c>
      <c r="E18" s="17">
        <f t="shared" si="3"/>
        <v>1.6666666666666679</v>
      </c>
      <c r="F18" s="17">
        <f t="shared" si="1"/>
        <v>1.6666666666666679</v>
      </c>
      <c r="G18" s="17">
        <f t="shared" si="2"/>
        <v>2.7777777777777817</v>
      </c>
      <c r="H18" s="37">
        <f t="shared" si="4"/>
        <v>5.9523809523809569E-2</v>
      </c>
    </row>
    <row r="19" spans="1:8">
      <c r="A19" s="10" t="s">
        <v>901</v>
      </c>
      <c r="B19" s="11">
        <v>18</v>
      </c>
      <c r="D19" s="18">
        <f t="shared" si="0"/>
        <v>28</v>
      </c>
      <c r="E19" s="17">
        <f t="shared" si="3"/>
        <v>-10</v>
      </c>
      <c r="F19" s="17">
        <f t="shared" si="1"/>
        <v>10</v>
      </c>
      <c r="G19" s="17">
        <f t="shared" si="2"/>
        <v>100</v>
      </c>
      <c r="H19" s="37">
        <f t="shared" si="4"/>
        <v>0.55555555555555558</v>
      </c>
    </row>
    <row r="20" spans="1:8">
      <c r="A20" s="10" t="s">
        <v>902</v>
      </c>
      <c r="B20" s="11">
        <v>16</v>
      </c>
      <c r="D20" s="18">
        <f t="shared" si="0"/>
        <v>25.333333333333332</v>
      </c>
      <c r="E20" s="17">
        <f t="shared" si="3"/>
        <v>-9.3333333333333321</v>
      </c>
      <c r="F20" s="17">
        <f t="shared" si="1"/>
        <v>9.3333333333333321</v>
      </c>
      <c r="G20" s="17">
        <f t="shared" si="2"/>
        <v>87.111111111111086</v>
      </c>
      <c r="H20" s="37">
        <f t="shared" si="4"/>
        <v>0.58333333333333326</v>
      </c>
    </row>
    <row r="21" spans="1:8" ht="16" thickBot="1">
      <c r="A21" s="10" t="s">
        <v>903</v>
      </c>
      <c r="B21" s="13">
        <v>14</v>
      </c>
      <c r="D21" s="18">
        <f t="shared" si="0"/>
        <v>20.666666666666668</v>
      </c>
      <c r="E21" s="17">
        <f t="shared" si="3"/>
        <v>-6.6666666666666679</v>
      </c>
      <c r="F21" s="17">
        <f t="shared" si="1"/>
        <v>6.6666666666666679</v>
      </c>
      <c r="G21" s="17">
        <f t="shared" si="2"/>
        <v>44.444444444444457</v>
      </c>
      <c r="H21" s="37">
        <f t="shared" si="4"/>
        <v>0.47619047619047628</v>
      </c>
    </row>
    <row r="22" spans="1:8">
      <c r="D22" s="18" t="s">
        <v>18</v>
      </c>
      <c r="E22" s="17">
        <f>SUM(E13:E21)</f>
        <v>6.3333333333333357</v>
      </c>
      <c r="F22" s="17">
        <f>SUM(F13:F21)</f>
        <v>58.333333333333343</v>
      </c>
      <c r="G22" s="17">
        <f>SUM(G13:G21)</f>
        <v>428.77777777777777</v>
      </c>
      <c r="H22" s="37">
        <f>SUM(H13:H21)</f>
        <v>3.0313407892641306</v>
      </c>
    </row>
    <row r="23" spans="1:8">
      <c r="D23" s="28" t="s">
        <v>19</v>
      </c>
      <c r="E23" s="27">
        <f>AVERAGE(E13:E21)</f>
        <v>0.70370370370370394</v>
      </c>
      <c r="F23" s="27">
        <f>AVERAGE(F13:F21)</f>
        <v>6.4814814814814827</v>
      </c>
      <c r="G23" s="27">
        <f>AVERAGE(G13:G21)</f>
        <v>47.641975308641975</v>
      </c>
      <c r="H23" s="34">
        <f>AVERAGE(H13:H21)</f>
        <v>0.3368156432515701</v>
      </c>
    </row>
    <row r="24" spans="1:8">
      <c r="D24" s="28"/>
      <c r="E24" s="27" t="s">
        <v>20</v>
      </c>
      <c r="F24" s="27" t="s">
        <v>21</v>
      </c>
      <c r="G24" s="27" t="s">
        <v>22</v>
      </c>
      <c r="H24" s="35" t="s">
        <v>23</v>
      </c>
    </row>
    <row r="25" spans="1:8" ht="16" thickBot="1">
      <c r="D25" s="31"/>
      <c r="E25" s="32"/>
      <c r="F25" s="32" t="s">
        <v>24</v>
      </c>
      <c r="G25" s="32">
        <f>SQRT(G22/(COUNT(G10:G21)-2))</f>
        <v>7.8264914395895335</v>
      </c>
      <c r="H25" s="36"/>
    </row>
    <row r="26" spans="1:8" ht="16" thickBot="1">
      <c r="A26" s="21" t="s">
        <v>25</v>
      </c>
      <c r="B26" s="498">
        <f>AVERAGE(B19:B21)</f>
        <v>16</v>
      </c>
      <c r="G26" s="15" t="str">
        <f>IF(COUNT(G10:G21)-2&lt;1,"Not enough data to compute the standard error","")</f>
        <v/>
      </c>
    </row>
  </sheetData>
  <pageMargins left="0.75" right="0.75" top="1" bottom="1" header="0.5" footer="0.5"/>
  <pageSetup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3074" r:id="rId3" name="Scroll Bar 2">
              <controlPr defaultSize="0" autoPict="0" macro="[2]!changeN">
                <anchor moveWithCells="1">
                  <from>
                    <xdr:col>2</xdr:col>
                    <xdr:colOff>0</xdr:colOff>
                    <xdr:row>4</xdr:row>
                    <xdr:rowOff>177800</xdr:rowOff>
                  </from>
                  <to>
                    <xdr:col>2</xdr:col>
                    <xdr:colOff>596900</xdr:colOff>
                    <xdr:row>5</xdr:row>
                    <xdr:rowOff>177800</xdr:rowOff>
                  </to>
                </anchor>
              </controlPr>
            </control>
          </mc:Choice>
          <mc:Fallback/>
        </mc:AlternateContent>
        <mc:AlternateContent xmlns:mc="http://schemas.openxmlformats.org/markup-compatibility/2006">
          <mc:Choice Requires="x14">
            <control shapeId="3075" r:id="rId4" name="Button 3">
              <controlPr defaultSize="0" print="0" autoFill="0" autoPict="0" macro="[2]!movavgerrors">
                <anchor moveWithCells="1" sizeWithCells="1">
                  <from>
                    <xdr:col>0</xdr:col>
                    <xdr:colOff>0</xdr:colOff>
                    <xdr:row>3</xdr:row>
                    <xdr:rowOff>0</xdr:rowOff>
                  </from>
                  <to>
                    <xdr:col>2</xdr:col>
                    <xdr:colOff>0</xdr:colOff>
                    <xdr:row>5</xdr:row>
                    <xdr:rowOff>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5"/>
  <sheetViews>
    <sheetView workbookViewId="0">
      <selection activeCell="A9" sqref="A9:A20"/>
    </sheetView>
  </sheetViews>
  <sheetFormatPr baseColWidth="10" defaultRowHeight="15" x14ac:dyDescent="0"/>
  <cols>
    <col min="1" max="1" width="10.83203125" style="2" customWidth="1"/>
    <col min="2" max="3" width="10.83203125" style="2"/>
    <col min="4" max="4" width="15.83203125" style="2" customWidth="1"/>
    <col min="5" max="8" width="10.83203125" style="2"/>
    <col min="9" max="9" width="10.1640625" style="2" bestFit="1" customWidth="1"/>
    <col min="10" max="16384" width="10.83203125" style="2"/>
  </cols>
  <sheetData>
    <row r="1" spans="1:9" ht="18">
      <c r="A1" s="39" t="s">
        <v>37</v>
      </c>
    </row>
    <row r="3" spans="1:9" ht="18">
      <c r="A3" s="3" t="s">
        <v>0</v>
      </c>
      <c r="B3" s="3"/>
      <c r="C3" s="3" t="s">
        <v>32</v>
      </c>
      <c r="D3" s="3"/>
      <c r="E3" s="3"/>
      <c r="F3" s="3"/>
      <c r="G3" s="3"/>
      <c r="H3" s="3"/>
    </row>
    <row r="4" spans="1:9">
      <c r="A4" s="1"/>
      <c r="B4" s="1"/>
    </row>
    <row r="7" spans="1:9" ht="16" thickBot="1">
      <c r="A7" s="5" t="s">
        <v>1</v>
      </c>
      <c r="E7" s="23" t="s">
        <v>26</v>
      </c>
    </row>
    <row r="8" spans="1:9">
      <c r="A8" s="8" t="s">
        <v>904</v>
      </c>
      <c r="B8" s="24" t="s">
        <v>3</v>
      </c>
      <c r="C8" s="9" t="s">
        <v>33</v>
      </c>
      <c r="E8" s="29" t="s">
        <v>4</v>
      </c>
      <c r="F8" s="30" t="s">
        <v>5</v>
      </c>
      <c r="G8" s="30" t="s">
        <v>6</v>
      </c>
      <c r="H8" s="30" t="s">
        <v>7</v>
      </c>
      <c r="I8" s="33" t="s">
        <v>8</v>
      </c>
    </row>
    <row r="9" spans="1:9">
      <c r="A9" s="10" t="s">
        <v>892</v>
      </c>
      <c r="B9" s="11">
        <v>10</v>
      </c>
      <c r="C9" s="11">
        <v>1</v>
      </c>
      <c r="D9" s="2" t="s">
        <v>36</v>
      </c>
      <c r="E9" s="18"/>
      <c r="F9" s="17"/>
      <c r="G9" s="17"/>
      <c r="H9" s="17"/>
      <c r="I9" s="37"/>
    </row>
    <row r="10" spans="1:9">
      <c r="A10" s="10" t="s">
        <v>893</v>
      </c>
      <c r="B10" s="11">
        <v>12</v>
      </c>
      <c r="C10" s="11">
        <v>2</v>
      </c>
      <c r="D10" s="2" t="s">
        <v>35</v>
      </c>
      <c r="E10" s="18"/>
      <c r="F10" s="17"/>
      <c r="G10" s="17"/>
      <c r="H10" s="17"/>
      <c r="I10" s="37"/>
    </row>
    <row r="11" spans="1:9">
      <c r="A11" s="10" t="s">
        <v>894</v>
      </c>
      <c r="B11" s="11">
        <v>13</v>
      </c>
      <c r="C11" s="11">
        <v>3</v>
      </c>
      <c r="D11" s="2" t="s">
        <v>34</v>
      </c>
      <c r="E11" s="18"/>
      <c r="F11" s="17"/>
      <c r="G11" s="17"/>
      <c r="H11" s="17"/>
      <c r="I11" s="37"/>
    </row>
    <row r="12" spans="1:9">
      <c r="A12" s="10" t="s">
        <v>895</v>
      </c>
      <c r="B12" s="11">
        <v>16</v>
      </c>
      <c r="C12" s="25"/>
      <c r="E12" s="18">
        <f t="shared" ref="E12:E20" si="0">SUMPRODUCT(B9:B11,$C$9:$C$11)/SUM($C$9:$C$11)</f>
        <v>12.166666666666666</v>
      </c>
      <c r="F12" s="17">
        <f t="shared" ref="F12:F20" si="1">B12-E12</f>
        <v>3.8333333333333339</v>
      </c>
      <c r="G12" s="17">
        <f t="shared" ref="G12:G20" si="2">ABS(F12)</f>
        <v>3.8333333333333339</v>
      </c>
      <c r="H12" s="17">
        <f t="shared" ref="H12:H20" si="3">F12^2</f>
        <v>14.694444444444448</v>
      </c>
      <c r="I12" s="37">
        <f t="shared" ref="I12:I20" si="4">G12/B12</f>
        <v>0.23958333333333337</v>
      </c>
    </row>
    <row r="13" spans="1:9">
      <c r="A13" s="10" t="s">
        <v>896</v>
      </c>
      <c r="B13" s="11">
        <v>19</v>
      </c>
      <c r="C13" s="25"/>
      <c r="E13" s="18">
        <f t="shared" si="0"/>
        <v>14.333333333333334</v>
      </c>
      <c r="F13" s="17">
        <f t="shared" si="1"/>
        <v>4.6666666666666661</v>
      </c>
      <c r="G13" s="17">
        <f t="shared" si="2"/>
        <v>4.6666666666666661</v>
      </c>
      <c r="H13" s="17">
        <f t="shared" si="3"/>
        <v>21.777777777777771</v>
      </c>
      <c r="I13" s="37">
        <f t="shared" si="4"/>
        <v>0.24561403508771926</v>
      </c>
    </row>
    <row r="14" spans="1:9">
      <c r="A14" s="10" t="s">
        <v>897</v>
      </c>
      <c r="B14" s="11">
        <v>23</v>
      </c>
      <c r="C14" s="25"/>
      <c r="E14" s="18">
        <f t="shared" si="0"/>
        <v>17</v>
      </c>
      <c r="F14" s="17">
        <f t="shared" si="1"/>
        <v>6</v>
      </c>
      <c r="G14" s="17">
        <f t="shared" si="2"/>
        <v>6</v>
      </c>
      <c r="H14" s="17">
        <f t="shared" si="3"/>
        <v>36</v>
      </c>
      <c r="I14" s="37">
        <f t="shared" si="4"/>
        <v>0.2608695652173913</v>
      </c>
    </row>
    <row r="15" spans="1:9">
      <c r="A15" s="10" t="s">
        <v>898</v>
      </c>
      <c r="B15" s="11">
        <v>26</v>
      </c>
      <c r="C15" s="25"/>
      <c r="E15" s="18">
        <f t="shared" si="0"/>
        <v>20.5</v>
      </c>
      <c r="F15" s="17">
        <f t="shared" si="1"/>
        <v>5.5</v>
      </c>
      <c r="G15" s="17">
        <f t="shared" si="2"/>
        <v>5.5</v>
      </c>
      <c r="H15" s="17">
        <f t="shared" si="3"/>
        <v>30.25</v>
      </c>
      <c r="I15" s="37">
        <f t="shared" si="4"/>
        <v>0.21153846153846154</v>
      </c>
    </row>
    <row r="16" spans="1:9">
      <c r="A16" s="10" t="s">
        <v>899</v>
      </c>
      <c r="B16" s="11">
        <v>30</v>
      </c>
      <c r="C16" s="25"/>
      <c r="E16" s="18">
        <f t="shared" si="0"/>
        <v>23.833333333333332</v>
      </c>
      <c r="F16" s="17">
        <f t="shared" si="1"/>
        <v>6.1666666666666679</v>
      </c>
      <c r="G16" s="17">
        <f t="shared" si="2"/>
        <v>6.1666666666666679</v>
      </c>
      <c r="H16" s="17">
        <f t="shared" si="3"/>
        <v>38.027777777777793</v>
      </c>
      <c r="I16" s="37">
        <f t="shared" si="4"/>
        <v>0.2055555555555556</v>
      </c>
    </row>
    <row r="17" spans="1:9">
      <c r="A17" s="10" t="s">
        <v>900</v>
      </c>
      <c r="B17" s="11">
        <v>28</v>
      </c>
      <c r="C17" s="25"/>
      <c r="E17" s="18">
        <f t="shared" si="0"/>
        <v>27.5</v>
      </c>
      <c r="F17" s="17">
        <f t="shared" si="1"/>
        <v>0.5</v>
      </c>
      <c r="G17" s="17">
        <f t="shared" si="2"/>
        <v>0.5</v>
      </c>
      <c r="H17" s="17">
        <f t="shared" si="3"/>
        <v>0.25</v>
      </c>
      <c r="I17" s="37">
        <f t="shared" si="4"/>
        <v>1.7857142857142856E-2</v>
      </c>
    </row>
    <row r="18" spans="1:9">
      <c r="A18" s="10" t="s">
        <v>901</v>
      </c>
      <c r="B18" s="11">
        <v>18</v>
      </c>
      <c r="C18" s="25"/>
      <c r="E18" s="18">
        <f t="shared" si="0"/>
        <v>28.333333333333332</v>
      </c>
      <c r="F18" s="17">
        <f t="shared" si="1"/>
        <v>-10.333333333333332</v>
      </c>
      <c r="G18" s="17">
        <f t="shared" si="2"/>
        <v>10.333333333333332</v>
      </c>
      <c r="H18" s="17">
        <f t="shared" si="3"/>
        <v>106.77777777777776</v>
      </c>
      <c r="I18" s="37">
        <f t="shared" si="4"/>
        <v>0.57407407407407396</v>
      </c>
    </row>
    <row r="19" spans="1:9">
      <c r="A19" s="10" t="s">
        <v>902</v>
      </c>
      <c r="B19" s="11">
        <v>16</v>
      </c>
      <c r="C19" s="25"/>
      <c r="E19" s="18">
        <f t="shared" si="0"/>
        <v>23.333333333333332</v>
      </c>
      <c r="F19" s="17">
        <f t="shared" si="1"/>
        <v>-7.3333333333333321</v>
      </c>
      <c r="G19" s="17">
        <f t="shared" si="2"/>
        <v>7.3333333333333321</v>
      </c>
      <c r="H19" s="17">
        <f t="shared" si="3"/>
        <v>53.777777777777757</v>
      </c>
      <c r="I19" s="37">
        <f t="shared" si="4"/>
        <v>0.45833333333333326</v>
      </c>
    </row>
    <row r="20" spans="1:9" ht="16" thickBot="1">
      <c r="A20" s="10" t="s">
        <v>903</v>
      </c>
      <c r="B20" s="13">
        <v>14</v>
      </c>
      <c r="C20" s="26"/>
      <c r="E20" s="18">
        <f t="shared" si="0"/>
        <v>18.666666666666668</v>
      </c>
      <c r="F20" s="17">
        <f t="shared" si="1"/>
        <v>-4.6666666666666679</v>
      </c>
      <c r="G20" s="17">
        <f t="shared" si="2"/>
        <v>4.6666666666666679</v>
      </c>
      <c r="H20" s="17">
        <f t="shared" si="3"/>
        <v>21.777777777777789</v>
      </c>
      <c r="I20" s="37">
        <f t="shared" si="4"/>
        <v>0.33333333333333343</v>
      </c>
    </row>
    <row r="21" spans="1:9">
      <c r="E21" s="18" t="s">
        <v>18</v>
      </c>
      <c r="F21" s="17">
        <f>SUM(F12:F20)</f>
        <v>4.3333333333333357</v>
      </c>
      <c r="G21" s="17">
        <f>SUM(G12:G20)</f>
        <v>49</v>
      </c>
      <c r="H21" s="17">
        <f>SUM(H12:H20)</f>
        <v>323.33333333333331</v>
      </c>
      <c r="I21" s="37">
        <f>SUM(I12:I20)</f>
        <v>2.5467588343303444</v>
      </c>
    </row>
    <row r="22" spans="1:9">
      <c r="E22" s="28" t="s">
        <v>19</v>
      </c>
      <c r="F22" s="27">
        <f>AVERAGE(F12:F20)</f>
        <v>0.48148148148148173</v>
      </c>
      <c r="G22" s="27">
        <f>AVERAGE(G12:G20)</f>
        <v>5.4444444444444446</v>
      </c>
      <c r="H22" s="27">
        <f>AVERAGE(H12:H20)</f>
        <v>35.925925925925924</v>
      </c>
      <c r="I22" s="34">
        <f>AVERAGE(I12:I20)</f>
        <v>0.28297320381448271</v>
      </c>
    </row>
    <row r="23" spans="1:9">
      <c r="E23" s="28"/>
      <c r="F23" s="27" t="s">
        <v>20</v>
      </c>
      <c r="G23" s="27" t="s">
        <v>21</v>
      </c>
      <c r="H23" s="27" t="s">
        <v>22</v>
      </c>
      <c r="I23" s="35" t="s">
        <v>23</v>
      </c>
    </row>
    <row r="24" spans="1:9" ht="16" thickBot="1">
      <c r="E24" s="31"/>
      <c r="F24" s="32"/>
      <c r="G24" s="32" t="s">
        <v>24</v>
      </c>
      <c r="H24" s="32">
        <f>SQRT(H21/(COUNT(H9:H20)-2))</f>
        <v>6.7963575678797383</v>
      </c>
      <c r="I24" s="36"/>
    </row>
    <row r="25" spans="1:9" ht="16" thickBot="1">
      <c r="A25" s="21" t="s">
        <v>25</v>
      </c>
      <c r="B25" s="22">
        <f>SUMPRODUCT(B18:B20,$C$9:$C$11)/SUM($C$9:$C$11)</f>
        <v>15.333333333333334</v>
      </c>
      <c r="H25" s="2" t="str">
        <f>IF(COUNT(H9:H20)-2&lt;1,"Not enough data to compute the standard error","")</f>
        <v/>
      </c>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
  <sheetViews>
    <sheetView workbookViewId="0">
      <selection activeCell="B15" sqref="B15"/>
    </sheetView>
  </sheetViews>
  <sheetFormatPr baseColWidth="10" defaultRowHeight="15" x14ac:dyDescent="0"/>
  <cols>
    <col min="1" max="1" width="10.83203125" style="2" customWidth="1"/>
    <col min="2" max="7" width="10.83203125" style="2"/>
    <col min="8" max="8" width="10.1640625" style="2" bestFit="1" customWidth="1"/>
    <col min="9" max="16384" width="10.83203125" style="2"/>
  </cols>
  <sheetData>
    <row r="1" spans="1:8" ht="18">
      <c r="A1" s="39" t="s">
        <v>891</v>
      </c>
    </row>
    <row r="3" spans="1:8" ht="18">
      <c r="A3" s="3" t="s">
        <v>0</v>
      </c>
      <c r="B3" s="3"/>
      <c r="C3" s="3" t="s">
        <v>38</v>
      </c>
      <c r="D3" s="3"/>
      <c r="E3" s="3"/>
      <c r="F3" s="3"/>
      <c r="G3" s="3"/>
      <c r="H3" s="3"/>
    </row>
    <row r="4" spans="1:8">
      <c r="A4" s="1"/>
      <c r="B4" s="1"/>
    </row>
    <row r="7" spans="1:8">
      <c r="A7" s="2" t="s">
        <v>39</v>
      </c>
      <c r="B7" s="7">
        <v>0.2</v>
      </c>
      <c r="C7" s="41" t="str">
        <f>IF(OR(B7&lt;0,B7&gt;1),"Alpha should be between 0 and 1","")</f>
        <v/>
      </c>
      <c r="H7" s="6"/>
    </row>
    <row r="8" spans="1:8" ht="16" thickBot="1">
      <c r="A8" s="5" t="s">
        <v>1</v>
      </c>
      <c r="D8" s="23" t="s">
        <v>26</v>
      </c>
      <c r="H8" s="6"/>
    </row>
    <row r="9" spans="1:8">
      <c r="A9" s="8" t="s">
        <v>2</v>
      </c>
      <c r="B9" s="9" t="s">
        <v>3</v>
      </c>
      <c r="D9" s="29" t="s">
        <v>4</v>
      </c>
      <c r="E9" s="30" t="s">
        <v>5</v>
      </c>
      <c r="F9" s="30" t="s">
        <v>6</v>
      </c>
      <c r="G9" s="30" t="s">
        <v>7</v>
      </c>
      <c r="H9" s="33" t="s">
        <v>8</v>
      </c>
    </row>
    <row r="10" spans="1:8" ht="16" thickBot="1">
      <c r="A10" s="12" t="s">
        <v>893</v>
      </c>
      <c r="B10" s="13">
        <v>153</v>
      </c>
      <c r="D10" s="47">
        <v>142</v>
      </c>
      <c r="E10" s="17">
        <f>B10-D10</f>
        <v>11</v>
      </c>
      <c r="F10" s="17">
        <f>ABS(E10)</f>
        <v>11</v>
      </c>
      <c r="G10" s="17">
        <f>E10^2</f>
        <v>121</v>
      </c>
      <c r="H10" s="45">
        <f>F10/B10</f>
        <v>7.1895424836601302E-2</v>
      </c>
    </row>
    <row r="11" spans="1:8">
      <c r="D11" s="46" t="s">
        <v>18</v>
      </c>
      <c r="E11" s="17">
        <f>SUM(E10:E10)</f>
        <v>11</v>
      </c>
      <c r="F11" s="17">
        <f>SUM(F10:F10)</f>
        <v>11</v>
      </c>
      <c r="G11" s="17">
        <f>SUM(G10:G10)</f>
        <v>121</v>
      </c>
      <c r="H11" s="45">
        <f>SUM(H10:H10)</f>
        <v>7.1895424836601302E-2</v>
      </c>
    </row>
    <row r="12" spans="1:8">
      <c r="D12" s="43" t="s">
        <v>19</v>
      </c>
      <c r="E12" s="27">
        <f>AVERAGE(E10:E10)</f>
        <v>11</v>
      </c>
      <c r="F12" s="27">
        <f>AVERAGE(F10:F10)</f>
        <v>11</v>
      </c>
      <c r="G12" s="27">
        <f>AVERAGE(G10:G10)</f>
        <v>121</v>
      </c>
      <c r="H12" s="35">
        <f>AVERAGE(H10:H10)</f>
        <v>7.1895424836601302E-2</v>
      </c>
    </row>
    <row r="13" spans="1:8">
      <c r="D13" s="28"/>
      <c r="E13" s="496" t="s">
        <v>20</v>
      </c>
      <c r="F13" s="496" t="s">
        <v>21</v>
      </c>
      <c r="G13" s="496" t="s">
        <v>22</v>
      </c>
      <c r="H13" s="35" t="s">
        <v>23</v>
      </c>
    </row>
    <row r="14" spans="1:8" ht="16" thickBot="1">
      <c r="D14" s="31"/>
      <c r="E14" s="32"/>
      <c r="F14" s="44" t="s">
        <v>24</v>
      </c>
      <c r="G14" s="32" t="e">
        <f>SQRT(G11/(COUNT(G10:G10)-2))</f>
        <v>#NUM!</v>
      </c>
      <c r="H14" s="36"/>
    </row>
    <row r="15" spans="1:8" ht="16" thickBot="1">
      <c r="A15" s="21" t="s">
        <v>894</v>
      </c>
      <c r="B15" s="498">
        <f>+D10+$B$7*(B10-D10)</f>
        <v>144.19999999999999</v>
      </c>
      <c r="G15" s="2" t="str">
        <f>IF(COUNT(G10:G10)-2&lt;1,"Not enough data to compute the standard error","")</f>
        <v>Not enough data to compute the standard error</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5"/>
  <sheetViews>
    <sheetView workbookViewId="0">
      <selection activeCell="E10" sqref="E10"/>
    </sheetView>
  </sheetViews>
  <sheetFormatPr baseColWidth="10" defaultRowHeight="15" x14ac:dyDescent="0"/>
  <cols>
    <col min="1" max="1" width="12.33203125" style="2" bestFit="1" customWidth="1"/>
    <col min="2" max="7" width="10.83203125" style="2"/>
    <col min="8" max="8" width="8.5" style="2" bestFit="1" customWidth="1"/>
    <col min="9" max="16384" width="10.83203125" style="2"/>
  </cols>
  <sheetData>
    <row r="1" spans="1:10" ht="18">
      <c r="A1" s="39" t="s">
        <v>45</v>
      </c>
      <c r="C1" s="2" t="s">
        <v>46</v>
      </c>
    </row>
    <row r="3" spans="1:10" ht="18">
      <c r="A3" s="3" t="s">
        <v>0</v>
      </c>
      <c r="B3" s="3"/>
      <c r="C3" s="3" t="s">
        <v>40</v>
      </c>
      <c r="D3" s="3"/>
      <c r="E3" s="3"/>
      <c r="F3" s="3"/>
      <c r="G3" s="3"/>
      <c r="H3" s="3"/>
      <c r="I3" s="3"/>
      <c r="J3" s="3"/>
    </row>
    <row r="4" spans="1:10">
      <c r="A4" s="1"/>
      <c r="B4" s="1"/>
    </row>
    <row r="7" spans="1:10">
      <c r="A7" s="2" t="s">
        <v>39</v>
      </c>
      <c r="B7" s="7">
        <v>0.2</v>
      </c>
      <c r="C7" s="41" t="str">
        <f>IF(OR(B7&lt;0,B7&gt;1),"Alpha should be between 0 and 1","")</f>
        <v/>
      </c>
    </row>
    <row r="8" spans="1:10">
      <c r="A8" s="2" t="s">
        <v>41</v>
      </c>
      <c r="B8" s="7">
        <v>0.4</v>
      </c>
      <c r="C8" s="41" t="str">
        <f>IF(OR(B8&lt;0,B8&gt;1),"Beta should be between 0 and 1","")</f>
        <v/>
      </c>
      <c r="J8" s="6"/>
    </row>
    <row r="9" spans="1:10" ht="16" thickBot="1">
      <c r="A9" s="5" t="s">
        <v>1</v>
      </c>
      <c r="D9" s="23" t="s">
        <v>26</v>
      </c>
      <c r="E9" s="23"/>
      <c r="F9" s="23"/>
      <c r="J9" s="6"/>
    </row>
    <row r="10" spans="1:10" s="54" customFormat="1" ht="37">
      <c r="A10" s="52" t="s">
        <v>2</v>
      </c>
      <c r="B10" s="53" t="s">
        <v>3</v>
      </c>
      <c r="D10" s="63" t="s">
        <v>42</v>
      </c>
      <c r="E10" s="64" t="s">
        <v>43</v>
      </c>
      <c r="F10" s="64" t="s">
        <v>44</v>
      </c>
      <c r="G10" s="55" t="s">
        <v>5</v>
      </c>
      <c r="H10" s="55" t="s">
        <v>6</v>
      </c>
      <c r="I10" s="55" t="s">
        <v>7</v>
      </c>
      <c r="J10" s="56" t="s">
        <v>8</v>
      </c>
    </row>
    <row r="11" spans="1:10">
      <c r="A11" s="10" t="s">
        <v>9</v>
      </c>
      <c r="B11" s="11">
        <v>12</v>
      </c>
      <c r="D11" s="47">
        <v>11</v>
      </c>
      <c r="E11" s="47">
        <v>2</v>
      </c>
      <c r="F11" s="16">
        <f>D11+E11</f>
        <v>13</v>
      </c>
      <c r="G11" s="17">
        <f t="shared" ref="G11:G19" si="0">B11-F11</f>
        <v>-1</v>
      </c>
      <c r="H11" s="17">
        <f t="shared" ref="H11:H19" si="1">ABS(G11)</f>
        <v>1</v>
      </c>
      <c r="I11" s="17">
        <f t="shared" ref="I11:I19" si="2">G11^2</f>
        <v>1</v>
      </c>
      <c r="J11" s="37">
        <f t="shared" ref="J11:J19" si="3">H11/B11</f>
        <v>8.3333333333333329E-2</v>
      </c>
    </row>
    <row r="12" spans="1:10">
      <c r="A12" s="10" t="s">
        <v>10</v>
      </c>
      <c r="B12" s="11">
        <v>17</v>
      </c>
      <c r="D12" s="18">
        <f>$B$7*B11+(1-$B$7)*F11</f>
        <v>12.8</v>
      </c>
      <c r="E12" s="16">
        <f>$B$8*(D12-D11)+(1-$B$8)*E11</f>
        <v>1.9200000000000004</v>
      </c>
      <c r="F12" s="16">
        <f>D12+E12</f>
        <v>14.72</v>
      </c>
      <c r="G12" s="17">
        <f t="shared" si="0"/>
        <v>2.2799999999999994</v>
      </c>
      <c r="H12" s="17">
        <f t="shared" si="1"/>
        <v>2.2799999999999994</v>
      </c>
      <c r="I12" s="17">
        <f t="shared" si="2"/>
        <v>5.1983999999999968</v>
      </c>
      <c r="J12" s="37">
        <f t="shared" si="3"/>
        <v>0.13411764705882348</v>
      </c>
    </row>
    <row r="13" spans="1:10">
      <c r="A13" s="10" t="s">
        <v>11</v>
      </c>
      <c r="B13" s="11">
        <v>20</v>
      </c>
      <c r="D13" s="18">
        <f t="shared" ref="D13:D20" si="4">$B$7*B12+(1-$B$7)*F12</f>
        <v>15.176000000000002</v>
      </c>
      <c r="E13" s="16">
        <f t="shared" ref="E13:E20" si="5">$B$8*(D13-D12)+(1-$B$8)*E12</f>
        <v>2.1024000000000007</v>
      </c>
      <c r="F13" s="16">
        <f t="shared" ref="F13:F20" si="6">D13+E13</f>
        <v>17.278400000000001</v>
      </c>
      <c r="G13" s="17">
        <f t="shared" si="0"/>
        <v>2.7215999999999987</v>
      </c>
      <c r="H13" s="17">
        <f t="shared" si="1"/>
        <v>2.7215999999999987</v>
      </c>
      <c r="I13" s="17">
        <f t="shared" si="2"/>
        <v>7.4071065599999928</v>
      </c>
      <c r="J13" s="37">
        <f t="shared" si="3"/>
        <v>0.13607999999999992</v>
      </c>
    </row>
    <row r="14" spans="1:10">
      <c r="A14" s="10" t="s">
        <v>12</v>
      </c>
      <c r="B14" s="11">
        <v>19</v>
      </c>
      <c r="D14" s="18">
        <f t="shared" si="4"/>
        <v>17.822720000000004</v>
      </c>
      <c r="E14" s="16">
        <f t="shared" si="5"/>
        <v>2.3201280000000013</v>
      </c>
      <c r="F14" s="16">
        <f t="shared" si="6"/>
        <v>20.142848000000004</v>
      </c>
      <c r="G14" s="17">
        <f t="shared" si="0"/>
        <v>-1.1428480000000043</v>
      </c>
      <c r="H14" s="17">
        <f t="shared" si="1"/>
        <v>1.1428480000000043</v>
      </c>
      <c r="I14" s="17">
        <f t="shared" si="2"/>
        <v>1.3061015511040099</v>
      </c>
      <c r="J14" s="37">
        <f t="shared" si="3"/>
        <v>6.0149894736842333E-2</v>
      </c>
    </row>
    <row r="15" spans="1:10">
      <c r="A15" s="10" t="s">
        <v>13</v>
      </c>
      <c r="B15" s="11">
        <v>24</v>
      </c>
      <c r="D15" s="18">
        <f t="shared" si="4"/>
        <v>19.914278400000004</v>
      </c>
      <c r="E15" s="16">
        <f t="shared" si="5"/>
        <v>2.2287001600000007</v>
      </c>
      <c r="F15" s="16">
        <f t="shared" si="6"/>
        <v>22.142978560000003</v>
      </c>
      <c r="G15" s="17">
        <f t="shared" si="0"/>
        <v>1.8570214399999969</v>
      </c>
      <c r="H15" s="17">
        <f t="shared" si="1"/>
        <v>1.8570214399999969</v>
      </c>
      <c r="I15" s="17">
        <f t="shared" si="2"/>
        <v>3.4485286286196621</v>
      </c>
      <c r="J15" s="37">
        <f t="shared" si="3"/>
        <v>7.7375893333333209E-2</v>
      </c>
    </row>
    <row r="16" spans="1:10">
      <c r="A16" s="10" t="s">
        <v>14</v>
      </c>
      <c r="B16" s="11">
        <v>21</v>
      </c>
      <c r="D16" s="18">
        <f t="shared" si="4"/>
        <v>22.514382848000004</v>
      </c>
      <c r="E16" s="16">
        <f t="shared" si="5"/>
        <v>2.3772618752000003</v>
      </c>
      <c r="F16" s="16">
        <f t="shared" si="6"/>
        <v>24.891644723200002</v>
      </c>
      <c r="G16" s="17">
        <f t="shared" si="0"/>
        <v>-3.8916447232000024</v>
      </c>
      <c r="H16" s="17">
        <f t="shared" si="1"/>
        <v>3.8916447232000024</v>
      </c>
      <c r="I16" s="17">
        <f t="shared" si="2"/>
        <v>15.144898651610424</v>
      </c>
      <c r="J16" s="37">
        <f t="shared" si="3"/>
        <v>0.1853164153904763</v>
      </c>
    </row>
    <row r="17" spans="1:10">
      <c r="A17" s="10" t="s">
        <v>15</v>
      </c>
      <c r="B17" s="11">
        <v>31</v>
      </c>
      <c r="D17" s="18">
        <f t="shared" si="4"/>
        <v>24.113315778560004</v>
      </c>
      <c r="E17" s="16">
        <f t="shared" si="5"/>
        <v>2.0659302973440004</v>
      </c>
      <c r="F17" s="16">
        <f t="shared" si="6"/>
        <v>26.179246075904004</v>
      </c>
      <c r="G17" s="17">
        <f t="shared" si="0"/>
        <v>4.820753924095996</v>
      </c>
      <c r="H17" s="17">
        <f t="shared" si="1"/>
        <v>4.820753924095996</v>
      </c>
      <c r="I17" s="17">
        <f t="shared" si="2"/>
        <v>23.239668396686945</v>
      </c>
      <c r="J17" s="37">
        <f t="shared" si="3"/>
        <v>0.15550819109987085</v>
      </c>
    </row>
    <row r="18" spans="1:10">
      <c r="A18" s="10" t="s">
        <v>16</v>
      </c>
      <c r="B18" s="11">
        <v>28</v>
      </c>
      <c r="D18" s="18">
        <f t="shared" si="4"/>
        <v>27.143396860723204</v>
      </c>
      <c r="E18" s="16">
        <f t="shared" si="5"/>
        <v>2.4515906112716803</v>
      </c>
      <c r="F18" s="16">
        <f t="shared" si="6"/>
        <v>29.594987471994884</v>
      </c>
      <c r="G18" s="17">
        <f t="shared" si="0"/>
        <v>-1.5949874719948838</v>
      </c>
      <c r="H18" s="17">
        <f t="shared" si="1"/>
        <v>1.5949874719948838</v>
      </c>
      <c r="I18" s="17">
        <f t="shared" si="2"/>
        <v>2.5439850358206302</v>
      </c>
      <c r="J18" s="37">
        <f t="shared" si="3"/>
        <v>5.6963838285531566E-2</v>
      </c>
    </row>
    <row r="19" spans="1:10" ht="16" thickBot="1">
      <c r="A19" s="12" t="s">
        <v>17</v>
      </c>
      <c r="B19" s="57">
        <v>36</v>
      </c>
      <c r="D19" s="58">
        <f t="shared" si="4"/>
        <v>29.275989977595909</v>
      </c>
      <c r="E19" s="59">
        <f t="shared" si="5"/>
        <v>2.3239916135120904</v>
      </c>
      <c r="F19" s="59">
        <f t="shared" si="6"/>
        <v>31.599981591107998</v>
      </c>
      <c r="G19" s="17">
        <f t="shared" si="0"/>
        <v>4.4000184088920022</v>
      </c>
      <c r="H19" s="17">
        <f t="shared" si="1"/>
        <v>4.4000184088920022</v>
      </c>
      <c r="I19" s="17">
        <f t="shared" si="2"/>
        <v>19.360161998588506</v>
      </c>
      <c r="J19" s="45">
        <f t="shared" si="3"/>
        <v>0.12222273358033339</v>
      </c>
    </row>
    <row r="20" spans="1:10" ht="16" thickBot="1">
      <c r="A20" s="14"/>
      <c r="B20" s="21" t="s">
        <v>25</v>
      </c>
      <c r="C20" s="62"/>
      <c r="D20" s="497">
        <f t="shared" si="4"/>
        <v>32.479985272886402</v>
      </c>
      <c r="E20" s="497">
        <f t="shared" si="5"/>
        <v>2.6759930862234516</v>
      </c>
      <c r="F20" s="498">
        <f t="shared" si="6"/>
        <v>35.155978359109852</v>
      </c>
      <c r="G20" s="16"/>
      <c r="H20" s="17"/>
      <c r="I20" s="17"/>
      <c r="J20" s="45"/>
    </row>
    <row r="21" spans="1:10">
      <c r="D21" s="60" t="s">
        <v>18</v>
      </c>
      <c r="E21" s="61"/>
      <c r="F21" s="61"/>
      <c r="G21" s="17">
        <f>SUM(G11:G19)</f>
        <v>8.4499135777931027</v>
      </c>
      <c r="H21" s="17">
        <f>SUM(H11:H19)</f>
        <v>23.708873968182886</v>
      </c>
      <c r="I21" s="17">
        <f>SUM(I11:I19)</f>
        <v>78.648850822430163</v>
      </c>
      <c r="J21" s="37">
        <f>SUM(J11:J19)</f>
        <v>1.0110679468185444</v>
      </c>
    </row>
    <row r="22" spans="1:10">
      <c r="D22" s="43" t="s">
        <v>19</v>
      </c>
      <c r="E22" s="49"/>
      <c r="F22" s="49"/>
      <c r="G22" s="27">
        <f>AVERAGE(G11:G19)</f>
        <v>0.93887928642145591</v>
      </c>
      <c r="H22" s="27">
        <f>AVERAGE(H11:H19)</f>
        <v>2.6343193297980982</v>
      </c>
      <c r="I22" s="27">
        <f>AVERAGE(I11:I19)</f>
        <v>8.7387612024922401</v>
      </c>
      <c r="J22" s="34">
        <f>AVERAGE(J11:J19)</f>
        <v>0.11234088297983827</v>
      </c>
    </row>
    <row r="23" spans="1:10">
      <c r="D23" s="28"/>
      <c r="E23" s="50"/>
      <c r="F23" s="50"/>
      <c r="G23" s="42" t="s">
        <v>20</v>
      </c>
      <c r="H23" s="42" t="s">
        <v>21</v>
      </c>
      <c r="I23" s="42" t="s">
        <v>22</v>
      </c>
      <c r="J23" s="35" t="s">
        <v>23</v>
      </c>
    </row>
    <row r="24" spans="1:10" ht="16" thickBot="1">
      <c r="D24" s="31"/>
      <c r="E24" s="51"/>
      <c r="F24" s="51"/>
      <c r="G24" s="32"/>
      <c r="H24" s="44" t="s">
        <v>24</v>
      </c>
      <c r="I24" s="32">
        <f>SQRT(I21/(COUNT(I11:I19)-2))</f>
        <v>3.3519472128137733</v>
      </c>
      <c r="J24" s="36"/>
    </row>
    <row r="25" spans="1:10">
      <c r="A25" s="23"/>
      <c r="B25" s="23"/>
      <c r="I25" s="2" t="str">
        <f>IF(COUNT(I11:I19)-2&lt;1,"Not enough data to compute the standard error","")</f>
        <v/>
      </c>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3"/>
  <sheetViews>
    <sheetView workbookViewId="0">
      <selection activeCell="D1" sqref="D1"/>
    </sheetView>
  </sheetViews>
  <sheetFormatPr baseColWidth="10" defaultRowHeight="15" x14ac:dyDescent="0"/>
  <cols>
    <col min="1" max="1" width="17.33203125" style="2" bestFit="1" customWidth="1"/>
    <col min="2" max="8" width="10.83203125" style="2"/>
    <col min="9" max="9" width="10" style="2" bestFit="1" customWidth="1"/>
    <col min="10" max="16384" width="10.83203125" style="2"/>
  </cols>
  <sheetData>
    <row r="1" spans="1:9" ht="18">
      <c r="A1" s="39" t="s">
        <v>55</v>
      </c>
      <c r="C1" s="2" t="s">
        <v>56</v>
      </c>
    </row>
    <row r="3" spans="1:9" ht="18">
      <c r="A3" s="3" t="s">
        <v>0</v>
      </c>
      <c r="B3" s="3"/>
      <c r="C3" s="3" t="s">
        <v>47</v>
      </c>
      <c r="D3" s="3"/>
      <c r="E3" s="3"/>
      <c r="F3" s="3"/>
      <c r="G3" s="3"/>
      <c r="H3" s="3"/>
    </row>
    <row r="4" spans="1:9">
      <c r="A4" s="1"/>
      <c r="B4" s="1"/>
    </row>
    <row r="8" spans="1:9" ht="16" thickBot="1">
      <c r="A8" s="5" t="s">
        <v>1</v>
      </c>
      <c r="E8" s="23" t="s">
        <v>26</v>
      </c>
    </row>
    <row r="9" spans="1:9">
      <c r="A9" s="8" t="s">
        <v>2</v>
      </c>
      <c r="B9" s="24" t="s">
        <v>48</v>
      </c>
      <c r="C9" s="9" t="s">
        <v>49</v>
      </c>
      <c r="E9" s="19" t="s">
        <v>4</v>
      </c>
      <c r="F9" s="20" t="s">
        <v>5</v>
      </c>
      <c r="G9" s="20" t="s">
        <v>6</v>
      </c>
      <c r="H9" s="20" t="s">
        <v>7</v>
      </c>
      <c r="I9" s="48" t="s">
        <v>8</v>
      </c>
    </row>
    <row r="10" spans="1:9">
      <c r="A10" s="10" t="s">
        <v>9</v>
      </c>
      <c r="B10" s="7">
        <v>74</v>
      </c>
      <c r="C10" s="11">
        <v>1</v>
      </c>
      <c r="E10" s="18">
        <f t="shared" ref="E10:E16" si="0">$B$18+$B$19*C10</f>
        <v>67.25</v>
      </c>
      <c r="F10" s="17">
        <f t="shared" ref="F10:F16" si="1">B10-E10</f>
        <v>6.75</v>
      </c>
      <c r="G10" s="17">
        <f t="shared" ref="G10:G16" si="2">ABS(F10)</f>
        <v>6.75</v>
      </c>
      <c r="H10" s="17">
        <f t="shared" ref="H10:H16" si="3">F10^2</f>
        <v>45.5625</v>
      </c>
      <c r="I10" s="37">
        <f t="shared" ref="I10:I16" si="4">G10/B10</f>
        <v>9.1216216216216214E-2</v>
      </c>
    </row>
    <row r="11" spans="1:9">
      <c r="A11" s="10" t="s">
        <v>10</v>
      </c>
      <c r="B11" s="7">
        <v>79</v>
      </c>
      <c r="C11" s="11">
        <v>2</v>
      </c>
      <c r="E11" s="18">
        <f t="shared" si="0"/>
        <v>77.785714285714292</v>
      </c>
      <c r="F11" s="17">
        <f t="shared" si="1"/>
        <v>1.2142857142857082</v>
      </c>
      <c r="G11" s="17">
        <f t="shared" si="2"/>
        <v>1.2142857142857082</v>
      </c>
      <c r="H11" s="17">
        <f t="shared" si="3"/>
        <v>1.4744897959183525</v>
      </c>
      <c r="I11" s="37">
        <f t="shared" si="4"/>
        <v>1.5370705244122889E-2</v>
      </c>
    </row>
    <row r="12" spans="1:9">
      <c r="A12" s="10" t="s">
        <v>11</v>
      </c>
      <c r="B12" s="7">
        <v>80</v>
      </c>
      <c r="C12" s="11">
        <v>3</v>
      </c>
      <c r="E12" s="18">
        <f t="shared" si="0"/>
        <v>88.321428571428584</v>
      </c>
      <c r="F12" s="17">
        <f t="shared" si="1"/>
        <v>-8.3214285714285836</v>
      </c>
      <c r="G12" s="17">
        <f t="shared" si="2"/>
        <v>8.3214285714285836</v>
      </c>
      <c r="H12" s="17">
        <f t="shared" si="3"/>
        <v>69.246173469387955</v>
      </c>
      <c r="I12" s="37">
        <f t="shared" si="4"/>
        <v>0.1040178571428573</v>
      </c>
    </row>
    <row r="13" spans="1:9">
      <c r="A13" s="10" t="s">
        <v>12</v>
      </c>
      <c r="B13" s="7">
        <v>90</v>
      </c>
      <c r="C13" s="11">
        <v>4</v>
      </c>
      <c r="E13" s="18">
        <f t="shared" si="0"/>
        <v>98.857142857142861</v>
      </c>
      <c r="F13" s="17">
        <f t="shared" si="1"/>
        <v>-8.8571428571428612</v>
      </c>
      <c r="G13" s="17">
        <f t="shared" si="2"/>
        <v>8.8571428571428612</v>
      </c>
      <c r="H13" s="17">
        <f t="shared" si="3"/>
        <v>78.448979591836803</v>
      </c>
      <c r="I13" s="37">
        <f t="shared" si="4"/>
        <v>9.8412698412698452E-2</v>
      </c>
    </row>
    <row r="14" spans="1:9">
      <c r="A14" s="10" t="s">
        <v>13</v>
      </c>
      <c r="B14" s="7">
        <v>105</v>
      </c>
      <c r="C14" s="11">
        <v>5</v>
      </c>
      <c r="E14" s="18">
        <f t="shared" si="0"/>
        <v>109.39285714285714</v>
      </c>
      <c r="F14" s="17">
        <f t="shared" si="1"/>
        <v>-4.3928571428571388</v>
      </c>
      <c r="G14" s="17">
        <f t="shared" si="2"/>
        <v>4.3928571428571388</v>
      </c>
      <c r="H14" s="17">
        <f t="shared" si="3"/>
        <v>19.297193877550985</v>
      </c>
      <c r="I14" s="37">
        <f t="shared" si="4"/>
        <v>4.1836734693877511E-2</v>
      </c>
    </row>
    <row r="15" spans="1:9">
      <c r="A15" s="10" t="s">
        <v>14</v>
      </c>
      <c r="B15" s="7">
        <v>142</v>
      </c>
      <c r="C15" s="11">
        <v>6</v>
      </c>
      <c r="E15" s="18">
        <f t="shared" si="0"/>
        <v>119.92857142857144</v>
      </c>
      <c r="F15" s="17">
        <f t="shared" si="1"/>
        <v>22.071428571428555</v>
      </c>
      <c r="G15" s="17">
        <f t="shared" si="2"/>
        <v>22.071428571428555</v>
      </c>
      <c r="H15" s="17">
        <f t="shared" si="3"/>
        <v>487.14795918367275</v>
      </c>
      <c r="I15" s="37">
        <f t="shared" si="4"/>
        <v>0.15543259557344052</v>
      </c>
    </row>
    <row r="16" spans="1:9" ht="16" thickBot="1">
      <c r="A16" s="12" t="s">
        <v>15</v>
      </c>
      <c r="B16" s="40">
        <v>122</v>
      </c>
      <c r="C16" s="13">
        <v>7</v>
      </c>
      <c r="E16" s="58">
        <f t="shared" si="0"/>
        <v>130.46428571428572</v>
      </c>
      <c r="F16" s="66">
        <f t="shared" si="1"/>
        <v>-8.4642857142857224</v>
      </c>
      <c r="G16" s="66">
        <f t="shared" si="2"/>
        <v>8.4642857142857224</v>
      </c>
      <c r="H16" s="66">
        <f t="shared" si="3"/>
        <v>71.644132653061362</v>
      </c>
      <c r="I16" s="67">
        <f t="shared" si="4"/>
        <v>6.9379391100702639E-2</v>
      </c>
    </row>
    <row r="17" spans="1:9" ht="16" thickBot="1">
      <c r="E17" s="19" t="s">
        <v>18</v>
      </c>
      <c r="F17" s="20">
        <f>SUM(F10:F16)</f>
        <v>-4.2632564145606011E-14</v>
      </c>
      <c r="G17" s="20">
        <f>SUM(G10:G16)</f>
        <v>60.071428571428569</v>
      </c>
      <c r="H17" s="20">
        <f>SUM(H10:H16)</f>
        <v>772.82142857142821</v>
      </c>
      <c r="I17" s="48">
        <f>SUM(I10:I16)</f>
        <v>0.57566619838391564</v>
      </c>
    </row>
    <row r="18" spans="1:9">
      <c r="A18" s="29" t="s">
        <v>50</v>
      </c>
      <c r="B18" s="499">
        <f>INTERCEPT(B10:B16,C10:C16)</f>
        <v>56.714285714285715</v>
      </c>
      <c r="E18" s="28" t="s">
        <v>19</v>
      </c>
      <c r="F18" s="27">
        <f>AVERAGE(F10:F16)</f>
        <v>-6.0903663065151441E-15</v>
      </c>
      <c r="G18" s="27">
        <f>AVERAGE(G10:G16)</f>
        <v>8.5816326530612237</v>
      </c>
      <c r="H18" s="27">
        <f>AVERAGE(H10:H16)</f>
        <v>110.40306122448975</v>
      </c>
      <c r="I18" s="34">
        <f>AVERAGE(I10:I16)</f>
        <v>8.2238028340559377E-2</v>
      </c>
    </row>
    <row r="19" spans="1:9" ht="16" thickBot="1">
      <c r="A19" s="31" t="s">
        <v>51</v>
      </c>
      <c r="B19" s="500">
        <f>SLOPE(B10:B16,C10:C16)</f>
        <v>10.535714285714286</v>
      </c>
      <c r="E19" s="28"/>
      <c r="F19" s="27" t="s">
        <v>20</v>
      </c>
      <c r="G19" s="27" t="s">
        <v>21</v>
      </c>
      <c r="H19" s="27" t="s">
        <v>22</v>
      </c>
      <c r="I19" s="35" t="s">
        <v>23</v>
      </c>
    </row>
    <row r="20" spans="1:9">
      <c r="E20" s="28"/>
      <c r="F20" s="27"/>
      <c r="G20" s="27" t="s">
        <v>24</v>
      </c>
      <c r="H20" s="27">
        <f>STEYX(B10:B16,C10:C16)</f>
        <v>12.432388576387314</v>
      </c>
      <c r="I20" s="35"/>
    </row>
    <row r="21" spans="1:9">
      <c r="A21" s="23" t="s">
        <v>54</v>
      </c>
      <c r="B21" s="501">
        <f>$B$18+$B$19*C21</f>
        <v>141</v>
      </c>
      <c r="C21" s="65">
        <v>8</v>
      </c>
      <c r="E21" s="28"/>
      <c r="F21" s="27"/>
      <c r="G21" s="27"/>
      <c r="H21" s="27"/>
      <c r="I21" s="35"/>
    </row>
    <row r="22" spans="1:9">
      <c r="E22" s="28"/>
      <c r="F22" s="27"/>
      <c r="G22" s="27" t="s">
        <v>52</v>
      </c>
      <c r="H22" s="27">
        <f>CORREL(B10:B16,C10:C16)</f>
        <v>0.89490961072454145</v>
      </c>
      <c r="I22" s="35"/>
    </row>
    <row r="23" spans="1:9" ht="16" thickBot="1">
      <c r="E23" s="31"/>
      <c r="F23" s="32"/>
      <c r="G23" s="44" t="s">
        <v>53</v>
      </c>
      <c r="H23" s="32">
        <f>H22*H22</f>
        <v>0.80086321136715033</v>
      </c>
      <c r="I23" s="36"/>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2"/>
  <sheetViews>
    <sheetView workbookViewId="0">
      <selection activeCell="B20" sqref="B20"/>
    </sheetView>
  </sheetViews>
  <sheetFormatPr baseColWidth="10" defaultRowHeight="15" x14ac:dyDescent="0"/>
  <cols>
    <col min="1" max="1" width="10.83203125" style="2" customWidth="1"/>
    <col min="2" max="8" width="10.83203125" style="2"/>
    <col min="9" max="9" width="10" style="2" bestFit="1" customWidth="1"/>
    <col min="10" max="16384" width="10.83203125" style="2"/>
  </cols>
  <sheetData>
    <row r="1" spans="1:9" ht="18">
      <c r="A1" s="39" t="s">
        <v>925</v>
      </c>
    </row>
    <row r="3" spans="1:9" ht="18">
      <c r="A3" s="3" t="s">
        <v>0</v>
      </c>
      <c r="B3" s="3"/>
      <c r="C3" s="3" t="s">
        <v>918</v>
      </c>
      <c r="D3" s="3"/>
      <c r="E3" s="3"/>
      <c r="F3" s="3"/>
      <c r="G3" s="3"/>
      <c r="H3" s="3"/>
    </row>
    <row r="4" spans="1:9">
      <c r="A4" s="1"/>
      <c r="B4" s="1"/>
    </row>
    <row r="8" spans="1:9" ht="16" thickBot="1">
      <c r="A8" s="5" t="s">
        <v>1</v>
      </c>
      <c r="E8" s="23" t="s">
        <v>26</v>
      </c>
    </row>
    <row r="9" spans="1:9">
      <c r="A9" s="8" t="s">
        <v>2</v>
      </c>
      <c r="B9" s="24" t="s">
        <v>48</v>
      </c>
      <c r="C9" s="9" t="s">
        <v>49</v>
      </c>
      <c r="E9" s="19" t="s">
        <v>4</v>
      </c>
      <c r="F9" s="20" t="s">
        <v>5</v>
      </c>
      <c r="G9" s="20" t="s">
        <v>6</v>
      </c>
      <c r="H9" s="20" t="s">
        <v>7</v>
      </c>
      <c r="I9" s="48" t="s">
        <v>8</v>
      </c>
    </row>
    <row r="10" spans="1:9">
      <c r="A10" s="10" t="s">
        <v>919</v>
      </c>
      <c r="B10" s="7">
        <v>2</v>
      </c>
      <c r="C10" s="11">
        <v>1</v>
      </c>
      <c r="E10" s="18">
        <f t="shared" ref="E10:E15" si="0">$B$17+$B$18*C10</f>
        <v>2</v>
      </c>
      <c r="F10" s="17">
        <f t="shared" ref="F10:F15" si="1">B10-E10</f>
        <v>0</v>
      </c>
      <c r="G10" s="17">
        <f t="shared" ref="G10:G15" si="2">ABS(F10)</f>
        <v>0</v>
      </c>
      <c r="H10" s="17">
        <f t="shared" ref="H10:H15" si="3">F10^2</f>
        <v>0</v>
      </c>
      <c r="I10" s="37">
        <f t="shared" ref="I10:I15" si="4">G10/B10</f>
        <v>0</v>
      </c>
    </row>
    <row r="11" spans="1:9">
      <c r="A11" s="10" t="s">
        <v>920</v>
      </c>
      <c r="B11" s="7">
        <v>3</v>
      </c>
      <c r="C11" s="11">
        <v>3</v>
      </c>
      <c r="E11" s="18">
        <f t="shared" si="0"/>
        <v>2.5</v>
      </c>
      <c r="F11" s="17">
        <f t="shared" si="1"/>
        <v>0.5</v>
      </c>
      <c r="G11" s="17">
        <f t="shared" si="2"/>
        <v>0.5</v>
      </c>
      <c r="H11" s="17">
        <f t="shared" si="3"/>
        <v>0.25</v>
      </c>
      <c r="I11" s="37">
        <f t="shared" si="4"/>
        <v>0.16666666666666666</v>
      </c>
    </row>
    <row r="12" spans="1:9">
      <c r="A12" s="10" t="s">
        <v>921</v>
      </c>
      <c r="B12" s="7">
        <v>2.5</v>
      </c>
      <c r="C12" s="11">
        <v>4</v>
      </c>
      <c r="E12" s="18">
        <f t="shared" si="0"/>
        <v>2.75</v>
      </c>
      <c r="F12" s="17">
        <f t="shared" si="1"/>
        <v>-0.25</v>
      </c>
      <c r="G12" s="17">
        <f t="shared" si="2"/>
        <v>0.25</v>
      </c>
      <c r="H12" s="17">
        <f t="shared" si="3"/>
        <v>6.25E-2</v>
      </c>
      <c r="I12" s="37">
        <f t="shared" si="4"/>
        <v>0.1</v>
      </c>
    </row>
    <row r="13" spans="1:9">
      <c r="A13" s="10" t="s">
        <v>922</v>
      </c>
      <c r="B13" s="7">
        <v>2</v>
      </c>
      <c r="C13" s="11">
        <v>2</v>
      </c>
      <c r="E13" s="18">
        <f t="shared" si="0"/>
        <v>2.25</v>
      </c>
      <c r="F13" s="17">
        <f t="shared" si="1"/>
        <v>-0.25</v>
      </c>
      <c r="G13" s="17">
        <f t="shared" si="2"/>
        <v>0.25</v>
      </c>
      <c r="H13" s="17">
        <f t="shared" si="3"/>
        <v>6.25E-2</v>
      </c>
      <c r="I13" s="37">
        <f t="shared" si="4"/>
        <v>0.125</v>
      </c>
    </row>
    <row r="14" spans="1:9">
      <c r="A14" s="10" t="s">
        <v>923</v>
      </c>
      <c r="B14" s="7">
        <v>2</v>
      </c>
      <c r="C14" s="11">
        <v>1</v>
      </c>
      <c r="E14" s="18">
        <f t="shared" si="0"/>
        <v>2</v>
      </c>
      <c r="F14" s="17">
        <f t="shared" si="1"/>
        <v>0</v>
      </c>
      <c r="G14" s="17">
        <f t="shared" si="2"/>
        <v>0</v>
      </c>
      <c r="H14" s="17">
        <f t="shared" si="3"/>
        <v>0</v>
      </c>
      <c r="I14" s="37">
        <f t="shared" si="4"/>
        <v>0</v>
      </c>
    </row>
    <row r="15" spans="1:9" ht="16" thickBot="1">
      <c r="A15" s="12" t="s">
        <v>924</v>
      </c>
      <c r="B15" s="40">
        <v>3.5</v>
      </c>
      <c r="C15" s="13">
        <v>7</v>
      </c>
      <c r="E15" s="58">
        <f t="shared" si="0"/>
        <v>3.5</v>
      </c>
      <c r="F15" s="66">
        <f t="shared" si="1"/>
        <v>0</v>
      </c>
      <c r="G15" s="66">
        <f t="shared" si="2"/>
        <v>0</v>
      </c>
      <c r="H15" s="66">
        <f t="shared" si="3"/>
        <v>0</v>
      </c>
      <c r="I15" s="67">
        <f t="shared" si="4"/>
        <v>0</v>
      </c>
    </row>
    <row r="16" spans="1:9" ht="16" thickBot="1">
      <c r="E16" s="19" t="s">
        <v>18</v>
      </c>
      <c r="F16" s="20">
        <f>SUM(F10:F15)</f>
        <v>0</v>
      </c>
      <c r="G16" s="20">
        <f>SUM(G10:G15)</f>
        <v>1</v>
      </c>
      <c r="H16" s="20">
        <f>SUM(H10:H15)</f>
        <v>0.375</v>
      </c>
      <c r="I16" s="48">
        <f>SUM(I10:I15)</f>
        <v>0.39166666666666666</v>
      </c>
    </row>
    <row r="17" spans="1:9">
      <c r="A17" s="29" t="s">
        <v>50</v>
      </c>
      <c r="B17" s="68">
        <f>INTERCEPT(B10:B15,C10:C15)</f>
        <v>1.75</v>
      </c>
      <c r="E17" s="28" t="s">
        <v>19</v>
      </c>
      <c r="F17" s="27">
        <f>AVERAGE(F10:F15)</f>
        <v>0</v>
      </c>
      <c r="G17" s="27">
        <f>AVERAGE(G10:G15)</f>
        <v>0.16666666666666666</v>
      </c>
      <c r="H17" s="27">
        <f>AVERAGE(H10:H15)</f>
        <v>6.25E-2</v>
      </c>
      <c r="I17" s="34">
        <f>AVERAGE(I10:I15)</f>
        <v>6.5277777777777782E-2</v>
      </c>
    </row>
    <row r="18" spans="1:9" ht="16" thickBot="1">
      <c r="A18" s="31" t="s">
        <v>51</v>
      </c>
      <c r="B18" s="36">
        <f>SLOPE(B10:B15,C10:C15)</f>
        <v>0.25</v>
      </c>
      <c r="E18" s="28"/>
      <c r="F18" s="27" t="s">
        <v>20</v>
      </c>
      <c r="G18" s="27" t="s">
        <v>21</v>
      </c>
      <c r="H18" s="27" t="s">
        <v>22</v>
      </c>
      <c r="I18" s="35" t="s">
        <v>23</v>
      </c>
    </row>
    <row r="19" spans="1:9">
      <c r="E19" s="28"/>
      <c r="F19" s="27"/>
      <c r="G19" s="27" t="s">
        <v>24</v>
      </c>
      <c r="H19" s="27">
        <f>STEYX(B10:B15,C10:C15)</f>
        <v>0.30618621784789724</v>
      </c>
      <c r="I19" s="35"/>
    </row>
    <row r="20" spans="1:9">
      <c r="A20" s="23" t="s">
        <v>4</v>
      </c>
      <c r="B20" s="23">
        <f>$B$17+$B$18*C20</f>
        <v>3.25</v>
      </c>
      <c r="C20" s="65">
        <v>6</v>
      </c>
      <c r="E20" s="28"/>
      <c r="F20" s="27"/>
      <c r="G20" s="27"/>
      <c r="H20" s="27"/>
      <c r="I20" s="35"/>
    </row>
    <row r="21" spans="1:9">
      <c r="E21" s="28"/>
      <c r="F21" s="27"/>
      <c r="G21" s="27" t="s">
        <v>52</v>
      </c>
      <c r="H21" s="27">
        <f>CORREL(B10:B15,C10:C15)</f>
        <v>0.90138781886599739</v>
      </c>
      <c r="I21" s="35"/>
    </row>
    <row r="22" spans="1:9" ht="16" thickBot="1">
      <c r="E22" s="31"/>
      <c r="F22" s="32"/>
      <c r="G22" s="44" t="s">
        <v>53</v>
      </c>
      <c r="H22" s="32">
        <f>H21*H21</f>
        <v>0.81250000000000011</v>
      </c>
      <c r="I22" s="36"/>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8"/>
  <sheetViews>
    <sheetView topLeftCell="A6" workbookViewId="0">
      <selection activeCell="G46" sqref="G46"/>
    </sheetView>
  </sheetViews>
  <sheetFormatPr baseColWidth="10" defaultRowHeight="15" x14ac:dyDescent="0"/>
  <cols>
    <col min="1" max="1" width="10.83203125" style="2" customWidth="1"/>
    <col min="2" max="16384" width="10.83203125" style="2"/>
  </cols>
  <sheetData>
    <row r="1" spans="1:14" ht="18">
      <c r="A1" s="39" t="s">
        <v>76</v>
      </c>
    </row>
    <row r="3" spans="1:14" ht="18">
      <c r="A3" s="3" t="s">
        <v>0</v>
      </c>
      <c r="B3" s="3"/>
      <c r="C3" s="3" t="s">
        <v>58</v>
      </c>
      <c r="D3" s="3"/>
      <c r="E3" s="3"/>
      <c r="F3" s="3"/>
      <c r="G3" s="3"/>
      <c r="H3" s="3"/>
    </row>
    <row r="4" spans="1:14">
      <c r="A4" s="1"/>
      <c r="B4" s="1"/>
    </row>
    <row r="5" spans="1:14">
      <c r="A5" s="2" t="s">
        <v>66</v>
      </c>
    </row>
    <row r="6" spans="1:14">
      <c r="A6" s="4"/>
    </row>
    <row r="8" spans="1:14" ht="16" thickBot="1">
      <c r="A8" s="5" t="s">
        <v>1</v>
      </c>
    </row>
    <row r="9" spans="1:14">
      <c r="A9" s="8" t="s">
        <v>2</v>
      </c>
      <c r="B9" s="24" t="s">
        <v>48</v>
      </c>
      <c r="C9" s="9" t="s">
        <v>60</v>
      </c>
      <c r="E9" s="2" t="s">
        <v>19</v>
      </c>
      <c r="F9" s="2" t="s">
        <v>59</v>
      </c>
      <c r="N9" s="6"/>
    </row>
    <row r="10" spans="1:14">
      <c r="A10" s="10" t="s">
        <v>892</v>
      </c>
      <c r="B10" s="73">
        <v>80</v>
      </c>
      <c r="C10" s="70">
        <v>1</v>
      </c>
      <c r="E10" s="2">
        <f>AVERAGE(B10:B45)</f>
        <v>94</v>
      </c>
      <c r="F10" s="2">
        <f t="shared" ref="F10:F45" si="0">B10/E10</f>
        <v>0.85106382978723405</v>
      </c>
      <c r="G10" s="2">
        <f t="shared" ref="G10:G21" si="1">AVERAGE(B10,B22,B34)</f>
        <v>90</v>
      </c>
      <c r="H10" s="2">
        <f t="shared" ref="H10:H21" si="2">AVERAGE(G10,G22,G34)/E10</f>
        <v>0.95744680851063835</v>
      </c>
      <c r="N10" s="6"/>
    </row>
    <row r="11" spans="1:14">
      <c r="A11" s="10" t="s">
        <v>893</v>
      </c>
      <c r="B11" s="74">
        <v>70</v>
      </c>
      <c r="C11" s="70">
        <v>2</v>
      </c>
      <c r="E11" s="2">
        <f>AVERAGE(B10:B45)</f>
        <v>94</v>
      </c>
      <c r="F11" s="2">
        <f t="shared" si="0"/>
        <v>0.74468085106382975</v>
      </c>
      <c r="G11" s="2">
        <f t="shared" si="1"/>
        <v>80</v>
      </c>
      <c r="H11" s="2">
        <f t="shared" si="2"/>
        <v>0.85106382978723405</v>
      </c>
      <c r="N11" s="6"/>
    </row>
    <row r="12" spans="1:14">
      <c r="A12" s="10" t="s">
        <v>894</v>
      </c>
      <c r="B12" s="74">
        <v>80</v>
      </c>
      <c r="C12" s="70">
        <v>3</v>
      </c>
      <c r="E12" s="2">
        <f>AVERAGE(B10:B45)</f>
        <v>94</v>
      </c>
      <c r="F12" s="2">
        <f t="shared" si="0"/>
        <v>0.85106382978723405</v>
      </c>
      <c r="G12" s="2">
        <f t="shared" si="1"/>
        <v>85</v>
      </c>
      <c r="H12" s="2">
        <f t="shared" si="2"/>
        <v>0.9042553191489362</v>
      </c>
      <c r="N12" s="6"/>
    </row>
    <row r="13" spans="1:14">
      <c r="A13" s="10" t="s">
        <v>895</v>
      </c>
      <c r="B13" s="74">
        <v>90</v>
      </c>
      <c r="C13" s="70">
        <v>4</v>
      </c>
      <c r="E13" s="2">
        <f>AVERAGE(B10:B45)</f>
        <v>94</v>
      </c>
      <c r="F13" s="2">
        <f t="shared" si="0"/>
        <v>0.95744680851063835</v>
      </c>
      <c r="G13" s="2">
        <f t="shared" si="1"/>
        <v>100</v>
      </c>
      <c r="H13" s="2">
        <f t="shared" si="2"/>
        <v>1.0638297872340425</v>
      </c>
      <c r="N13" s="6"/>
    </row>
    <row r="14" spans="1:14">
      <c r="A14" s="10" t="s">
        <v>896</v>
      </c>
      <c r="B14" s="74">
        <v>113</v>
      </c>
      <c r="C14" s="70">
        <v>5</v>
      </c>
      <c r="E14" s="2">
        <f>AVERAGE(B10:B45)</f>
        <v>94</v>
      </c>
      <c r="F14" s="2">
        <f t="shared" si="0"/>
        <v>1.2021276595744681</v>
      </c>
      <c r="G14" s="2">
        <f t="shared" si="1"/>
        <v>123</v>
      </c>
      <c r="H14" s="2">
        <f t="shared" si="2"/>
        <v>1.3085106382978724</v>
      </c>
      <c r="N14" s="6"/>
    </row>
    <row r="15" spans="1:14">
      <c r="A15" s="10" t="s">
        <v>897</v>
      </c>
      <c r="B15" s="74">
        <v>110</v>
      </c>
      <c r="C15" s="70">
        <v>6</v>
      </c>
      <c r="E15" s="2">
        <f>AVERAGE(B10:B45)</f>
        <v>94</v>
      </c>
      <c r="F15" s="2">
        <f t="shared" si="0"/>
        <v>1.1702127659574468</v>
      </c>
      <c r="G15" s="2">
        <f t="shared" si="1"/>
        <v>115</v>
      </c>
      <c r="H15" s="2">
        <f t="shared" si="2"/>
        <v>1.2234042553191489</v>
      </c>
      <c r="N15" s="6"/>
    </row>
    <row r="16" spans="1:14">
      <c r="A16" s="10" t="s">
        <v>898</v>
      </c>
      <c r="B16" s="74">
        <v>100</v>
      </c>
      <c r="C16" s="70">
        <v>7</v>
      </c>
      <c r="E16" s="2">
        <f>AVERAGE(B10:B45)</f>
        <v>94</v>
      </c>
      <c r="F16" s="2">
        <f t="shared" si="0"/>
        <v>1.0638297872340425</v>
      </c>
      <c r="G16" s="2">
        <f t="shared" si="1"/>
        <v>105</v>
      </c>
      <c r="H16" s="2">
        <f t="shared" si="2"/>
        <v>1.1170212765957446</v>
      </c>
      <c r="N16" s="6"/>
    </row>
    <row r="17" spans="1:14">
      <c r="A17" s="10" t="s">
        <v>899</v>
      </c>
      <c r="B17" s="74">
        <v>88</v>
      </c>
      <c r="C17" s="70">
        <v>8</v>
      </c>
      <c r="E17" s="2">
        <f>AVERAGE(B10:B45)</f>
        <v>94</v>
      </c>
      <c r="F17" s="2">
        <f t="shared" si="0"/>
        <v>0.93617021276595747</v>
      </c>
      <c r="G17" s="2">
        <f t="shared" si="1"/>
        <v>100</v>
      </c>
      <c r="H17" s="2">
        <f t="shared" si="2"/>
        <v>1.0638297872340425</v>
      </c>
      <c r="N17" s="6"/>
    </row>
    <row r="18" spans="1:14">
      <c r="A18" s="10" t="s">
        <v>900</v>
      </c>
      <c r="B18" s="74">
        <v>85</v>
      </c>
      <c r="C18" s="70">
        <v>9</v>
      </c>
      <c r="E18" s="2">
        <f>AVERAGE(B10:B45)</f>
        <v>94</v>
      </c>
      <c r="F18" s="2">
        <f t="shared" si="0"/>
        <v>0.9042553191489362</v>
      </c>
      <c r="G18" s="2">
        <f t="shared" si="1"/>
        <v>90</v>
      </c>
      <c r="H18" s="2">
        <f t="shared" si="2"/>
        <v>0.95744680851063835</v>
      </c>
      <c r="N18" s="6"/>
    </row>
    <row r="19" spans="1:14">
      <c r="A19" s="10" t="s">
        <v>901</v>
      </c>
      <c r="B19" s="74">
        <v>77</v>
      </c>
      <c r="C19" s="70">
        <v>10</v>
      </c>
      <c r="E19" s="2">
        <f>AVERAGE(B10:B45)</f>
        <v>94</v>
      </c>
      <c r="F19" s="2">
        <f t="shared" si="0"/>
        <v>0.81914893617021278</v>
      </c>
      <c r="G19" s="2">
        <f t="shared" si="1"/>
        <v>80</v>
      </c>
      <c r="H19" s="2">
        <f t="shared" si="2"/>
        <v>0.85106382978723405</v>
      </c>
      <c r="N19" s="6"/>
    </row>
    <row r="20" spans="1:14">
      <c r="A20" s="10" t="s">
        <v>902</v>
      </c>
      <c r="B20" s="74">
        <v>75</v>
      </c>
      <c r="C20" s="70">
        <v>11</v>
      </c>
      <c r="E20" s="2">
        <f>AVERAGE(B10:B45)</f>
        <v>94</v>
      </c>
      <c r="F20" s="2">
        <f t="shared" si="0"/>
        <v>0.7978723404255319</v>
      </c>
      <c r="G20" s="2">
        <f t="shared" si="1"/>
        <v>80</v>
      </c>
      <c r="H20" s="2">
        <f t="shared" si="2"/>
        <v>0.85106382978723405</v>
      </c>
      <c r="N20" s="6"/>
    </row>
    <row r="21" spans="1:14">
      <c r="A21" s="10" t="s">
        <v>903</v>
      </c>
      <c r="B21" s="74">
        <v>82</v>
      </c>
      <c r="C21" s="70">
        <v>12</v>
      </c>
      <c r="E21" s="2">
        <f>AVERAGE(B10:B45)</f>
        <v>94</v>
      </c>
      <c r="F21" s="2">
        <f t="shared" si="0"/>
        <v>0.87234042553191493</v>
      </c>
      <c r="G21" s="2">
        <f t="shared" si="1"/>
        <v>80</v>
      </c>
      <c r="H21" s="2">
        <f t="shared" si="2"/>
        <v>0.85106382978723405</v>
      </c>
      <c r="N21" s="6"/>
    </row>
    <row r="22" spans="1:14">
      <c r="A22" s="10" t="s">
        <v>892</v>
      </c>
      <c r="B22" s="74">
        <v>85</v>
      </c>
      <c r="C22" s="70">
        <v>13</v>
      </c>
      <c r="E22" s="2">
        <f>AVERAGE(B10:B45)</f>
        <v>94</v>
      </c>
      <c r="F22" s="2">
        <f t="shared" si="0"/>
        <v>0.9042553191489362</v>
      </c>
      <c r="G22" s="2">
        <f t="shared" ref="G22:H33" si="3">G10</f>
        <v>90</v>
      </c>
      <c r="H22" s="2">
        <f t="shared" si="3"/>
        <v>0.95744680851063835</v>
      </c>
      <c r="N22" s="6"/>
    </row>
    <row r="23" spans="1:14">
      <c r="A23" s="10" t="s">
        <v>893</v>
      </c>
      <c r="B23" s="74">
        <v>85</v>
      </c>
      <c r="C23" s="70">
        <v>14</v>
      </c>
      <c r="E23" s="2">
        <f>AVERAGE(B10:B45)</f>
        <v>94</v>
      </c>
      <c r="F23" s="2">
        <f t="shared" si="0"/>
        <v>0.9042553191489362</v>
      </c>
      <c r="G23" s="2">
        <f t="shared" si="3"/>
        <v>80</v>
      </c>
      <c r="H23" s="2">
        <f t="shared" si="3"/>
        <v>0.85106382978723405</v>
      </c>
      <c r="N23" s="6"/>
    </row>
    <row r="24" spans="1:14">
      <c r="A24" s="10" t="s">
        <v>894</v>
      </c>
      <c r="B24" s="74">
        <v>93</v>
      </c>
      <c r="C24" s="70">
        <v>15</v>
      </c>
      <c r="E24" s="2">
        <f>AVERAGE(B10:B45)</f>
        <v>94</v>
      </c>
      <c r="F24" s="2">
        <f t="shared" si="0"/>
        <v>0.98936170212765961</v>
      </c>
      <c r="G24" s="2">
        <f t="shared" si="3"/>
        <v>85</v>
      </c>
      <c r="H24" s="2">
        <f t="shared" si="3"/>
        <v>0.9042553191489362</v>
      </c>
      <c r="N24" s="6"/>
    </row>
    <row r="25" spans="1:14">
      <c r="A25" s="10" t="s">
        <v>895</v>
      </c>
      <c r="B25" s="74">
        <v>95</v>
      </c>
      <c r="C25" s="70">
        <v>16</v>
      </c>
      <c r="E25" s="2">
        <f>AVERAGE(B10:B45)</f>
        <v>94</v>
      </c>
      <c r="F25" s="2">
        <f t="shared" si="0"/>
        <v>1.0106382978723405</v>
      </c>
      <c r="G25" s="2">
        <f t="shared" si="3"/>
        <v>100</v>
      </c>
      <c r="H25" s="2">
        <f t="shared" si="3"/>
        <v>1.0638297872340425</v>
      </c>
      <c r="N25" s="6"/>
    </row>
    <row r="26" spans="1:14">
      <c r="A26" s="10" t="s">
        <v>896</v>
      </c>
      <c r="B26" s="74">
        <v>125</v>
      </c>
      <c r="C26" s="70">
        <v>17</v>
      </c>
      <c r="E26" s="2">
        <f>AVERAGE(B10:B45)</f>
        <v>94</v>
      </c>
      <c r="F26" s="2">
        <f t="shared" si="0"/>
        <v>1.3297872340425532</v>
      </c>
      <c r="G26" s="2">
        <f t="shared" si="3"/>
        <v>123</v>
      </c>
      <c r="H26" s="2">
        <f t="shared" si="3"/>
        <v>1.3085106382978724</v>
      </c>
      <c r="N26" s="6"/>
    </row>
    <row r="27" spans="1:14">
      <c r="A27" s="10" t="s">
        <v>897</v>
      </c>
      <c r="B27" s="74">
        <v>115</v>
      </c>
      <c r="C27" s="70">
        <v>18</v>
      </c>
      <c r="E27" s="2">
        <f>AVERAGE(B10:B45)</f>
        <v>94</v>
      </c>
      <c r="F27" s="2">
        <f t="shared" si="0"/>
        <v>1.2234042553191489</v>
      </c>
      <c r="G27" s="2">
        <f t="shared" si="3"/>
        <v>115</v>
      </c>
      <c r="H27" s="2">
        <f t="shared" si="3"/>
        <v>1.2234042553191489</v>
      </c>
      <c r="N27" s="6"/>
    </row>
    <row r="28" spans="1:14">
      <c r="A28" s="10" t="s">
        <v>898</v>
      </c>
      <c r="B28" s="74">
        <v>102</v>
      </c>
      <c r="C28" s="70">
        <v>19</v>
      </c>
      <c r="E28" s="2">
        <f>AVERAGE(B10:B45)</f>
        <v>94</v>
      </c>
      <c r="F28" s="2">
        <f t="shared" si="0"/>
        <v>1.0851063829787233</v>
      </c>
      <c r="G28" s="2">
        <f t="shared" si="3"/>
        <v>105</v>
      </c>
      <c r="H28" s="2">
        <f t="shared" si="3"/>
        <v>1.1170212765957446</v>
      </c>
      <c r="N28" s="6"/>
    </row>
    <row r="29" spans="1:14">
      <c r="A29" s="10" t="s">
        <v>899</v>
      </c>
      <c r="B29" s="74">
        <v>102</v>
      </c>
      <c r="C29" s="70">
        <v>20</v>
      </c>
      <c r="E29" s="2">
        <f>AVERAGE(B10:B45)</f>
        <v>94</v>
      </c>
      <c r="F29" s="2">
        <f t="shared" si="0"/>
        <v>1.0851063829787233</v>
      </c>
      <c r="G29" s="2">
        <f t="shared" si="3"/>
        <v>100</v>
      </c>
      <c r="H29" s="2">
        <f t="shared" si="3"/>
        <v>1.0638297872340425</v>
      </c>
      <c r="N29" s="6"/>
    </row>
    <row r="30" spans="1:14">
      <c r="A30" s="10" t="s">
        <v>900</v>
      </c>
      <c r="B30" s="74">
        <v>90</v>
      </c>
      <c r="C30" s="70">
        <v>21</v>
      </c>
      <c r="E30" s="2">
        <f>AVERAGE(B10:B45)</f>
        <v>94</v>
      </c>
      <c r="F30" s="2">
        <f t="shared" si="0"/>
        <v>0.95744680851063835</v>
      </c>
      <c r="G30" s="2">
        <f t="shared" si="3"/>
        <v>90</v>
      </c>
      <c r="H30" s="2">
        <f t="shared" si="3"/>
        <v>0.95744680851063835</v>
      </c>
      <c r="N30" s="6"/>
    </row>
    <row r="31" spans="1:14">
      <c r="A31" s="10" t="s">
        <v>901</v>
      </c>
      <c r="B31" s="74">
        <v>78</v>
      </c>
      <c r="C31" s="70">
        <v>22</v>
      </c>
      <c r="E31" s="2">
        <f>AVERAGE(B10:B45)</f>
        <v>94</v>
      </c>
      <c r="F31" s="2">
        <f t="shared" si="0"/>
        <v>0.82978723404255317</v>
      </c>
      <c r="G31" s="2">
        <f t="shared" si="3"/>
        <v>80</v>
      </c>
      <c r="H31" s="2">
        <f t="shared" si="3"/>
        <v>0.85106382978723405</v>
      </c>
      <c r="N31" s="6"/>
    </row>
    <row r="32" spans="1:14">
      <c r="A32" s="10" t="s">
        <v>902</v>
      </c>
      <c r="B32" s="74">
        <v>82</v>
      </c>
      <c r="C32" s="70">
        <v>23</v>
      </c>
      <c r="E32" s="2">
        <f>AVERAGE(B10:B45)</f>
        <v>94</v>
      </c>
      <c r="F32" s="2">
        <f t="shared" si="0"/>
        <v>0.87234042553191493</v>
      </c>
      <c r="G32" s="2">
        <f t="shared" si="3"/>
        <v>80</v>
      </c>
      <c r="H32" s="2">
        <f t="shared" si="3"/>
        <v>0.85106382978723405</v>
      </c>
      <c r="N32" s="6"/>
    </row>
    <row r="33" spans="1:14">
      <c r="A33" s="10" t="s">
        <v>903</v>
      </c>
      <c r="B33" s="74">
        <v>78</v>
      </c>
      <c r="C33" s="70">
        <v>24</v>
      </c>
      <c r="E33" s="2">
        <f>AVERAGE(B10:B45)</f>
        <v>94</v>
      </c>
      <c r="F33" s="2">
        <f t="shared" si="0"/>
        <v>0.82978723404255317</v>
      </c>
      <c r="G33" s="2">
        <f t="shared" si="3"/>
        <v>80</v>
      </c>
      <c r="H33" s="2">
        <f t="shared" si="3"/>
        <v>0.85106382978723405</v>
      </c>
      <c r="N33" s="6"/>
    </row>
    <row r="34" spans="1:14">
      <c r="A34" s="10" t="s">
        <v>892</v>
      </c>
      <c r="B34" s="74">
        <v>105</v>
      </c>
      <c r="C34" s="70">
        <v>25</v>
      </c>
      <c r="E34" s="2">
        <f>AVERAGE(B10:B45)</f>
        <v>94</v>
      </c>
      <c r="F34" s="2">
        <f t="shared" si="0"/>
        <v>1.1170212765957446</v>
      </c>
      <c r="G34" s="2">
        <f t="shared" ref="G34:H45" si="4">G10</f>
        <v>90</v>
      </c>
      <c r="H34" s="2">
        <f t="shared" si="4"/>
        <v>0.95744680851063835</v>
      </c>
      <c r="N34" s="6"/>
    </row>
    <row r="35" spans="1:14">
      <c r="A35" s="10" t="s">
        <v>893</v>
      </c>
      <c r="B35" s="74">
        <v>85</v>
      </c>
      <c r="C35" s="70">
        <v>26</v>
      </c>
      <c r="E35" s="2">
        <f>AVERAGE(B10:B45)</f>
        <v>94</v>
      </c>
      <c r="F35" s="2">
        <f t="shared" si="0"/>
        <v>0.9042553191489362</v>
      </c>
      <c r="G35" s="2">
        <f t="shared" si="4"/>
        <v>80</v>
      </c>
      <c r="H35" s="2">
        <f t="shared" si="4"/>
        <v>0.85106382978723405</v>
      </c>
      <c r="N35" s="6"/>
    </row>
    <row r="36" spans="1:14">
      <c r="A36" s="10" t="s">
        <v>894</v>
      </c>
      <c r="B36" s="74">
        <v>82</v>
      </c>
      <c r="C36" s="70">
        <v>27</v>
      </c>
      <c r="E36" s="2">
        <f>AVERAGE(B10:B45)</f>
        <v>94</v>
      </c>
      <c r="F36" s="2">
        <f t="shared" si="0"/>
        <v>0.87234042553191493</v>
      </c>
      <c r="G36" s="2">
        <f t="shared" si="4"/>
        <v>85</v>
      </c>
      <c r="H36" s="2">
        <f t="shared" si="4"/>
        <v>0.9042553191489362</v>
      </c>
      <c r="N36" s="6"/>
    </row>
    <row r="37" spans="1:14">
      <c r="A37" s="10" t="s">
        <v>895</v>
      </c>
      <c r="B37" s="74">
        <v>115</v>
      </c>
      <c r="C37" s="70">
        <v>28</v>
      </c>
      <c r="E37" s="2">
        <f>AVERAGE(B10:B45)</f>
        <v>94</v>
      </c>
      <c r="F37" s="2">
        <f t="shared" si="0"/>
        <v>1.2234042553191489</v>
      </c>
      <c r="G37" s="2">
        <f t="shared" si="4"/>
        <v>100</v>
      </c>
      <c r="H37" s="2">
        <f t="shared" si="4"/>
        <v>1.0638297872340425</v>
      </c>
      <c r="N37" s="6"/>
    </row>
    <row r="38" spans="1:14">
      <c r="A38" s="10" t="s">
        <v>896</v>
      </c>
      <c r="B38" s="74">
        <v>131</v>
      </c>
      <c r="C38" s="70">
        <v>29</v>
      </c>
      <c r="E38" s="2">
        <f>AVERAGE(B10:B45)</f>
        <v>94</v>
      </c>
      <c r="F38" s="2">
        <f t="shared" si="0"/>
        <v>1.3936170212765957</v>
      </c>
      <c r="G38" s="2">
        <f t="shared" si="4"/>
        <v>123</v>
      </c>
      <c r="H38" s="2">
        <f t="shared" si="4"/>
        <v>1.3085106382978724</v>
      </c>
      <c r="N38" s="6"/>
    </row>
    <row r="39" spans="1:14">
      <c r="A39" s="10" t="s">
        <v>897</v>
      </c>
      <c r="B39" s="74">
        <v>120</v>
      </c>
      <c r="C39" s="70">
        <v>30</v>
      </c>
      <c r="E39" s="2">
        <f>AVERAGE(B10:B45)</f>
        <v>94</v>
      </c>
      <c r="F39" s="2">
        <f t="shared" si="0"/>
        <v>1.2765957446808511</v>
      </c>
      <c r="G39" s="2">
        <f t="shared" si="4"/>
        <v>115</v>
      </c>
      <c r="H39" s="2">
        <f t="shared" si="4"/>
        <v>1.2234042553191489</v>
      </c>
      <c r="N39" s="6"/>
    </row>
    <row r="40" spans="1:14">
      <c r="A40" s="10" t="s">
        <v>898</v>
      </c>
      <c r="B40" s="74">
        <v>113</v>
      </c>
      <c r="C40" s="70">
        <v>31</v>
      </c>
      <c r="E40" s="2">
        <f>AVERAGE(B10:B45)</f>
        <v>94</v>
      </c>
      <c r="F40" s="2">
        <f t="shared" si="0"/>
        <v>1.2021276595744681</v>
      </c>
      <c r="G40" s="2">
        <f t="shared" si="4"/>
        <v>105</v>
      </c>
      <c r="H40" s="2">
        <f t="shared" si="4"/>
        <v>1.1170212765957446</v>
      </c>
      <c r="N40" s="6"/>
    </row>
    <row r="41" spans="1:14">
      <c r="A41" s="10" t="s">
        <v>899</v>
      </c>
      <c r="B41" s="74">
        <v>110</v>
      </c>
      <c r="C41" s="70">
        <v>32</v>
      </c>
      <c r="E41" s="2">
        <f>AVERAGE(B10:B45)</f>
        <v>94</v>
      </c>
      <c r="F41" s="2">
        <f t="shared" si="0"/>
        <v>1.1702127659574468</v>
      </c>
      <c r="G41" s="2">
        <f t="shared" si="4"/>
        <v>100</v>
      </c>
      <c r="H41" s="2">
        <f t="shared" si="4"/>
        <v>1.0638297872340425</v>
      </c>
      <c r="N41" s="6"/>
    </row>
    <row r="42" spans="1:14">
      <c r="A42" s="10" t="s">
        <v>900</v>
      </c>
      <c r="B42" s="74">
        <v>95</v>
      </c>
      <c r="C42" s="70">
        <v>33</v>
      </c>
      <c r="E42" s="2">
        <f>AVERAGE(B10:B45)</f>
        <v>94</v>
      </c>
      <c r="F42" s="2">
        <f t="shared" si="0"/>
        <v>1.0106382978723405</v>
      </c>
      <c r="G42" s="2">
        <f t="shared" si="4"/>
        <v>90</v>
      </c>
      <c r="H42" s="2">
        <f t="shared" si="4"/>
        <v>0.95744680851063835</v>
      </c>
      <c r="N42" s="6"/>
    </row>
    <row r="43" spans="1:14">
      <c r="A43" s="10" t="s">
        <v>901</v>
      </c>
      <c r="B43" s="74">
        <v>85</v>
      </c>
      <c r="C43" s="70">
        <v>34</v>
      </c>
      <c r="E43" s="2">
        <f>AVERAGE(B10:B45)</f>
        <v>94</v>
      </c>
      <c r="F43" s="2">
        <f t="shared" si="0"/>
        <v>0.9042553191489362</v>
      </c>
      <c r="G43" s="2">
        <f t="shared" si="4"/>
        <v>80</v>
      </c>
      <c r="H43" s="2">
        <f t="shared" si="4"/>
        <v>0.85106382978723405</v>
      </c>
      <c r="N43" s="6"/>
    </row>
    <row r="44" spans="1:14">
      <c r="A44" s="10" t="s">
        <v>902</v>
      </c>
      <c r="B44" s="74">
        <v>83</v>
      </c>
      <c r="C44" s="70">
        <v>35</v>
      </c>
      <c r="E44" s="2">
        <f>AVERAGE(B10:B45)</f>
        <v>94</v>
      </c>
      <c r="F44" s="2">
        <f t="shared" si="0"/>
        <v>0.88297872340425532</v>
      </c>
      <c r="G44" s="2">
        <f t="shared" si="4"/>
        <v>80</v>
      </c>
      <c r="H44" s="2">
        <f t="shared" si="4"/>
        <v>0.85106382978723405</v>
      </c>
      <c r="N44" s="6"/>
    </row>
    <row r="45" spans="1:14" ht="16" thickBot="1">
      <c r="A45" s="10" t="s">
        <v>903</v>
      </c>
      <c r="B45" s="75">
        <v>80</v>
      </c>
      <c r="C45" s="71">
        <v>36</v>
      </c>
      <c r="E45" s="2">
        <f>AVERAGE(B10:B45)</f>
        <v>94</v>
      </c>
      <c r="F45" s="2">
        <f t="shared" si="0"/>
        <v>0.85106382978723405</v>
      </c>
      <c r="G45" s="2">
        <f t="shared" si="4"/>
        <v>80</v>
      </c>
      <c r="H45" s="2">
        <f t="shared" si="4"/>
        <v>0.85106382978723405</v>
      </c>
      <c r="N45" s="6"/>
    </row>
    <row r="46" spans="1:14">
      <c r="N46" s="6"/>
    </row>
    <row r="50" spans="1:13">
      <c r="A50" s="23" t="s">
        <v>61</v>
      </c>
    </row>
    <row r="51" spans="1:13">
      <c r="B51" s="2" t="s">
        <v>62</v>
      </c>
      <c r="C51" s="2" t="s">
        <v>63</v>
      </c>
      <c r="D51" s="2" t="s">
        <v>64</v>
      </c>
      <c r="E51" s="2" t="s">
        <v>67</v>
      </c>
      <c r="F51" s="2" t="s">
        <v>68</v>
      </c>
      <c r="G51" s="2" t="s">
        <v>69</v>
      </c>
      <c r="H51" s="2" t="s">
        <v>70</v>
      </c>
      <c r="I51" s="2" t="s">
        <v>71</v>
      </c>
      <c r="J51" s="2" t="s">
        <v>72</v>
      </c>
      <c r="K51" s="2" t="s">
        <v>73</v>
      </c>
      <c r="L51" s="2" t="s">
        <v>74</v>
      </c>
      <c r="M51" s="2" t="s">
        <v>75</v>
      </c>
    </row>
    <row r="52" spans="1:13">
      <c r="B52" s="2">
        <f>F10</f>
        <v>0.85106382978723405</v>
      </c>
      <c r="C52" s="2">
        <f>F11</f>
        <v>0.74468085106382975</v>
      </c>
      <c r="D52" s="2">
        <f>F12</f>
        <v>0.85106382978723405</v>
      </c>
      <c r="E52" s="2">
        <f>F13</f>
        <v>0.95744680851063835</v>
      </c>
      <c r="F52" s="2">
        <f>F14</f>
        <v>1.2021276595744681</v>
      </c>
      <c r="G52" s="2">
        <f>F15</f>
        <v>1.1702127659574468</v>
      </c>
      <c r="H52" s="2">
        <f>F16</f>
        <v>1.0638297872340425</v>
      </c>
      <c r="I52" s="2">
        <f>F17</f>
        <v>0.93617021276595747</v>
      </c>
      <c r="J52" s="2">
        <f>F18</f>
        <v>0.9042553191489362</v>
      </c>
      <c r="K52" s="2">
        <f>F19</f>
        <v>0.81914893617021278</v>
      </c>
      <c r="L52" s="2">
        <f>F20</f>
        <v>0.7978723404255319</v>
      </c>
      <c r="M52" s="2">
        <f>F21</f>
        <v>0.87234042553191493</v>
      </c>
    </row>
    <row r="53" spans="1:13">
      <c r="B53" s="2">
        <f>F22</f>
        <v>0.9042553191489362</v>
      </c>
      <c r="C53" s="2">
        <f>F23</f>
        <v>0.9042553191489362</v>
      </c>
      <c r="D53" s="2">
        <f>F24</f>
        <v>0.98936170212765961</v>
      </c>
      <c r="E53" s="2">
        <f>F25</f>
        <v>1.0106382978723405</v>
      </c>
      <c r="F53" s="2">
        <f>F26</f>
        <v>1.3297872340425532</v>
      </c>
      <c r="G53" s="2">
        <f>F27</f>
        <v>1.2234042553191489</v>
      </c>
      <c r="H53" s="2">
        <f>F28</f>
        <v>1.0851063829787233</v>
      </c>
      <c r="I53" s="2">
        <f>F29</f>
        <v>1.0851063829787233</v>
      </c>
      <c r="J53" s="2">
        <f>F30</f>
        <v>0.95744680851063835</v>
      </c>
      <c r="K53" s="2">
        <f>F31</f>
        <v>0.82978723404255317</v>
      </c>
      <c r="L53" s="2">
        <f>F32</f>
        <v>0.87234042553191493</v>
      </c>
      <c r="M53" s="2">
        <f>F33</f>
        <v>0.82978723404255317</v>
      </c>
    </row>
    <row r="54" spans="1:13">
      <c r="B54" s="2">
        <f>F34</f>
        <v>1.1170212765957446</v>
      </c>
      <c r="C54" s="2">
        <f>F35</f>
        <v>0.9042553191489362</v>
      </c>
      <c r="D54" s="2">
        <f>F36</f>
        <v>0.87234042553191493</v>
      </c>
      <c r="E54" s="2">
        <f>F37</f>
        <v>1.2234042553191489</v>
      </c>
      <c r="F54" s="2">
        <f>F38</f>
        <v>1.3936170212765957</v>
      </c>
      <c r="G54" s="2">
        <f>F39</f>
        <v>1.2765957446808511</v>
      </c>
      <c r="H54" s="2">
        <f>F40</f>
        <v>1.2021276595744681</v>
      </c>
      <c r="I54" s="2">
        <f>F41</f>
        <v>1.1702127659574468</v>
      </c>
      <c r="J54" s="2">
        <f>F42</f>
        <v>1.0106382978723405</v>
      </c>
      <c r="K54" s="2">
        <f>F43</f>
        <v>0.9042553191489362</v>
      </c>
      <c r="L54" s="2">
        <f>F44</f>
        <v>0.88297872340425532</v>
      </c>
      <c r="M54" s="2">
        <f>F45</f>
        <v>0.85106382978723405</v>
      </c>
    </row>
    <row r="55" spans="1:13">
      <c r="A55" s="2" t="s">
        <v>19</v>
      </c>
      <c r="B55" s="2">
        <f t="shared" ref="B55:M55" si="5">AVERAGE(B52:B54)</f>
        <v>0.95744680851063835</v>
      </c>
      <c r="C55" s="2">
        <f t="shared" si="5"/>
        <v>0.85106382978723405</v>
      </c>
      <c r="D55" s="2">
        <f t="shared" si="5"/>
        <v>0.9042553191489362</v>
      </c>
      <c r="E55" s="2">
        <f t="shared" si="5"/>
        <v>1.0638297872340425</v>
      </c>
      <c r="F55" s="2">
        <f t="shared" si="5"/>
        <v>1.3085106382978724</v>
      </c>
      <c r="G55" s="2">
        <f t="shared" si="5"/>
        <v>1.2234042553191489</v>
      </c>
      <c r="H55" s="2">
        <f t="shared" si="5"/>
        <v>1.1170212765957446</v>
      </c>
      <c r="I55" s="2">
        <f t="shared" si="5"/>
        <v>1.0638297872340425</v>
      </c>
      <c r="J55" s="2">
        <f t="shared" si="5"/>
        <v>0.95744680851063835</v>
      </c>
      <c r="K55" s="2">
        <f t="shared" si="5"/>
        <v>0.85106382978723405</v>
      </c>
      <c r="L55" s="2">
        <f t="shared" si="5"/>
        <v>0.85106382978723405</v>
      </c>
      <c r="M55" s="2">
        <f t="shared" si="5"/>
        <v>0.85106382978723405</v>
      </c>
    </row>
    <row r="57" spans="1:13">
      <c r="A57" s="23" t="s">
        <v>65</v>
      </c>
      <c r="B57" s="72">
        <v>1200</v>
      </c>
    </row>
    <row r="58" spans="1:13">
      <c r="B58" s="502">
        <f t="shared" ref="B58:M58" si="6">$B$57 * B55 /  12</f>
        <v>95.744680851063833</v>
      </c>
      <c r="C58" s="502">
        <f t="shared" si="6"/>
        <v>85.106382978723403</v>
      </c>
      <c r="D58" s="502">
        <f t="shared" si="6"/>
        <v>90.425531914893611</v>
      </c>
      <c r="E58" s="502">
        <f t="shared" si="6"/>
        <v>106.38297872340426</v>
      </c>
      <c r="F58" s="502">
        <f t="shared" si="6"/>
        <v>130.85106382978725</v>
      </c>
      <c r="G58" s="502">
        <f t="shared" si="6"/>
        <v>122.34042553191489</v>
      </c>
      <c r="H58" s="502">
        <f t="shared" si="6"/>
        <v>111.70212765957446</v>
      </c>
      <c r="I58" s="502">
        <f t="shared" si="6"/>
        <v>106.38297872340426</v>
      </c>
      <c r="J58" s="502">
        <f t="shared" si="6"/>
        <v>95.744680851063833</v>
      </c>
      <c r="K58" s="502">
        <f t="shared" si="6"/>
        <v>85.106382978723403</v>
      </c>
      <c r="L58" s="502">
        <f t="shared" si="6"/>
        <v>85.106382978723403</v>
      </c>
      <c r="M58" s="502">
        <f t="shared" si="6"/>
        <v>85.106382978723403</v>
      </c>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3"/>
  <sheetViews>
    <sheetView workbookViewId="0">
      <selection activeCell="I38" sqref="I38"/>
    </sheetView>
  </sheetViews>
  <sheetFormatPr baseColWidth="10" defaultRowHeight="15" x14ac:dyDescent="0"/>
  <cols>
    <col min="1" max="1" width="12.33203125" style="2" bestFit="1" customWidth="1"/>
    <col min="2" max="16384" width="10.83203125" style="2"/>
  </cols>
  <sheetData>
    <row r="1" spans="1:8" ht="18">
      <c r="A1" s="39" t="s">
        <v>83</v>
      </c>
      <c r="C1" s="2" t="s">
        <v>56</v>
      </c>
    </row>
    <row r="3" spans="1:8" ht="18">
      <c r="A3" s="3" t="s">
        <v>0</v>
      </c>
      <c r="B3" s="3"/>
      <c r="C3" s="3" t="s">
        <v>77</v>
      </c>
      <c r="D3" s="3"/>
      <c r="E3" s="3"/>
      <c r="F3" s="3"/>
      <c r="G3" s="3"/>
      <c r="H3" s="3"/>
    </row>
    <row r="4" spans="1:8">
      <c r="A4" s="1"/>
      <c r="B4" s="1"/>
    </row>
    <row r="6" spans="1:8" ht="16" thickBot="1">
      <c r="A6" s="5" t="s">
        <v>1</v>
      </c>
    </row>
    <row r="7" spans="1:8">
      <c r="A7" s="8"/>
      <c r="B7" s="24" t="s">
        <v>57</v>
      </c>
      <c r="C7" s="24" t="s">
        <v>80</v>
      </c>
      <c r="D7" s="9" t="s">
        <v>81</v>
      </c>
    </row>
    <row r="8" spans="1:8">
      <c r="A8" s="10" t="s">
        <v>50</v>
      </c>
      <c r="B8" s="7">
        <v>1.8</v>
      </c>
      <c r="C8" s="76">
        <v>1</v>
      </c>
      <c r="D8" s="77">
        <v>1</v>
      </c>
    </row>
    <row r="9" spans="1:8">
      <c r="A9" s="10" t="s">
        <v>78</v>
      </c>
      <c r="B9" s="7">
        <v>0.3</v>
      </c>
      <c r="C9" s="7">
        <v>6</v>
      </c>
      <c r="D9" s="11">
        <v>6</v>
      </c>
    </row>
    <row r="10" spans="1:8" ht="16" thickBot="1">
      <c r="A10" s="12" t="s">
        <v>79</v>
      </c>
      <c r="B10" s="40">
        <v>-5</v>
      </c>
      <c r="C10" s="40">
        <v>0.12</v>
      </c>
      <c r="D10" s="13">
        <v>0.06</v>
      </c>
    </row>
    <row r="12" spans="1:8" ht="16" thickBot="1">
      <c r="A12" s="23" t="s">
        <v>82</v>
      </c>
    </row>
    <row r="13" spans="1:8" ht="16" thickBot="1">
      <c r="A13" s="21" t="s">
        <v>4</v>
      </c>
      <c r="B13" s="62"/>
      <c r="C13" s="62">
        <f>SUMPRODUCT($B$8:$B$10,C8:C10)</f>
        <v>2.9999999999999996</v>
      </c>
      <c r="D13" s="22">
        <f>SUMPRODUCT($B$8:$B$10,D8:D10)</f>
        <v>3.3</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0"/>
  <sheetViews>
    <sheetView workbookViewId="0">
      <selection activeCell="N10" sqref="N10"/>
    </sheetView>
  </sheetViews>
  <sheetFormatPr baseColWidth="10" defaultRowHeight="15" x14ac:dyDescent="0"/>
  <cols>
    <col min="1" max="1" width="12.33203125" style="2" bestFit="1" customWidth="1"/>
    <col min="2" max="8" width="10.83203125" style="2"/>
    <col min="9" max="9" width="10" style="2" bestFit="1" customWidth="1"/>
    <col min="10" max="13" width="10.83203125" style="2"/>
    <col min="14" max="14" width="25.6640625" style="2" bestFit="1" customWidth="1"/>
    <col min="15" max="16384" width="10.83203125" style="2"/>
  </cols>
  <sheetData>
    <row r="1" spans="1:14" ht="18">
      <c r="A1" s="39" t="s">
        <v>905</v>
      </c>
    </row>
    <row r="3" spans="1:14" ht="18">
      <c r="A3" s="3" t="s">
        <v>0</v>
      </c>
      <c r="B3" s="3"/>
      <c r="C3" s="3" t="s">
        <v>905</v>
      </c>
      <c r="D3" s="3"/>
      <c r="E3" s="3"/>
      <c r="F3" s="3"/>
      <c r="G3" s="3"/>
      <c r="H3" s="3"/>
      <c r="I3" s="3"/>
    </row>
    <row r="4" spans="1:14">
      <c r="A4" s="1"/>
      <c r="B4" s="1"/>
    </row>
    <row r="8" spans="1:14" ht="16" thickBot="1">
      <c r="A8" s="5" t="s">
        <v>1</v>
      </c>
      <c r="E8" s="23" t="s">
        <v>906</v>
      </c>
      <c r="K8" s="87" t="s">
        <v>913</v>
      </c>
    </row>
    <row r="9" spans="1:14">
      <c r="A9" s="8" t="s">
        <v>2</v>
      </c>
      <c r="B9" s="24" t="s">
        <v>3</v>
      </c>
      <c r="C9" s="24" t="s">
        <v>4</v>
      </c>
      <c r="D9" s="24"/>
      <c r="E9" s="19"/>
      <c r="F9" s="20" t="s">
        <v>5</v>
      </c>
      <c r="G9" s="20" t="s">
        <v>6</v>
      </c>
      <c r="H9" s="20" t="s">
        <v>7</v>
      </c>
      <c r="I9" s="48" t="s">
        <v>8</v>
      </c>
      <c r="K9" s="19" t="s">
        <v>914</v>
      </c>
      <c r="L9" s="20" t="s">
        <v>915</v>
      </c>
      <c r="M9" s="20" t="s">
        <v>916</v>
      </c>
      <c r="N9" s="82" t="s">
        <v>917</v>
      </c>
    </row>
    <row r="10" spans="1:14">
      <c r="A10" s="10" t="s">
        <v>907</v>
      </c>
      <c r="B10" s="7">
        <v>90</v>
      </c>
      <c r="C10" s="7">
        <v>100</v>
      </c>
      <c r="D10" s="14"/>
      <c r="E10" s="18"/>
      <c r="F10" s="17">
        <f t="shared" ref="F10:F15" si="0">B10-C10</f>
        <v>-10</v>
      </c>
      <c r="G10" s="17">
        <f t="shared" ref="G10:G15" si="1">ABS(F10)</f>
        <v>10</v>
      </c>
      <c r="H10" s="17">
        <f t="shared" ref="H10:H15" si="2">F10^2</f>
        <v>100</v>
      </c>
      <c r="I10" s="37">
        <f t="shared" ref="I10:I15" si="3">G10/B10</f>
        <v>0.1111111111111111</v>
      </c>
      <c r="K10" s="18">
        <f>F10</f>
        <v>-10</v>
      </c>
      <c r="L10" s="17">
        <f>G10</f>
        <v>10</v>
      </c>
      <c r="M10" s="17">
        <f>G10</f>
        <v>10</v>
      </c>
      <c r="N10" s="45">
        <f t="shared" ref="N10:N15" si="4">K10/M10</f>
        <v>-1</v>
      </c>
    </row>
    <row r="11" spans="1:14">
      <c r="A11" s="10" t="s">
        <v>908</v>
      </c>
      <c r="B11" s="7">
        <v>95</v>
      </c>
      <c r="C11" s="7">
        <v>100</v>
      </c>
      <c r="D11" s="14"/>
      <c r="E11" s="18"/>
      <c r="F11" s="17">
        <f t="shared" si="0"/>
        <v>-5</v>
      </c>
      <c r="G11" s="17">
        <f t="shared" si="1"/>
        <v>5</v>
      </c>
      <c r="H11" s="17">
        <f t="shared" si="2"/>
        <v>25</v>
      </c>
      <c r="I11" s="37">
        <f t="shared" si="3"/>
        <v>5.2631578947368418E-2</v>
      </c>
      <c r="K11" s="18">
        <f t="shared" ref="K11:L15" si="5">K10+F11</f>
        <v>-15</v>
      </c>
      <c r="L11" s="17">
        <f t="shared" si="5"/>
        <v>15</v>
      </c>
      <c r="M11" s="17">
        <f>SUM($G$10:G11)/COUNT($G$10:G11)</f>
        <v>7.5</v>
      </c>
      <c r="N11" s="45">
        <f t="shared" si="4"/>
        <v>-2</v>
      </c>
    </row>
    <row r="12" spans="1:14">
      <c r="A12" s="10" t="s">
        <v>909</v>
      </c>
      <c r="B12" s="7">
        <v>115</v>
      </c>
      <c r="C12" s="7">
        <v>100</v>
      </c>
      <c r="D12" s="14"/>
      <c r="E12" s="18"/>
      <c r="F12" s="17">
        <f t="shared" si="0"/>
        <v>15</v>
      </c>
      <c r="G12" s="17">
        <f t="shared" si="1"/>
        <v>15</v>
      </c>
      <c r="H12" s="17">
        <f t="shared" si="2"/>
        <v>225</v>
      </c>
      <c r="I12" s="37">
        <f t="shared" si="3"/>
        <v>0.13043478260869565</v>
      </c>
      <c r="K12" s="18">
        <f t="shared" si="5"/>
        <v>0</v>
      </c>
      <c r="L12" s="17">
        <f t="shared" si="5"/>
        <v>30</v>
      </c>
      <c r="M12" s="17">
        <f>SUM($G$10:G12)/COUNT($G$10:G12)</f>
        <v>10</v>
      </c>
      <c r="N12" s="45">
        <f t="shared" si="4"/>
        <v>0</v>
      </c>
    </row>
    <row r="13" spans="1:14">
      <c r="A13" s="10" t="s">
        <v>910</v>
      </c>
      <c r="B13" s="7">
        <v>100</v>
      </c>
      <c r="C13" s="7">
        <v>110</v>
      </c>
      <c r="D13" s="14"/>
      <c r="E13" s="18"/>
      <c r="F13" s="17">
        <f t="shared" si="0"/>
        <v>-10</v>
      </c>
      <c r="G13" s="17">
        <f t="shared" si="1"/>
        <v>10</v>
      </c>
      <c r="H13" s="17">
        <f t="shared" si="2"/>
        <v>100</v>
      </c>
      <c r="I13" s="37">
        <f t="shared" si="3"/>
        <v>0.1</v>
      </c>
      <c r="K13" s="18">
        <f t="shared" si="5"/>
        <v>-10</v>
      </c>
      <c r="L13" s="17">
        <f t="shared" si="5"/>
        <v>40</v>
      </c>
      <c r="M13" s="17">
        <f>SUM($G$10:G13)/COUNT($G$10:G13)</f>
        <v>10</v>
      </c>
      <c r="N13" s="45">
        <f t="shared" si="4"/>
        <v>-1</v>
      </c>
    </row>
    <row r="14" spans="1:14">
      <c r="A14" s="10" t="s">
        <v>911</v>
      </c>
      <c r="B14" s="7">
        <v>125</v>
      </c>
      <c r="C14" s="7">
        <v>110</v>
      </c>
      <c r="D14" s="14"/>
      <c r="E14" s="18"/>
      <c r="F14" s="17">
        <f t="shared" si="0"/>
        <v>15</v>
      </c>
      <c r="G14" s="17">
        <f t="shared" si="1"/>
        <v>15</v>
      </c>
      <c r="H14" s="17">
        <f t="shared" si="2"/>
        <v>225</v>
      </c>
      <c r="I14" s="37">
        <f t="shared" si="3"/>
        <v>0.12</v>
      </c>
      <c r="K14" s="18">
        <f t="shared" si="5"/>
        <v>5</v>
      </c>
      <c r="L14" s="17">
        <f t="shared" si="5"/>
        <v>55</v>
      </c>
      <c r="M14" s="17">
        <f>SUM($G$10:G14)/COUNT($G$10:G14)</f>
        <v>11</v>
      </c>
      <c r="N14" s="45">
        <f t="shared" si="4"/>
        <v>0.45454545454545453</v>
      </c>
    </row>
    <row r="15" spans="1:14" ht="16" thickBot="1">
      <c r="A15" s="12" t="s">
        <v>912</v>
      </c>
      <c r="B15" s="7">
        <v>140</v>
      </c>
      <c r="C15" s="7">
        <v>110</v>
      </c>
      <c r="D15" s="14"/>
      <c r="E15" s="58"/>
      <c r="F15" s="66">
        <f t="shared" si="0"/>
        <v>30</v>
      </c>
      <c r="G15" s="66">
        <f t="shared" si="1"/>
        <v>30</v>
      </c>
      <c r="H15" s="66">
        <f t="shared" si="2"/>
        <v>900</v>
      </c>
      <c r="I15" s="67">
        <f t="shared" si="3"/>
        <v>0.21428571428571427</v>
      </c>
      <c r="K15" s="18">
        <f t="shared" si="5"/>
        <v>35</v>
      </c>
      <c r="L15" s="17">
        <f t="shared" si="5"/>
        <v>85</v>
      </c>
      <c r="M15" s="17">
        <f>SUM($G$10:G15)/COUNT($G$10:G15)</f>
        <v>14.166666666666666</v>
      </c>
      <c r="N15" s="45">
        <f t="shared" si="4"/>
        <v>2.4705882352941178</v>
      </c>
    </row>
    <row r="16" spans="1:14">
      <c r="E16" s="19" t="s">
        <v>18</v>
      </c>
      <c r="F16" s="20">
        <f>SUM(F10:F15)</f>
        <v>35</v>
      </c>
      <c r="G16" s="20">
        <f>SUM(G10:G15)</f>
        <v>85</v>
      </c>
      <c r="H16" s="20">
        <f>SUM(H10:H15)</f>
        <v>1575</v>
      </c>
      <c r="I16" s="48">
        <f>SUM(I10:I15)</f>
        <v>0.72846318695288947</v>
      </c>
    </row>
    <row r="17" spans="1:9">
      <c r="E17" s="28" t="s">
        <v>19</v>
      </c>
      <c r="F17" s="27">
        <f>AVERAGE(F10:F15)</f>
        <v>5.833333333333333</v>
      </c>
      <c r="G17" s="27">
        <f>AVERAGE(G10:G15)</f>
        <v>14.166666666666666</v>
      </c>
      <c r="H17" s="27">
        <f>AVERAGE(H10:H15)</f>
        <v>262.5</v>
      </c>
      <c r="I17" s="34">
        <f>AVERAGE(I10:I15)</f>
        <v>0.12141053115881491</v>
      </c>
    </row>
    <row r="18" spans="1:9">
      <c r="E18" s="28"/>
      <c r="F18" s="27" t="s">
        <v>20</v>
      </c>
      <c r="G18" s="27" t="s">
        <v>21</v>
      </c>
      <c r="H18" s="27" t="s">
        <v>22</v>
      </c>
      <c r="I18" s="35" t="s">
        <v>23</v>
      </c>
    </row>
    <row r="19" spans="1:9" ht="16" thickBot="1">
      <c r="E19" s="31"/>
      <c r="F19" s="32"/>
      <c r="G19" s="32" t="s">
        <v>24</v>
      </c>
      <c r="H19" s="32">
        <f>SQRT(H16/(COUNT(H10:H15)-2))</f>
        <v>19.843134832984429</v>
      </c>
      <c r="I19" s="36"/>
    </row>
    <row r="20" spans="1:9">
      <c r="A20" s="23"/>
      <c r="B20" s="23"/>
      <c r="H20" s="2" t="str">
        <f>IF(COUNT(H10:H15)-2&lt;1,"Not enough data to compute the standard error","")</f>
        <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4"/>
  <sheetViews>
    <sheetView workbookViewId="0">
      <selection activeCell="M43" sqref="M43"/>
    </sheetView>
  </sheetViews>
  <sheetFormatPr baseColWidth="10" defaultRowHeight="15" x14ac:dyDescent="0"/>
  <cols>
    <col min="1" max="1" width="17.5" style="2" customWidth="1"/>
    <col min="2" max="2" width="10.83203125" style="2"/>
    <col min="3" max="3" width="3" style="2" customWidth="1"/>
    <col min="4" max="4" width="10.83203125" style="2"/>
    <col min="5" max="5" width="10.33203125" style="2" customWidth="1"/>
    <col min="6" max="6" width="17.5" style="2" customWidth="1"/>
    <col min="7" max="16384" width="10.83203125" style="2"/>
  </cols>
  <sheetData>
    <row r="1" spans="1:8" ht="18">
      <c r="A1" s="39" t="s">
        <v>119</v>
      </c>
    </row>
    <row r="3" spans="1:8" ht="18">
      <c r="A3" s="3" t="s">
        <v>84</v>
      </c>
      <c r="B3" s="3"/>
      <c r="C3" s="3" t="s">
        <v>85</v>
      </c>
      <c r="D3" s="3"/>
      <c r="E3" s="3"/>
      <c r="F3" s="3"/>
      <c r="G3" s="3"/>
      <c r="H3" s="3"/>
    </row>
    <row r="4" spans="1:8">
      <c r="A4" s="1"/>
      <c r="B4" s="1"/>
    </row>
    <row r="5" spans="1:8">
      <c r="A5" s="2" t="s">
        <v>86</v>
      </c>
      <c r="B5" s="69">
        <v>20</v>
      </c>
    </row>
    <row r="6" spans="1:8">
      <c r="A6" s="2" t="s">
        <v>87</v>
      </c>
      <c r="B6" s="7">
        <v>100</v>
      </c>
    </row>
    <row r="8" spans="1:8" ht="16" thickBot="1">
      <c r="A8" s="5" t="s">
        <v>1</v>
      </c>
      <c r="F8" s="23" t="s">
        <v>82</v>
      </c>
    </row>
    <row r="9" spans="1:8">
      <c r="A9" s="8"/>
      <c r="B9" s="9" t="s">
        <v>108</v>
      </c>
      <c r="D9" s="79" t="s">
        <v>109</v>
      </c>
      <c r="F9" s="19" t="s">
        <v>110</v>
      </c>
      <c r="G9" s="82">
        <f>B5*B6</f>
        <v>2000</v>
      </c>
    </row>
    <row r="10" spans="1:8">
      <c r="A10" s="10" t="s">
        <v>88</v>
      </c>
      <c r="B10" s="11">
        <v>6</v>
      </c>
      <c r="D10" s="80">
        <f t="shared" ref="D10:D29" si="0">B10/$B$6</f>
        <v>0.06</v>
      </c>
      <c r="E10" s="15" t="str">
        <f t="shared" ref="E10:E29" si="1">IF(D10&gt;$G$15,"Above UCL",IF(D10&lt;$G$17,"Below LCL",""))</f>
        <v/>
      </c>
      <c r="F10" s="18" t="s">
        <v>111</v>
      </c>
      <c r="G10" s="45">
        <f>SUM(B10:B29)</f>
        <v>80</v>
      </c>
    </row>
    <row r="11" spans="1:8">
      <c r="A11" s="10" t="s">
        <v>89</v>
      </c>
      <c r="B11" s="11">
        <v>5</v>
      </c>
      <c r="D11" s="80">
        <f t="shared" si="0"/>
        <v>0.05</v>
      </c>
      <c r="E11" s="15" t="str">
        <f t="shared" si="1"/>
        <v/>
      </c>
      <c r="F11" s="18" t="s">
        <v>112</v>
      </c>
      <c r="G11" s="45">
        <f>G10/G9</f>
        <v>0.04</v>
      </c>
    </row>
    <row r="12" spans="1:8">
      <c r="A12" s="10" t="s">
        <v>90</v>
      </c>
      <c r="B12" s="11">
        <v>0</v>
      </c>
      <c r="D12" s="80">
        <f t="shared" si="0"/>
        <v>0</v>
      </c>
      <c r="E12" s="15" t="str">
        <f t="shared" si="1"/>
        <v/>
      </c>
      <c r="F12" s="18" t="s">
        <v>113</v>
      </c>
      <c r="G12" s="45">
        <f>SQRT(((1-G11)*G11)/B6)</f>
        <v>1.9595917942265423E-2</v>
      </c>
    </row>
    <row r="13" spans="1:8">
      <c r="A13" s="10" t="s">
        <v>91</v>
      </c>
      <c r="B13" s="11">
        <v>1</v>
      </c>
      <c r="D13" s="80">
        <f t="shared" si="0"/>
        <v>0.01</v>
      </c>
      <c r="E13" s="15" t="str">
        <f t="shared" si="1"/>
        <v/>
      </c>
      <c r="F13" s="18" t="s">
        <v>117</v>
      </c>
      <c r="G13" s="47">
        <v>3</v>
      </c>
    </row>
    <row r="14" spans="1:8" ht="16" thickBot="1">
      <c r="A14" s="10" t="s">
        <v>92</v>
      </c>
      <c r="B14" s="11">
        <v>4</v>
      </c>
      <c r="D14" s="80">
        <f t="shared" si="0"/>
        <v>0.04</v>
      </c>
      <c r="E14" s="15" t="str">
        <f t="shared" si="1"/>
        <v/>
      </c>
      <c r="F14" s="58"/>
      <c r="G14" s="78"/>
    </row>
    <row r="15" spans="1:8">
      <c r="A15" s="10" t="s">
        <v>93</v>
      </c>
      <c r="B15" s="11">
        <v>2</v>
      </c>
      <c r="D15" s="80">
        <f t="shared" si="0"/>
        <v>0.02</v>
      </c>
      <c r="E15" s="15" t="str">
        <f t="shared" si="1"/>
        <v/>
      </c>
      <c r="F15" s="29" t="s">
        <v>114</v>
      </c>
      <c r="G15" s="68">
        <f>G11+G13*G12</f>
        <v>9.8787753826796276E-2</v>
      </c>
    </row>
    <row r="16" spans="1:8">
      <c r="A16" s="10" t="s">
        <v>94</v>
      </c>
      <c r="B16" s="11">
        <v>5</v>
      </c>
      <c r="D16" s="80">
        <f t="shared" si="0"/>
        <v>0.05</v>
      </c>
      <c r="E16" s="15" t="str">
        <f t="shared" si="1"/>
        <v/>
      </c>
      <c r="F16" s="28" t="s">
        <v>115</v>
      </c>
      <c r="G16" s="35">
        <f>G11</f>
        <v>0.04</v>
      </c>
    </row>
    <row r="17" spans="1:7" ht="16" thickBot="1">
      <c r="A17" s="10" t="s">
        <v>95</v>
      </c>
      <c r="B17" s="11">
        <v>3</v>
      </c>
      <c r="D17" s="80">
        <f t="shared" si="0"/>
        <v>0.03</v>
      </c>
      <c r="E17" s="15" t="str">
        <f t="shared" si="1"/>
        <v/>
      </c>
      <c r="F17" s="31" t="s">
        <v>116</v>
      </c>
      <c r="G17" s="36">
        <f>IF(G11-G13*G12&gt;0,G11-G13*G12,0)</f>
        <v>0</v>
      </c>
    </row>
    <row r="18" spans="1:7">
      <c r="A18" s="10" t="s">
        <v>96</v>
      </c>
      <c r="B18" s="11">
        <v>3</v>
      </c>
      <c r="D18" s="80">
        <f t="shared" si="0"/>
        <v>0.03</v>
      </c>
      <c r="E18" s="15" t="str">
        <f t="shared" si="1"/>
        <v/>
      </c>
    </row>
    <row r="19" spans="1:7">
      <c r="A19" s="10" t="s">
        <v>97</v>
      </c>
      <c r="B19" s="11">
        <v>2</v>
      </c>
      <c r="D19" s="80">
        <f t="shared" si="0"/>
        <v>0.02</v>
      </c>
      <c r="E19" s="15" t="str">
        <f t="shared" si="1"/>
        <v/>
      </c>
    </row>
    <row r="20" spans="1:7">
      <c r="A20" s="10" t="s">
        <v>98</v>
      </c>
      <c r="B20" s="11">
        <v>6</v>
      </c>
      <c r="D20" s="80">
        <f t="shared" si="0"/>
        <v>0.06</v>
      </c>
      <c r="E20" s="15" t="str">
        <f t="shared" si="1"/>
        <v/>
      </c>
    </row>
    <row r="21" spans="1:7">
      <c r="A21" s="10" t="s">
        <v>99</v>
      </c>
      <c r="B21" s="11">
        <v>1</v>
      </c>
      <c r="D21" s="80">
        <f t="shared" si="0"/>
        <v>0.01</v>
      </c>
      <c r="E21" s="15" t="str">
        <f t="shared" si="1"/>
        <v/>
      </c>
    </row>
    <row r="22" spans="1:7">
      <c r="A22" s="10" t="s">
        <v>100</v>
      </c>
      <c r="B22" s="11">
        <v>8</v>
      </c>
      <c r="D22" s="80">
        <f t="shared" si="0"/>
        <v>0.08</v>
      </c>
      <c r="E22" s="15" t="str">
        <f t="shared" si="1"/>
        <v/>
      </c>
    </row>
    <row r="23" spans="1:7">
      <c r="A23" s="10" t="s">
        <v>101</v>
      </c>
      <c r="B23" s="11">
        <v>7</v>
      </c>
      <c r="D23" s="80">
        <f t="shared" si="0"/>
        <v>7.0000000000000007E-2</v>
      </c>
      <c r="E23" s="15" t="str">
        <f t="shared" si="1"/>
        <v/>
      </c>
    </row>
    <row r="24" spans="1:7">
      <c r="A24" s="10" t="s">
        <v>102</v>
      </c>
      <c r="B24" s="11">
        <v>5</v>
      </c>
      <c r="D24" s="80">
        <f t="shared" si="0"/>
        <v>0.05</v>
      </c>
      <c r="E24" s="15" t="str">
        <f t="shared" si="1"/>
        <v/>
      </c>
    </row>
    <row r="25" spans="1:7">
      <c r="A25" s="10" t="s">
        <v>103</v>
      </c>
      <c r="B25" s="11">
        <v>4</v>
      </c>
      <c r="D25" s="80">
        <f t="shared" si="0"/>
        <v>0.04</v>
      </c>
      <c r="E25" s="15" t="str">
        <f t="shared" si="1"/>
        <v/>
      </c>
    </row>
    <row r="26" spans="1:7">
      <c r="A26" s="10" t="s">
        <v>104</v>
      </c>
      <c r="B26" s="11">
        <v>11</v>
      </c>
      <c r="D26" s="80">
        <f t="shared" si="0"/>
        <v>0.11</v>
      </c>
      <c r="E26" s="15" t="str">
        <f t="shared" si="1"/>
        <v>Above UCL</v>
      </c>
    </row>
    <row r="27" spans="1:7">
      <c r="A27" s="10" t="s">
        <v>105</v>
      </c>
      <c r="B27" s="11">
        <v>3</v>
      </c>
      <c r="D27" s="80">
        <f t="shared" si="0"/>
        <v>0.03</v>
      </c>
      <c r="E27" s="15" t="str">
        <f t="shared" si="1"/>
        <v/>
      </c>
    </row>
    <row r="28" spans="1:7">
      <c r="A28" s="10" t="s">
        <v>106</v>
      </c>
      <c r="B28" s="11">
        <v>0</v>
      </c>
      <c r="D28" s="80">
        <f t="shared" si="0"/>
        <v>0</v>
      </c>
      <c r="E28" s="15" t="str">
        <f t="shared" si="1"/>
        <v/>
      </c>
    </row>
    <row r="29" spans="1:7" ht="16" thickBot="1">
      <c r="A29" s="12" t="s">
        <v>107</v>
      </c>
      <c r="B29" s="13">
        <v>4</v>
      </c>
      <c r="D29" s="81">
        <f t="shared" si="0"/>
        <v>0.04</v>
      </c>
      <c r="E29" s="15" t="str">
        <f t="shared" si="1"/>
        <v/>
      </c>
    </row>
    <row r="34" spans="1:5">
      <c r="A34" s="2" t="s">
        <v>118</v>
      </c>
    </row>
    <row r="35" spans="1:5">
      <c r="A35" s="2" t="str">
        <f t="shared" ref="A35:A54" si="2">A10</f>
        <v>Clerks 1</v>
      </c>
      <c r="B35" s="2">
        <f t="shared" ref="B35:B54" si="3">D10</f>
        <v>0.06</v>
      </c>
      <c r="C35" s="2">
        <f t="shared" ref="C35:C54" si="4">$G$17</f>
        <v>0</v>
      </c>
      <c r="D35" s="2">
        <f t="shared" ref="D35:D54" si="5">$G$16</f>
        <v>0.04</v>
      </c>
      <c r="E35" s="2">
        <f t="shared" ref="E35:E54" si="6">$G$15</f>
        <v>9.8787753826796276E-2</v>
      </c>
    </row>
    <row r="36" spans="1:5">
      <c r="A36" s="2" t="str">
        <f t="shared" si="2"/>
        <v>Clerks 2</v>
      </c>
      <c r="B36" s="2">
        <f t="shared" si="3"/>
        <v>0.05</v>
      </c>
      <c r="C36" s="2">
        <f t="shared" si="4"/>
        <v>0</v>
      </c>
      <c r="D36" s="2">
        <f t="shared" si="5"/>
        <v>0.04</v>
      </c>
      <c r="E36" s="2">
        <f t="shared" si="6"/>
        <v>9.8787753826796276E-2</v>
      </c>
    </row>
    <row r="37" spans="1:5">
      <c r="A37" s="2" t="str">
        <f t="shared" si="2"/>
        <v>Clerks 3</v>
      </c>
      <c r="B37" s="2">
        <f t="shared" si="3"/>
        <v>0</v>
      </c>
      <c r="C37" s="2">
        <f t="shared" si="4"/>
        <v>0</v>
      </c>
      <c r="D37" s="2">
        <f t="shared" si="5"/>
        <v>0.04</v>
      </c>
      <c r="E37" s="2">
        <f t="shared" si="6"/>
        <v>9.8787753826796276E-2</v>
      </c>
    </row>
    <row r="38" spans="1:5">
      <c r="A38" s="2" t="str">
        <f t="shared" si="2"/>
        <v>Clerks 4</v>
      </c>
      <c r="B38" s="2">
        <f t="shared" si="3"/>
        <v>0.01</v>
      </c>
      <c r="C38" s="2">
        <f t="shared" si="4"/>
        <v>0</v>
      </c>
      <c r="D38" s="2">
        <f t="shared" si="5"/>
        <v>0.04</v>
      </c>
      <c r="E38" s="2">
        <f t="shared" si="6"/>
        <v>9.8787753826796276E-2</v>
      </c>
    </row>
    <row r="39" spans="1:5">
      <c r="A39" s="2" t="str">
        <f t="shared" si="2"/>
        <v>Clerks 5</v>
      </c>
      <c r="B39" s="2">
        <f t="shared" si="3"/>
        <v>0.04</v>
      </c>
      <c r="C39" s="2">
        <f t="shared" si="4"/>
        <v>0</v>
      </c>
      <c r="D39" s="2">
        <f t="shared" si="5"/>
        <v>0.04</v>
      </c>
      <c r="E39" s="2">
        <f t="shared" si="6"/>
        <v>9.8787753826796276E-2</v>
      </c>
    </row>
    <row r="40" spans="1:5">
      <c r="A40" s="2" t="str">
        <f t="shared" si="2"/>
        <v>Clerks 6</v>
      </c>
      <c r="B40" s="2">
        <f t="shared" si="3"/>
        <v>0.02</v>
      </c>
      <c r="C40" s="2">
        <f t="shared" si="4"/>
        <v>0</v>
      </c>
      <c r="D40" s="2">
        <f t="shared" si="5"/>
        <v>0.04</v>
      </c>
      <c r="E40" s="2">
        <f t="shared" si="6"/>
        <v>9.8787753826796276E-2</v>
      </c>
    </row>
    <row r="41" spans="1:5">
      <c r="A41" s="2" t="str">
        <f t="shared" si="2"/>
        <v>Clerks 7</v>
      </c>
      <c r="B41" s="2">
        <f t="shared" si="3"/>
        <v>0.05</v>
      </c>
      <c r="C41" s="2">
        <f t="shared" si="4"/>
        <v>0</v>
      </c>
      <c r="D41" s="2">
        <f t="shared" si="5"/>
        <v>0.04</v>
      </c>
      <c r="E41" s="2">
        <f t="shared" si="6"/>
        <v>9.8787753826796276E-2</v>
      </c>
    </row>
    <row r="42" spans="1:5">
      <c r="A42" s="2" t="str">
        <f t="shared" si="2"/>
        <v>Clerks 8</v>
      </c>
      <c r="B42" s="2">
        <f t="shared" si="3"/>
        <v>0.03</v>
      </c>
      <c r="C42" s="2">
        <f t="shared" si="4"/>
        <v>0</v>
      </c>
      <c r="D42" s="2">
        <f t="shared" si="5"/>
        <v>0.04</v>
      </c>
      <c r="E42" s="2">
        <f t="shared" si="6"/>
        <v>9.8787753826796276E-2</v>
      </c>
    </row>
    <row r="43" spans="1:5">
      <c r="A43" s="2" t="str">
        <f t="shared" si="2"/>
        <v>Clerks 9</v>
      </c>
      <c r="B43" s="2">
        <f t="shared" si="3"/>
        <v>0.03</v>
      </c>
      <c r="C43" s="2">
        <f t="shared" si="4"/>
        <v>0</v>
      </c>
      <c r="D43" s="2">
        <f t="shared" si="5"/>
        <v>0.04</v>
      </c>
      <c r="E43" s="2">
        <f t="shared" si="6"/>
        <v>9.8787753826796276E-2</v>
      </c>
    </row>
    <row r="44" spans="1:5">
      <c r="A44" s="2" t="str">
        <f t="shared" si="2"/>
        <v>Clerks 10</v>
      </c>
      <c r="B44" s="2">
        <f t="shared" si="3"/>
        <v>0.02</v>
      </c>
      <c r="C44" s="2">
        <f t="shared" si="4"/>
        <v>0</v>
      </c>
      <c r="D44" s="2">
        <f t="shared" si="5"/>
        <v>0.04</v>
      </c>
      <c r="E44" s="2">
        <f t="shared" si="6"/>
        <v>9.8787753826796276E-2</v>
      </c>
    </row>
    <row r="45" spans="1:5">
      <c r="A45" s="2" t="str">
        <f t="shared" si="2"/>
        <v>Clerks 11</v>
      </c>
      <c r="B45" s="2">
        <f t="shared" si="3"/>
        <v>0.06</v>
      </c>
      <c r="C45" s="2">
        <f t="shared" si="4"/>
        <v>0</v>
      </c>
      <c r="D45" s="2">
        <f t="shared" si="5"/>
        <v>0.04</v>
      </c>
      <c r="E45" s="2">
        <f t="shared" si="6"/>
        <v>9.8787753826796276E-2</v>
      </c>
    </row>
    <row r="46" spans="1:5">
      <c r="A46" s="2" t="str">
        <f t="shared" si="2"/>
        <v>Clerks 12</v>
      </c>
      <c r="B46" s="2">
        <f t="shared" si="3"/>
        <v>0.01</v>
      </c>
      <c r="C46" s="2">
        <f t="shared" si="4"/>
        <v>0</v>
      </c>
      <c r="D46" s="2">
        <f t="shared" si="5"/>
        <v>0.04</v>
      </c>
      <c r="E46" s="2">
        <f t="shared" si="6"/>
        <v>9.8787753826796276E-2</v>
      </c>
    </row>
    <row r="47" spans="1:5">
      <c r="A47" s="2" t="str">
        <f t="shared" si="2"/>
        <v>Clerks 13</v>
      </c>
      <c r="B47" s="2">
        <f t="shared" si="3"/>
        <v>0.08</v>
      </c>
      <c r="C47" s="2">
        <f t="shared" si="4"/>
        <v>0</v>
      </c>
      <c r="D47" s="2">
        <f t="shared" si="5"/>
        <v>0.04</v>
      </c>
      <c r="E47" s="2">
        <f t="shared" si="6"/>
        <v>9.8787753826796276E-2</v>
      </c>
    </row>
    <row r="48" spans="1:5">
      <c r="A48" s="2" t="str">
        <f t="shared" si="2"/>
        <v>Clerks 14</v>
      </c>
      <c r="B48" s="2">
        <f t="shared" si="3"/>
        <v>7.0000000000000007E-2</v>
      </c>
      <c r="C48" s="2">
        <f t="shared" si="4"/>
        <v>0</v>
      </c>
      <c r="D48" s="2">
        <f t="shared" si="5"/>
        <v>0.04</v>
      </c>
      <c r="E48" s="2">
        <f t="shared" si="6"/>
        <v>9.8787753826796276E-2</v>
      </c>
    </row>
    <row r="49" spans="1:5">
      <c r="A49" s="2" t="str">
        <f t="shared" si="2"/>
        <v>Clerks 15</v>
      </c>
      <c r="B49" s="2">
        <f t="shared" si="3"/>
        <v>0.05</v>
      </c>
      <c r="C49" s="2">
        <f t="shared" si="4"/>
        <v>0</v>
      </c>
      <c r="D49" s="2">
        <f t="shared" si="5"/>
        <v>0.04</v>
      </c>
      <c r="E49" s="2">
        <f t="shared" si="6"/>
        <v>9.8787753826796276E-2</v>
      </c>
    </row>
    <row r="50" spans="1:5">
      <c r="A50" s="2" t="str">
        <f t="shared" si="2"/>
        <v>Clerks 16</v>
      </c>
      <c r="B50" s="2">
        <f t="shared" si="3"/>
        <v>0.04</v>
      </c>
      <c r="C50" s="2">
        <f t="shared" si="4"/>
        <v>0</v>
      </c>
      <c r="D50" s="2">
        <f t="shared" si="5"/>
        <v>0.04</v>
      </c>
      <c r="E50" s="2">
        <f t="shared" si="6"/>
        <v>9.8787753826796276E-2</v>
      </c>
    </row>
    <row r="51" spans="1:5">
      <c r="A51" s="2" t="str">
        <f t="shared" si="2"/>
        <v>Clerks 17</v>
      </c>
      <c r="B51" s="2">
        <f t="shared" si="3"/>
        <v>0.11</v>
      </c>
      <c r="C51" s="2">
        <f t="shared" si="4"/>
        <v>0</v>
      </c>
      <c r="D51" s="2">
        <f t="shared" si="5"/>
        <v>0.04</v>
      </c>
      <c r="E51" s="2">
        <f t="shared" si="6"/>
        <v>9.8787753826796276E-2</v>
      </c>
    </row>
    <row r="52" spans="1:5">
      <c r="A52" s="2" t="str">
        <f t="shared" si="2"/>
        <v>Clerks 18</v>
      </c>
      <c r="B52" s="2">
        <f t="shared" si="3"/>
        <v>0.03</v>
      </c>
      <c r="C52" s="2">
        <f t="shared" si="4"/>
        <v>0</v>
      </c>
      <c r="D52" s="2">
        <f t="shared" si="5"/>
        <v>0.04</v>
      </c>
      <c r="E52" s="2">
        <f t="shared" si="6"/>
        <v>9.8787753826796276E-2</v>
      </c>
    </row>
    <row r="53" spans="1:5">
      <c r="A53" s="2" t="str">
        <f t="shared" si="2"/>
        <v>Clerks 19</v>
      </c>
      <c r="B53" s="2">
        <f t="shared" si="3"/>
        <v>0</v>
      </c>
      <c r="C53" s="2">
        <f t="shared" si="4"/>
        <v>0</v>
      </c>
      <c r="D53" s="2">
        <f t="shared" si="5"/>
        <v>0.04</v>
      </c>
      <c r="E53" s="2">
        <f t="shared" si="6"/>
        <v>9.8787753826796276E-2</v>
      </c>
    </row>
    <row r="54" spans="1:5">
      <c r="A54" s="2" t="str">
        <f t="shared" si="2"/>
        <v>Clerks 20</v>
      </c>
      <c r="B54" s="2">
        <f t="shared" si="3"/>
        <v>0.04</v>
      </c>
      <c r="C54" s="2">
        <f t="shared" si="4"/>
        <v>0</v>
      </c>
      <c r="D54" s="2">
        <f t="shared" si="5"/>
        <v>0.04</v>
      </c>
      <c r="E54" s="2">
        <f t="shared" si="6"/>
        <v>9.8787753826796276E-2</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A26" sqref="A26"/>
    </sheetView>
  </sheetViews>
  <sheetFormatPr baseColWidth="10" defaultRowHeight="15" x14ac:dyDescent="0"/>
  <cols>
    <col min="1" max="1" width="17.1640625" style="2" bestFit="1" customWidth="1"/>
    <col min="2" max="2" width="10.83203125" style="2"/>
    <col min="3" max="3" width="10.33203125" style="2" customWidth="1"/>
    <col min="4" max="4" width="10.83203125" style="2"/>
    <col min="5" max="5" width="17.5" style="2" customWidth="1"/>
    <col min="6" max="16384" width="10.83203125" style="2"/>
  </cols>
  <sheetData>
    <row r="1" spans="1:8" ht="18">
      <c r="A1" s="39" t="s">
        <v>148</v>
      </c>
    </row>
    <row r="3" spans="1:8" ht="18">
      <c r="A3" s="3" t="s">
        <v>84</v>
      </c>
      <c r="B3" s="3"/>
      <c r="C3" s="3" t="s">
        <v>120</v>
      </c>
      <c r="D3" s="3"/>
      <c r="E3" s="3"/>
      <c r="F3" s="3"/>
      <c r="G3" s="3"/>
      <c r="H3" s="3"/>
    </row>
    <row r="4" spans="1:8">
      <c r="A4" s="1"/>
      <c r="B4" s="1"/>
    </row>
    <row r="5" spans="1:8">
      <c r="A5" s="2" t="s">
        <v>86</v>
      </c>
      <c r="B5" s="69">
        <v>5</v>
      </c>
    </row>
    <row r="6" spans="1:8">
      <c r="A6" s="2" t="s">
        <v>87</v>
      </c>
      <c r="B6" s="69">
        <v>4</v>
      </c>
    </row>
    <row r="8" spans="1:8" ht="16" thickBot="1">
      <c r="A8" s="5" t="s">
        <v>1</v>
      </c>
      <c r="E8" s="23" t="s">
        <v>82</v>
      </c>
    </row>
    <row r="9" spans="1:8">
      <c r="A9" s="8"/>
      <c r="B9" s="24" t="s">
        <v>121</v>
      </c>
      <c r="C9" s="9" t="s">
        <v>122</v>
      </c>
      <c r="E9" s="19"/>
      <c r="F9" s="20" t="s">
        <v>133</v>
      </c>
      <c r="G9" s="82" t="s">
        <v>122</v>
      </c>
    </row>
    <row r="10" spans="1:8">
      <c r="A10" s="10" t="s">
        <v>123</v>
      </c>
      <c r="B10" s="7">
        <f>AVERAGE(5,3,6,10)</f>
        <v>6</v>
      </c>
      <c r="C10" s="11">
        <v>7</v>
      </c>
      <c r="D10" s="15" t="str">
        <f>IF(B10&gt;$F$14,"Above UCL",IF(B10&lt;$F$16,"Below LCL",""))</f>
        <v/>
      </c>
      <c r="E10" s="18" t="s">
        <v>132</v>
      </c>
      <c r="F10" s="17">
        <f>B15</f>
        <v>6</v>
      </c>
      <c r="G10" s="45"/>
    </row>
    <row r="11" spans="1:8">
      <c r="A11" s="10" t="s">
        <v>124</v>
      </c>
      <c r="B11" s="7">
        <f>AVERAGE(7,5,3,5)</f>
        <v>5</v>
      </c>
      <c r="C11" s="11">
        <v>4</v>
      </c>
      <c r="D11" s="15" t="str">
        <f>IF(B11&gt;$F$14,"Above UCL",IF(B11&lt;$F$16,"Below LCL",""))</f>
        <v/>
      </c>
      <c r="E11" s="18"/>
      <c r="F11" s="17"/>
      <c r="G11" s="45"/>
    </row>
    <row r="12" spans="1:8">
      <c r="A12" s="10" t="s">
        <v>125</v>
      </c>
      <c r="B12" s="7">
        <v>6</v>
      </c>
      <c r="C12" s="11">
        <v>11</v>
      </c>
      <c r="D12" s="15" t="str">
        <f>IF(B12&gt;$F$14,"Above UCL",IF(B12&lt;$F$16,"Below LCL",""))</f>
        <v/>
      </c>
      <c r="E12" s="18" t="s">
        <v>134</v>
      </c>
      <c r="F12" s="17"/>
      <c r="G12" s="45">
        <f>C15</f>
        <v>8</v>
      </c>
    </row>
    <row r="13" spans="1:8" ht="16" thickBot="1">
      <c r="A13" s="10" t="s">
        <v>126</v>
      </c>
      <c r="B13" s="7">
        <v>4</v>
      </c>
      <c r="C13" s="11">
        <v>6</v>
      </c>
      <c r="D13" s="15" t="str">
        <f>IF(B13&gt;$F$14,"Above UCL",IF(B13&lt;$F$16,"Below LCL",""))</f>
        <v/>
      </c>
      <c r="E13" s="58"/>
      <c r="F13" s="66"/>
      <c r="G13" s="78"/>
    </row>
    <row r="14" spans="1:8" ht="16" thickBot="1">
      <c r="A14" s="12" t="s">
        <v>127</v>
      </c>
      <c r="B14" s="40">
        <v>9</v>
      </c>
      <c r="C14" s="13">
        <v>12</v>
      </c>
      <c r="D14" s="15" t="str">
        <f>IF(B14&gt;$F$14,"Above UCL",IF(B14&lt;$F$16,"Below LCL",""))</f>
        <v/>
      </c>
      <c r="E14" s="29" t="s">
        <v>135</v>
      </c>
      <c r="F14" s="30">
        <f>B15+ VLOOKUP(B6,A23:D46,2) *C15</f>
        <v>11.832000000000001</v>
      </c>
      <c r="G14" s="68">
        <f>VLOOKUP(B6, A23:D46, 3) * C15</f>
        <v>18.256</v>
      </c>
    </row>
    <row r="15" spans="1:8">
      <c r="A15" s="2" t="s">
        <v>19</v>
      </c>
      <c r="B15" s="2">
        <f>AVERAGE(B10:B14)</f>
        <v>6</v>
      </c>
      <c r="C15" s="2">
        <f>AVERAGE(C10:C14)</f>
        <v>8</v>
      </c>
      <c r="E15" s="28" t="s">
        <v>136</v>
      </c>
      <c r="F15" s="27">
        <f>B15</f>
        <v>6</v>
      </c>
      <c r="G15" s="35">
        <f>C15</f>
        <v>8</v>
      </c>
    </row>
    <row r="16" spans="1:8" ht="16" thickBot="1">
      <c r="E16" s="31" t="s">
        <v>137</v>
      </c>
      <c r="F16" s="32">
        <f>B15- VLOOKUP(B6,A23:D46,2) *C15</f>
        <v>0.16800000000000015</v>
      </c>
      <c r="G16" s="36">
        <f>VLOOKUP(B6,A23:D46,4) *C15</f>
        <v>0</v>
      </c>
    </row>
    <row r="20" spans="1:4">
      <c r="A20" t="s">
        <v>138</v>
      </c>
      <c r="B20"/>
      <c r="C20"/>
      <c r="D20"/>
    </row>
    <row r="21" spans="1:4">
      <c r="A21" s="83"/>
      <c r="B21"/>
      <c r="C21"/>
      <c r="D21"/>
    </row>
    <row r="22" spans="1:4" ht="30">
      <c r="A22" s="84" t="s">
        <v>139</v>
      </c>
      <c r="B22" s="84" t="s">
        <v>140</v>
      </c>
      <c r="C22" s="84" t="s">
        <v>141</v>
      </c>
      <c r="D22" s="84" t="s">
        <v>142</v>
      </c>
    </row>
    <row r="23" spans="1:4">
      <c r="A23">
        <v>2</v>
      </c>
      <c r="B23">
        <v>1.88</v>
      </c>
      <c r="C23">
        <v>3.2679999999999998</v>
      </c>
      <c r="D23">
        <v>0</v>
      </c>
    </row>
    <row r="24" spans="1:4">
      <c r="A24">
        <v>3</v>
      </c>
      <c r="B24">
        <v>1.0229999999999999</v>
      </c>
      <c r="C24">
        <v>2.5739999999999998</v>
      </c>
      <c r="D24">
        <v>0</v>
      </c>
    </row>
    <row r="25" spans="1:4">
      <c r="A25">
        <v>4</v>
      </c>
      <c r="B25">
        <v>0.72899999999999998</v>
      </c>
      <c r="C25">
        <v>2.282</v>
      </c>
      <c r="D25">
        <v>0</v>
      </c>
    </row>
    <row r="26" spans="1:4">
      <c r="A26">
        <v>5</v>
      </c>
      <c r="B26">
        <v>0.57699999999999996</v>
      </c>
      <c r="C26">
        <v>2.1150000000000002</v>
      </c>
      <c r="D26">
        <v>0</v>
      </c>
    </row>
    <row r="27" spans="1:4">
      <c r="A27">
        <v>6</v>
      </c>
      <c r="B27">
        <v>0.48299999999999998</v>
      </c>
      <c r="C27">
        <v>2.004</v>
      </c>
      <c r="D27">
        <v>0</v>
      </c>
    </row>
    <row r="28" spans="1:4">
      <c r="A28">
        <v>7</v>
      </c>
      <c r="B28">
        <v>0.41899999999999998</v>
      </c>
      <c r="C28">
        <v>1.9239999999999999</v>
      </c>
      <c r="D28">
        <v>7.5999999999999998E-2</v>
      </c>
    </row>
    <row r="29" spans="1:4">
      <c r="A29">
        <v>8</v>
      </c>
      <c r="B29">
        <v>0.373</v>
      </c>
      <c r="C29">
        <v>1.8640000000000001</v>
      </c>
      <c r="D29">
        <v>0.13600000000000001</v>
      </c>
    </row>
    <row r="30" spans="1:4">
      <c r="A30">
        <v>9</v>
      </c>
      <c r="B30">
        <v>0.33700000000000002</v>
      </c>
      <c r="C30">
        <v>1.8160000000000001</v>
      </c>
      <c r="D30">
        <v>0.184</v>
      </c>
    </row>
    <row r="31" spans="1:4">
      <c r="A31">
        <v>10</v>
      </c>
      <c r="B31">
        <v>0.308</v>
      </c>
      <c r="C31">
        <v>1.7769999999999999</v>
      </c>
      <c r="D31">
        <v>0.223</v>
      </c>
    </row>
    <row r="32" spans="1:4">
      <c r="A32">
        <v>11</v>
      </c>
      <c r="B32">
        <v>0.28499999999999998</v>
      </c>
      <c r="C32">
        <v>1.744</v>
      </c>
      <c r="D32">
        <v>0.25600000000000001</v>
      </c>
    </row>
    <row r="33" spans="1:9">
      <c r="A33">
        <v>12</v>
      </c>
      <c r="B33">
        <v>0.26600000000000001</v>
      </c>
      <c r="C33">
        <v>1.716</v>
      </c>
      <c r="D33">
        <v>0.28399999999999997</v>
      </c>
    </row>
    <row r="34" spans="1:9">
      <c r="A34">
        <v>13</v>
      </c>
      <c r="B34">
        <v>0.249</v>
      </c>
      <c r="C34">
        <v>1.6919999999999999</v>
      </c>
      <c r="D34">
        <v>0.308</v>
      </c>
    </row>
    <row r="35" spans="1:9">
      <c r="A35">
        <v>14</v>
      </c>
      <c r="B35">
        <v>0.23499999999999999</v>
      </c>
      <c r="C35">
        <v>1.671</v>
      </c>
      <c r="D35">
        <v>0.32900000000000001</v>
      </c>
    </row>
    <row r="36" spans="1:9">
      <c r="A36">
        <v>15</v>
      </c>
      <c r="B36">
        <v>0.223</v>
      </c>
      <c r="C36">
        <v>1.6519999999999999</v>
      </c>
      <c r="D36">
        <v>0.34799999999999998</v>
      </c>
    </row>
    <row r="37" spans="1:9">
      <c r="A37">
        <v>16</v>
      </c>
      <c r="B37">
        <v>0.21199999999999999</v>
      </c>
      <c r="C37">
        <v>1.6359999999999999</v>
      </c>
      <c r="D37">
        <v>0.36399999999999999</v>
      </c>
    </row>
    <row r="38" spans="1:9">
      <c r="A38">
        <v>17</v>
      </c>
      <c r="B38">
        <v>0.20300000000000001</v>
      </c>
      <c r="C38">
        <v>1.621</v>
      </c>
      <c r="D38">
        <v>0.379</v>
      </c>
    </row>
    <row r="39" spans="1:9">
      <c r="A39">
        <v>18</v>
      </c>
      <c r="B39">
        <v>0.19400000000000001</v>
      </c>
      <c r="C39">
        <v>1.6080000000000001</v>
      </c>
      <c r="D39">
        <v>0.39200000000000002</v>
      </c>
    </row>
    <row r="40" spans="1:9">
      <c r="A40">
        <v>19</v>
      </c>
      <c r="B40">
        <v>0.187</v>
      </c>
      <c r="C40">
        <v>1.5960000000000001</v>
      </c>
      <c r="D40">
        <v>0.40400000000000003</v>
      </c>
    </row>
    <row r="41" spans="1:9">
      <c r="A41">
        <v>20</v>
      </c>
      <c r="B41">
        <v>0.18</v>
      </c>
      <c r="C41">
        <v>1.5860000000000001</v>
      </c>
      <c r="D41">
        <v>0.41399999999999998</v>
      </c>
    </row>
    <row r="42" spans="1:9">
      <c r="A42">
        <v>21</v>
      </c>
      <c r="B42">
        <v>0.17299999999999999</v>
      </c>
      <c r="C42">
        <v>1.575</v>
      </c>
      <c r="D42">
        <v>0.42499999999999999</v>
      </c>
    </row>
    <row r="43" spans="1:9">
      <c r="A43">
        <v>22</v>
      </c>
      <c r="B43">
        <v>0.16700000000000001</v>
      </c>
      <c r="C43">
        <v>1.5660000000000001</v>
      </c>
      <c r="D43">
        <v>0.434</v>
      </c>
    </row>
    <row r="44" spans="1:9">
      <c r="A44">
        <v>23</v>
      </c>
      <c r="B44">
        <v>0.16200000000000001</v>
      </c>
      <c r="C44">
        <v>1.5569999999999999</v>
      </c>
      <c r="D44">
        <v>0.443</v>
      </c>
    </row>
    <row r="45" spans="1:9">
      <c r="A45">
        <v>24</v>
      </c>
      <c r="B45">
        <v>0.157</v>
      </c>
      <c r="C45">
        <v>1.548</v>
      </c>
      <c r="D45">
        <v>0.45200000000000001</v>
      </c>
    </row>
    <row r="46" spans="1:9">
      <c r="A46">
        <v>25</v>
      </c>
      <c r="B46">
        <v>0.153</v>
      </c>
      <c r="C46">
        <v>1.5409999999999999</v>
      </c>
      <c r="D46">
        <v>0.45900000000000002</v>
      </c>
    </row>
    <row r="48" spans="1:9">
      <c r="A48" s="2" t="s">
        <v>143</v>
      </c>
      <c r="B48" s="2" t="s">
        <v>1</v>
      </c>
      <c r="C48" s="2" t="s">
        <v>144</v>
      </c>
      <c r="D48" s="2" t="s">
        <v>145</v>
      </c>
      <c r="E48" s="2" t="s">
        <v>146</v>
      </c>
      <c r="F48" s="2" t="s">
        <v>147</v>
      </c>
      <c r="G48" s="2" t="s">
        <v>144</v>
      </c>
      <c r="H48" s="2" t="s">
        <v>145</v>
      </c>
      <c r="I48" s="2" t="s">
        <v>146</v>
      </c>
    </row>
    <row r="49" spans="1:9">
      <c r="A49" s="2" t="str">
        <f t="shared" ref="A49:B53" si="0">A10</f>
        <v>Sample 1</v>
      </c>
      <c r="B49" s="2">
        <f t="shared" si="0"/>
        <v>6</v>
      </c>
      <c r="C49" s="2">
        <f>$F$16</f>
        <v>0.16800000000000015</v>
      </c>
      <c r="D49" s="2">
        <f>$F$15</f>
        <v>6</v>
      </c>
      <c r="E49" s="2">
        <f>$F$14</f>
        <v>11.832000000000001</v>
      </c>
      <c r="F49" s="2">
        <f>C10</f>
        <v>7</v>
      </c>
      <c r="G49" s="2">
        <f>$G$16</f>
        <v>0</v>
      </c>
      <c r="H49" s="2">
        <f>$G$15</f>
        <v>8</v>
      </c>
      <c r="I49" s="2">
        <f>$G$14</f>
        <v>18.256</v>
      </c>
    </row>
    <row r="50" spans="1:9">
      <c r="A50" s="2" t="str">
        <f t="shared" si="0"/>
        <v>Sample 2</v>
      </c>
      <c r="B50" s="2">
        <f t="shared" si="0"/>
        <v>5</v>
      </c>
      <c r="C50" s="2">
        <f>$F$16</f>
        <v>0.16800000000000015</v>
      </c>
      <c r="D50" s="2">
        <f>$F$15</f>
        <v>6</v>
      </c>
      <c r="E50" s="2">
        <f>$F$14</f>
        <v>11.832000000000001</v>
      </c>
      <c r="F50" s="2">
        <f>C11</f>
        <v>4</v>
      </c>
      <c r="G50" s="2">
        <f>$G$16</f>
        <v>0</v>
      </c>
      <c r="H50" s="2">
        <f>$G$15</f>
        <v>8</v>
      </c>
      <c r="I50" s="2">
        <f>$G$14</f>
        <v>18.256</v>
      </c>
    </row>
    <row r="51" spans="1:9">
      <c r="A51" s="2" t="str">
        <f t="shared" si="0"/>
        <v>Sample 3</v>
      </c>
      <c r="B51" s="2">
        <f t="shared" si="0"/>
        <v>6</v>
      </c>
      <c r="C51" s="2">
        <f>$F$16</f>
        <v>0.16800000000000015</v>
      </c>
      <c r="D51" s="2">
        <f>$F$15</f>
        <v>6</v>
      </c>
      <c r="E51" s="2">
        <f>$F$14</f>
        <v>11.832000000000001</v>
      </c>
      <c r="F51" s="2">
        <f>C12</f>
        <v>11</v>
      </c>
      <c r="G51" s="2">
        <f>$G$16</f>
        <v>0</v>
      </c>
      <c r="H51" s="2">
        <f>$G$15</f>
        <v>8</v>
      </c>
      <c r="I51" s="2">
        <f>$G$14</f>
        <v>18.256</v>
      </c>
    </row>
    <row r="52" spans="1:9">
      <c r="A52" s="2" t="str">
        <f t="shared" si="0"/>
        <v>Sample 4</v>
      </c>
      <c r="B52" s="2">
        <f t="shared" si="0"/>
        <v>4</v>
      </c>
      <c r="C52" s="2">
        <f>$F$16</f>
        <v>0.16800000000000015</v>
      </c>
      <c r="D52" s="2">
        <f>$F$15</f>
        <v>6</v>
      </c>
      <c r="E52" s="2">
        <f>$F$14</f>
        <v>11.832000000000001</v>
      </c>
      <c r="F52" s="2">
        <f>C13</f>
        <v>6</v>
      </c>
      <c r="G52" s="2">
        <f>$G$16</f>
        <v>0</v>
      </c>
      <c r="H52" s="2">
        <f>$G$15</f>
        <v>8</v>
      </c>
      <c r="I52" s="2">
        <f>$G$14</f>
        <v>18.256</v>
      </c>
    </row>
    <row r="53" spans="1:9">
      <c r="A53" s="2" t="str">
        <f t="shared" si="0"/>
        <v>Sample 5</v>
      </c>
      <c r="B53" s="2">
        <f t="shared" si="0"/>
        <v>9</v>
      </c>
      <c r="C53" s="2">
        <f>$F$16</f>
        <v>0.16800000000000015</v>
      </c>
      <c r="D53" s="2">
        <f>$F$15</f>
        <v>6</v>
      </c>
      <c r="E53" s="2">
        <f>$F$14</f>
        <v>11.832000000000001</v>
      </c>
      <c r="F53" s="2">
        <f>C14</f>
        <v>12</v>
      </c>
      <c r="G53" s="2">
        <f>$G$16</f>
        <v>0</v>
      </c>
      <c r="H53" s="2">
        <f>$G$15</f>
        <v>8</v>
      </c>
      <c r="I53" s="2">
        <f>$G$14</f>
        <v>18.256</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2"/>
  <sheetViews>
    <sheetView workbookViewId="0">
      <selection activeCell="I12" sqref="I12"/>
    </sheetView>
  </sheetViews>
  <sheetFormatPr baseColWidth="10" defaultRowHeight="15" x14ac:dyDescent="0"/>
  <cols>
    <col min="1" max="1" width="17.5" style="2" customWidth="1"/>
    <col min="2" max="2" width="10.83203125" style="2"/>
    <col min="3" max="3" width="10.33203125" style="2" customWidth="1"/>
    <col min="4" max="5" width="10.83203125" style="2"/>
    <col min="6" max="6" width="17.5" style="2" customWidth="1"/>
    <col min="7" max="16384" width="10.83203125" style="2"/>
  </cols>
  <sheetData>
    <row r="1" spans="1:9" ht="18">
      <c r="A1" s="39" t="s">
        <v>153</v>
      </c>
    </row>
    <row r="3" spans="1:9" ht="18">
      <c r="A3" s="3" t="s">
        <v>84</v>
      </c>
      <c r="B3" s="3"/>
      <c r="C3" s="3" t="s">
        <v>149</v>
      </c>
      <c r="D3" s="3"/>
      <c r="E3" s="3"/>
      <c r="F3" s="3"/>
      <c r="G3" s="3"/>
      <c r="H3" s="3"/>
    </row>
    <row r="4" spans="1:9">
      <c r="A4" s="1"/>
      <c r="B4" s="1"/>
    </row>
    <row r="5" spans="1:9">
      <c r="A5" s="2" t="s">
        <v>86</v>
      </c>
      <c r="B5" s="69">
        <v>9</v>
      </c>
    </row>
    <row r="8" spans="1:9" ht="16" thickBot="1">
      <c r="A8" s="5" t="s">
        <v>1</v>
      </c>
      <c r="F8" s="23" t="s">
        <v>82</v>
      </c>
    </row>
    <row r="9" spans="1:9">
      <c r="A9" s="8"/>
      <c r="B9" s="9" t="s">
        <v>108</v>
      </c>
      <c r="F9" s="19" t="s">
        <v>150</v>
      </c>
      <c r="G9" s="82">
        <f>B5</f>
        <v>9</v>
      </c>
    </row>
    <row r="10" spans="1:9">
      <c r="A10" s="10" t="s">
        <v>123</v>
      </c>
      <c r="B10" s="11">
        <v>3</v>
      </c>
      <c r="C10" s="15" t="str">
        <f t="shared" ref="C10:C18" si="0">IF(B10&gt;$G$15,"Above UCL",IF(B10&lt;$G$17,"Below LCL",""))</f>
        <v/>
      </c>
      <c r="F10" s="18" t="s">
        <v>111</v>
      </c>
      <c r="G10" s="45">
        <f>SUM(B10:B18)</f>
        <v>54</v>
      </c>
    </row>
    <row r="11" spans="1:9" ht="16">
      <c r="A11" s="10" t="s">
        <v>124</v>
      </c>
      <c r="B11" s="11">
        <v>0</v>
      </c>
      <c r="C11" s="15" t="str">
        <f t="shared" si="0"/>
        <v/>
      </c>
      <c r="F11" s="18" t="s">
        <v>151</v>
      </c>
      <c r="G11" s="45">
        <f>G10/G9</f>
        <v>6</v>
      </c>
      <c r="I11" s="2">
        <f>G11-G13*G12</f>
        <v>-1.3484692283495336</v>
      </c>
    </row>
    <row r="12" spans="1:9">
      <c r="A12" s="10" t="s">
        <v>125</v>
      </c>
      <c r="B12" s="11">
        <v>8</v>
      </c>
      <c r="C12" s="15" t="str">
        <f t="shared" si="0"/>
        <v/>
      </c>
      <c r="F12" s="18" t="s">
        <v>152</v>
      </c>
      <c r="G12" s="45">
        <f>SQRT(G11)</f>
        <v>2.4494897427831779</v>
      </c>
    </row>
    <row r="13" spans="1:9">
      <c r="A13" s="10" t="s">
        <v>126</v>
      </c>
      <c r="B13" s="11">
        <v>9</v>
      </c>
      <c r="C13" s="15" t="str">
        <f t="shared" si="0"/>
        <v/>
      </c>
      <c r="F13" s="18" t="s">
        <v>117</v>
      </c>
      <c r="G13" s="47">
        <v>3</v>
      </c>
    </row>
    <row r="14" spans="1:9" ht="16" thickBot="1">
      <c r="A14" s="10" t="s">
        <v>127</v>
      </c>
      <c r="B14" s="11">
        <v>6</v>
      </c>
      <c r="C14" s="15" t="str">
        <f t="shared" si="0"/>
        <v/>
      </c>
      <c r="F14" s="58"/>
      <c r="G14" s="78"/>
    </row>
    <row r="15" spans="1:9">
      <c r="A15" s="10" t="s">
        <v>128</v>
      </c>
      <c r="B15" s="11">
        <v>7</v>
      </c>
      <c r="C15" s="15" t="str">
        <f t="shared" si="0"/>
        <v/>
      </c>
      <c r="F15" s="29" t="s">
        <v>114</v>
      </c>
      <c r="G15" s="68">
        <f>G11+G13*G12</f>
        <v>13.348469228349533</v>
      </c>
    </row>
    <row r="16" spans="1:9">
      <c r="A16" s="10" t="s">
        <v>129</v>
      </c>
      <c r="B16" s="11">
        <v>4</v>
      </c>
      <c r="C16" s="15" t="str">
        <f t="shared" si="0"/>
        <v/>
      </c>
      <c r="F16" s="28" t="s">
        <v>115</v>
      </c>
      <c r="G16" s="35">
        <f>G11</f>
        <v>6</v>
      </c>
    </row>
    <row r="17" spans="1:7" ht="16" thickBot="1">
      <c r="A17" s="10" t="s">
        <v>130</v>
      </c>
      <c r="B17" s="11">
        <v>9</v>
      </c>
      <c r="C17" s="15" t="str">
        <f t="shared" si="0"/>
        <v/>
      </c>
      <c r="F17" s="31" t="s">
        <v>116</v>
      </c>
      <c r="G17" s="36">
        <f>IF(G11-G13*G12&gt;0,G11-G13*G12,0)</f>
        <v>0</v>
      </c>
    </row>
    <row r="18" spans="1:7" ht="16" thickBot="1">
      <c r="A18" s="12" t="s">
        <v>131</v>
      </c>
      <c r="B18" s="13">
        <v>8</v>
      </c>
      <c r="C18" s="15" t="str">
        <f t="shared" si="0"/>
        <v/>
      </c>
    </row>
    <row r="23" spans="1:7">
      <c r="A23" s="2" t="s">
        <v>118</v>
      </c>
    </row>
    <row r="24" spans="1:7">
      <c r="A24" s="2" t="str">
        <f t="shared" ref="A24:B32" si="1">A10</f>
        <v>Sample 1</v>
      </c>
      <c r="B24" s="2">
        <f t="shared" si="1"/>
        <v>3</v>
      </c>
      <c r="C24" s="2">
        <f t="shared" ref="C24:C32" si="2">$G$17</f>
        <v>0</v>
      </c>
      <c r="D24" s="2">
        <f t="shared" ref="D24:D32" si="3">$G$16</f>
        <v>6</v>
      </c>
      <c r="E24" s="2">
        <f t="shared" ref="E24:E32" si="4">$G$15</f>
        <v>13.348469228349533</v>
      </c>
    </row>
    <row r="25" spans="1:7">
      <c r="A25" s="2" t="str">
        <f t="shared" si="1"/>
        <v>Sample 2</v>
      </c>
      <c r="B25" s="2">
        <f t="shared" si="1"/>
        <v>0</v>
      </c>
      <c r="C25" s="2">
        <f t="shared" si="2"/>
        <v>0</v>
      </c>
      <c r="D25" s="2">
        <f t="shared" si="3"/>
        <v>6</v>
      </c>
      <c r="E25" s="2">
        <f t="shared" si="4"/>
        <v>13.348469228349533</v>
      </c>
    </row>
    <row r="26" spans="1:7">
      <c r="A26" s="2" t="str">
        <f t="shared" si="1"/>
        <v>Sample 3</v>
      </c>
      <c r="B26" s="2">
        <f t="shared" si="1"/>
        <v>8</v>
      </c>
      <c r="C26" s="2">
        <f t="shared" si="2"/>
        <v>0</v>
      </c>
      <c r="D26" s="2">
        <f t="shared" si="3"/>
        <v>6</v>
      </c>
      <c r="E26" s="2">
        <f t="shared" si="4"/>
        <v>13.348469228349533</v>
      </c>
    </row>
    <row r="27" spans="1:7">
      <c r="A27" s="2" t="str">
        <f t="shared" si="1"/>
        <v>Sample 4</v>
      </c>
      <c r="B27" s="2">
        <f t="shared" si="1"/>
        <v>9</v>
      </c>
      <c r="C27" s="2">
        <f t="shared" si="2"/>
        <v>0</v>
      </c>
      <c r="D27" s="2">
        <f t="shared" si="3"/>
        <v>6</v>
      </c>
      <c r="E27" s="2">
        <f t="shared" si="4"/>
        <v>13.348469228349533</v>
      </c>
    </row>
    <row r="28" spans="1:7">
      <c r="A28" s="2" t="str">
        <f t="shared" si="1"/>
        <v>Sample 5</v>
      </c>
      <c r="B28" s="2">
        <f t="shared" si="1"/>
        <v>6</v>
      </c>
      <c r="C28" s="2">
        <f t="shared" si="2"/>
        <v>0</v>
      </c>
      <c r="D28" s="2">
        <f t="shared" si="3"/>
        <v>6</v>
      </c>
      <c r="E28" s="2">
        <f t="shared" si="4"/>
        <v>13.348469228349533</v>
      </c>
    </row>
    <row r="29" spans="1:7">
      <c r="A29" s="2" t="str">
        <f t="shared" si="1"/>
        <v>Sample 6</v>
      </c>
      <c r="B29" s="2">
        <f t="shared" si="1"/>
        <v>7</v>
      </c>
      <c r="C29" s="2">
        <f t="shared" si="2"/>
        <v>0</v>
      </c>
      <c r="D29" s="2">
        <f t="shared" si="3"/>
        <v>6</v>
      </c>
      <c r="E29" s="2">
        <f t="shared" si="4"/>
        <v>13.348469228349533</v>
      </c>
    </row>
    <row r="30" spans="1:7">
      <c r="A30" s="2" t="str">
        <f t="shared" si="1"/>
        <v>Sample 7</v>
      </c>
      <c r="B30" s="2">
        <f t="shared" si="1"/>
        <v>4</v>
      </c>
      <c r="C30" s="2">
        <f t="shared" si="2"/>
        <v>0</v>
      </c>
      <c r="D30" s="2">
        <f t="shared" si="3"/>
        <v>6</v>
      </c>
      <c r="E30" s="2">
        <f t="shared" si="4"/>
        <v>13.348469228349533</v>
      </c>
    </row>
    <row r="31" spans="1:7">
      <c r="A31" s="2" t="str">
        <f t="shared" si="1"/>
        <v>Sample 8</v>
      </c>
      <c r="B31" s="2">
        <f t="shared" si="1"/>
        <v>9</v>
      </c>
      <c r="C31" s="2">
        <f t="shared" si="2"/>
        <v>0</v>
      </c>
      <c r="D31" s="2">
        <f t="shared" si="3"/>
        <v>6</v>
      </c>
      <c r="E31" s="2">
        <f t="shared" si="4"/>
        <v>13.348469228349533</v>
      </c>
    </row>
    <row r="32" spans="1:7">
      <c r="A32" s="2" t="str">
        <f t="shared" si="1"/>
        <v>Sample 9</v>
      </c>
      <c r="B32" s="2">
        <f t="shared" si="1"/>
        <v>8</v>
      </c>
      <c r="C32" s="2">
        <f t="shared" si="2"/>
        <v>0</v>
      </c>
      <c r="D32" s="2">
        <f t="shared" si="3"/>
        <v>6</v>
      </c>
      <c r="E32" s="2">
        <f t="shared" si="4"/>
        <v>13.348469228349533</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2"/>
  <sheetViews>
    <sheetView workbookViewId="0">
      <selection activeCell="E21" sqref="E21"/>
    </sheetView>
  </sheetViews>
  <sheetFormatPr baseColWidth="10" defaultRowHeight="15" x14ac:dyDescent="0"/>
  <cols>
    <col min="1" max="1" width="24.1640625" style="2" customWidth="1"/>
    <col min="2" max="3" width="10.83203125" style="2"/>
    <col min="4" max="4" width="24.5" style="2" bestFit="1" customWidth="1"/>
    <col min="5" max="16384" width="10.83203125" style="2"/>
  </cols>
  <sheetData>
    <row r="1" spans="1:8" ht="18">
      <c r="A1" s="39" t="s">
        <v>154</v>
      </c>
    </row>
    <row r="3" spans="1:8" ht="18">
      <c r="A3" s="3" t="s">
        <v>84</v>
      </c>
      <c r="B3" s="3" t="s">
        <v>154</v>
      </c>
      <c r="C3" s="3"/>
      <c r="D3" s="3"/>
      <c r="E3" s="3"/>
      <c r="F3" s="3"/>
      <c r="G3" s="3"/>
      <c r="H3" s="3"/>
    </row>
    <row r="4" spans="1:8">
      <c r="A4" s="1"/>
      <c r="B4" s="1"/>
    </row>
    <row r="7" spans="1:8" ht="16" thickBot="1">
      <c r="A7" s="5" t="s">
        <v>1</v>
      </c>
      <c r="D7" s="23" t="s">
        <v>82</v>
      </c>
    </row>
    <row r="8" spans="1:8">
      <c r="A8" s="8" t="s">
        <v>155</v>
      </c>
      <c r="B8" s="85">
        <v>213</v>
      </c>
      <c r="D8" s="19" t="s">
        <v>121</v>
      </c>
      <c r="E8" s="82">
        <f>IF(ISNUMBER(B10),IF(B10&gt;0,B10,(B8+B9)/2),(B8+B9)/2)</f>
        <v>210</v>
      </c>
    </row>
    <row r="9" spans="1:8">
      <c r="A9" s="10" t="s">
        <v>156</v>
      </c>
      <c r="B9" s="11">
        <v>207</v>
      </c>
      <c r="D9" s="18" t="s">
        <v>159</v>
      </c>
      <c r="E9" s="45">
        <f>(B8-E8)/(3*B11)</f>
        <v>1.9379844961240309</v>
      </c>
    </row>
    <row r="10" spans="1:8" ht="16" thickBot="1">
      <c r="A10" s="10" t="s">
        <v>157</v>
      </c>
      <c r="B10" s="11">
        <v>210</v>
      </c>
      <c r="D10" s="58" t="s">
        <v>160</v>
      </c>
      <c r="E10" s="78">
        <f>(E8-B9)/(3*B11)</f>
        <v>1.9379844961240309</v>
      </c>
    </row>
    <row r="11" spans="1:8" ht="16" thickBot="1">
      <c r="A11" s="12" t="s">
        <v>152</v>
      </c>
      <c r="B11" s="13">
        <v>0.51600000000000001</v>
      </c>
      <c r="D11" s="21" t="s">
        <v>161</v>
      </c>
      <c r="E11" s="22">
        <f>MIN(E9,E10)</f>
        <v>1.9379844961240309</v>
      </c>
    </row>
    <row r="12" spans="1:8" ht="16" thickBot="1">
      <c r="A12" s="21" t="s">
        <v>158</v>
      </c>
      <c r="B12" s="22">
        <f>(B8-B9)/(6*B11)</f>
        <v>1.9379844961240309</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7"/>
  <sheetViews>
    <sheetView topLeftCell="A2" workbookViewId="0">
      <selection activeCell="C16" sqref="C16"/>
    </sheetView>
  </sheetViews>
  <sheetFormatPr baseColWidth="10" defaultRowHeight="15" x14ac:dyDescent="0"/>
  <cols>
    <col min="1" max="1" width="21.5" style="2" bestFit="1" customWidth="1"/>
    <col min="2" max="4" width="13.83203125" style="2" customWidth="1"/>
    <col min="5" max="16384" width="10.83203125" style="2"/>
  </cols>
  <sheetData>
    <row r="1" spans="1:8" ht="18">
      <c r="A1" s="39" t="s">
        <v>175</v>
      </c>
    </row>
    <row r="3" spans="1:8" ht="18">
      <c r="A3" s="3" t="s">
        <v>162</v>
      </c>
      <c r="B3" s="3"/>
      <c r="C3" s="3" t="s">
        <v>163</v>
      </c>
      <c r="D3" s="3"/>
      <c r="E3" s="3"/>
      <c r="F3" s="3"/>
      <c r="G3" s="3"/>
      <c r="H3" s="3"/>
    </row>
    <row r="4" spans="1:8">
      <c r="A4" s="1"/>
      <c r="B4" s="1"/>
    </row>
    <row r="8" spans="1:8" ht="16" thickBot="1">
      <c r="A8" s="5" t="s">
        <v>1</v>
      </c>
    </row>
    <row r="9" spans="1:8">
      <c r="A9" s="8"/>
      <c r="B9" s="90" t="s">
        <v>166</v>
      </c>
      <c r="C9" s="90" t="s">
        <v>167</v>
      </c>
      <c r="D9" s="85" t="s">
        <v>168</v>
      </c>
    </row>
    <row r="10" spans="1:8">
      <c r="A10" s="10" t="s">
        <v>164</v>
      </c>
      <c r="B10" s="7">
        <v>200000</v>
      </c>
      <c r="C10" s="7">
        <v>300000</v>
      </c>
      <c r="D10" s="11">
        <v>400000</v>
      </c>
    </row>
    <row r="11" spans="1:8">
      <c r="A11" s="10" t="s">
        <v>165</v>
      </c>
      <c r="B11" s="7">
        <v>60</v>
      </c>
      <c r="C11" s="7">
        <v>25</v>
      </c>
      <c r="D11" s="11">
        <v>10</v>
      </c>
    </row>
    <row r="12" spans="1:8">
      <c r="A12" s="10"/>
      <c r="B12" s="14"/>
      <c r="C12" s="14"/>
      <c r="D12" s="25"/>
    </row>
    <row r="13" spans="1:8" ht="16" thickBot="1">
      <c r="A13" s="12" t="s">
        <v>169</v>
      </c>
      <c r="B13" s="40"/>
      <c r="C13" s="92"/>
      <c r="D13" s="26"/>
    </row>
    <row r="15" spans="1:8" ht="16" thickBot="1">
      <c r="A15" s="23" t="s">
        <v>170</v>
      </c>
      <c r="B15" s="2" t="s">
        <v>171</v>
      </c>
      <c r="C15" s="2" t="s">
        <v>172</v>
      </c>
    </row>
    <row r="16" spans="1:8">
      <c r="A16" s="29" t="str">
        <f>CONCATENATE(B9," vs. ",C9)</f>
        <v>Option 1 vs. Option 2</v>
      </c>
      <c r="B16" s="30">
        <f>(B10-C10)/(C11-B11)</f>
        <v>2857.1428571428573</v>
      </c>
      <c r="C16" s="30">
        <f>B10+B11*B16</f>
        <v>371428.57142857148</v>
      </c>
      <c r="D16" s="68"/>
    </row>
    <row r="17" spans="1:4">
      <c r="A17" s="28" t="str">
        <f>CONCATENATE(B9," vs. ",D9)</f>
        <v>Option 1 vs. Option 3</v>
      </c>
      <c r="B17" s="27">
        <f>(B10-D10)/(D11-B11)</f>
        <v>4000</v>
      </c>
      <c r="C17" s="27">
        <f>B10+B11*B17</f>
        <v>440000</v>
      </c>
      <c r="D17" s="35"/>
    </row>
    <row r="18" spans="1:4">
      <c r="A18" s="28" t="str">
        <f>CONCATENATE(C9," vs. ",D9)</f>
        <v>Option 2 vs. Option 3</v>
      </c>
      <c r="B18" s="27">
        <f>(C10-D10)/(D11-C11)</f>
        <v>6666.666666666667</v>
      </c>
      <c r="C18" s="27">
        <f>C10+C11*B18</f>
        <v>466666.66666666669</v>
      </c>
      <c r="D18" s="35"/>
    </row>
    <row r="19" spans="1:4">
      <c r="A19" s="28"/>
      <c r="B19" s="27"/>
      <c r="C19" s="27"/>
      <c r="D19" s="35"/>
    </row>
    <row r="20" spans="1:4">
      <c r="A20" s="28" t="str">
        <f>CONCATENATE("Volume analysis @", +B13, " units")</f>
        <v>Volume analysis @ units</v>
      </c>
      <c r="B20" s="27"/>
      <c r="C20" s="27"/>
      <c r="D20" s="35"/>
    </row>
    <row r="21" spans="1:4">
      <c r="A21" s="28"/>
      <c r="B21" s="27" t="str">
        <f>B9</f>
        <v>Option 1</v>
      </c>
      <c r="C21" s="27" t="str">
        <f>C9</f>
        <v>Option 2</v>
      </c>
      <c r="D21" s="35" t="str">
        <f>D9</f>
        <v>Option 3</v>
      </c>
    </row>
    <row r="22" spans="1:4" ht="16" thickBot="1">
      <c r="A22" s="31" t="s">
        <v>173</v>
      </c>
      <c r="B22" s="95">
        <f>B10+B11*$B$13</f>
        <v>200000</v>
      </c>
      <c r="C22" s="95">
        <f>C10+C11*$B$13</f>
        <v>300000</v>
      </c>
      <c r="D22" s="96">
        <f>D10+D11*$B$13</f>
        <v>400000</v>
      </c>
    </row>
    <row r="24" spans="1:4">
      <c r="A24" s="86" t="s">
        <v>143</v>
      </c>
    </row>
    <row r="25" spans="1:4">
      <c r="A25" s="2" t="s">
        <v>174</v>
      </c>
      <c r="B25" s="2" t="str">
        <f>B9</f>
        <v>Option 1</v>
      </c>
      <c r="C25" s="2" t="str">
        <f>C9</f>
        <v>Option 2</v>
      </c>
      <c r="D25" s="2" t="str">
        <f>D9</f>
        <v>Option 3</v>
      </c>
    </row>
    <row r="26" spans="1:4">
      <c r="A26" s="7">
        <v>0</v>
      </c>
      <c r="B26" s="2">
        <f>B10+B11*$A$26</f>
        <v>200000</v>
      </c>
      <c r="C26" s="2">
        <f>C10+C11*$A$26</f>
        <v>300000</v>
      </c>
      <c r="D26" s="2">
        <f>D10+D11*$A$26</f>
        <v>400000</v>
      </c>
    </row>
    <row r="27" spans="1:4">
      <c r="A27" s="7">
        <f>2*MAX(B16:B18)</f>
        <v>13333.333333333334</v>
      </c>
      <c r="B27" s="2">
        <f>B10+B11*$A$27</f>
        <v>1000000</v>
      </c>
      <c r="C27" s="2">
        <f>C10+C11*$A$27</f>
        <v>633333.33333333337</v>
      </c>
      <c r="D27" s="2">
        <f>D10+D11*$A$27</f>
        <v>533333.33333333337</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8"/>
  <sheetViews>
    <sheetView workbookViewId="0">
      <selection activeCell="H28" sqref="H28"/>
    </sheetView>
  </sheetViews>
  <sheetFormatPr baseColWidth="10" defaultRowHeight="15" x14ac:dyDescent="0"/>
  <cols>
    <col min="1" max="1" width="19.83203125" style="2" bestFit="1" customWidth="1"/>
    <col min="2" max="2" width="13.83203125" style="2" customWidth="1"/>
    <col min="3" max="16384" width="10.83203125" style="2"/>
  </cols>
  <sheetData>
    <row r="1" spans="1:8" ht="18">
      <c r="A1" s="39" t="s">
        <v>181</v>
      </c>
    </row>
    <row r="3" spans="1:8" ht="18">
      <c r="A3" s="3" t="s">
        <v>162</v>
      </c>
      <c r="B3" s="3"/>
      <c r="C3" s="3" t="s">
        <v>162</v>
      </c>
      <c r="D3" s="3"/>
      <c r="E3" s="3"/>
      <c r="F3" s="3"/>
      <c r="G3" s="3"/>
      <c r="H3" s="3"/>
    </row>
    <row r="4" spans="1:8">
      <c r="A4" s="1"/>
      <c r="B4" s="1"/>
    </row>
    <row r="8" spans="1:8" ht="16" thickBot="1">
      <c r="A8" s="5" t="s">
        <v>1</v>
      </c>
    </row>
    <row r="9" spans="1:8">
      <c r="A9" s="8"/>
      <c r="B9" s="85" t="s">
        <v>166</v>
      </c>
    </row>
    <row r="10" spans="1:8">
      <c r="A10" s="10" t="s">
        <v>164</v>
      </c>
      <c r="B10" s="11">
        <v>10000</v>
      </c>
    </row>
    <row r="11" spans="1:8">
      <c r="A11" s="10" t="s">
        <v>165</v>
      </c>
      <c r="B11" s="11">
        <f>1.5+0.75</f>
        <v>2.25</v>
      </c>
    </row>
    <row r="12" spans="1:8">
      <c r="A12" s="10" t="s">
        <v>176</v>
      </c>
      <c r="B12" s="11">
        <v>4</v>
      </c>
    </row>
    <row r="13" spans="1:8" ht="16" thickBot="1">
      <c r="A13" s="12" t="s">
        <v>169</v>
      </c>
      <c r="B13" s="13"/>
    </row>
    <row r="15" spans="1:8" ht="16" thickBot="1">
      <c r="A15" s="23" t="s">
        <v>82</v>
      </c>
    </row>
    <row r="16" spans="1:8">
      <c r="A16" s="29" t="s">
        <v>170</v>
      </c>
      <c r="B16" s="30"/>
      <c r="C16" s="82"/>
    </row>
    <row r="17" spans="1:8">
      <c r="A17" s="43" t="s">
        <v>171</v>
      </c>
      <c r="B17" s="27">
        <f>B10/(B12-B11)</f>
        <v>5714.2857142857147</v>
      </c>
      <c r="C17" s="45"/>
    </row>
    <row r="18" spans="1:8">
      <c r="A18" s="43" t="s">
        <v>172</v>
      </c>
      <c r="B18" s="94">
        <f>B10+B11*B17</f>
        <v>22857.142857142859</v>
      </c>
      <c r="C18" s="45"/>
    </row>
    <row r="19" spans="1:8">
      <c r="A19" s="18"/>
      <c r="B19" s="17"/>
      <c r="C19" s="45"/>
    </row>
    <row r="20" spans="1:8">
      <c r="A20" s="18" t="s">
        <v>177</v>
      </c>
      <c r="B20" s="17">
        <f>B13</f>
        <v>0</v>
      </c>
      <c r="C20" s="45" t="s">
        <v>178</v>
      </c>
    </row>
    <row r="21" spans="1:8">
      <c r="A21" s="18" t="s">
        <v>179</v>
      </c>
      <c r="B21" s="97">
        <f>B10+B11*B13</f>
        <v>10000</v>
      </c>
      <c r="C21" s="45"/>
    </row>
    <row r="22" spans="1:8">
      <c r="A22" s="18" t="s">
        <v>176</v>
      </c>
      <c r="B22" s="97">
        <f>B12*B13</f>
        <v>0</v>
      </c>
      <c r="C22" s="45"/>
    </row>
    <row r="23" spans="1:8" ht="16" thickBot="1">
      <c r="A23" s="31" t="s">
        <v>180</v>
      </c>
      <c r="B23" s="95">
        <f>B22 - B21</f>
        <v>-10000</v>
      </c>
      <c r="C23" s="99"/>
    </row>
    <row r="24" spans="1:8">
      <c r="A24" s="87"/>
    </row>
    <row r="25" spans="1:8">
      <c r="A25" s="87" t="s">
        <v>143</v>
      </c>
    </row>
    <row r="26" spans="1:8">
      <c r="A26" s="2" t="s">
        <v>174</v>
      </c>
      <c r="B26" s="2" t="s">
        <v>179</v>
      </c>
      <c r="C26" s="2" t="s">
        <v>176</v>
      </c>
    </row>
    <row r="27" spans="1:8">
      <c r="A27" s="7">
        <v>0</v>
      </c>
      <c r="B27" s="2">
        <f>B10+B11*A27</f>
        <v>10000</v>
      </c>
      <c r="C27" s="2">
        <f>B12*A27</f>
        <v>0</v>
      </c>
    </row>
    <row r="28" spans="1:8">
      <c r="A28" s="7">
        <f>2*B17</f>
        <v>11428.571428571429</v>
      </c>
      <c r="B28" s="2">
        <f>B10+B11*A28</f>
        <v>35714.285714285717</v>
      </c>
      <c r="C28" s="2">
        <f>B12*A28</f>
        <v>45714.285714285717</v>
      </c>
      <c r="H28" s="100"/>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workbookViewId="0">
      <selection activeCell="A27" sqref="A27"/>
    </sheetView>
  </sheetViews>
  <sheetFormatPr baseColWidth="10" defaultRowHeight="15" x14ac:dyDescent="0"/>
  <cols>
    <col min="1" max="1" width="25.83203125" style="2" bestFit="1" customWidth="1"/>
    <col min="2" max="16384" width="10.83203125" style="2"/>
  </cols>
  <sheetData>
    <row r="1" spans="1:8" ht="18">
      <c r="A1" s="39" t="s">
        <v>186</v>
      </c>
    </row>
    <row r="3" spans="1:8" ht="18">
      <c r="A3" s="3" t="s">
        <v>182</v>
      </c>
      <c r="B3" s="3"/>
      <c r="C3" s="3"/>
      <c r="D3" s="3"/>
      <c r="E3" s="3"/>
      <c r="F3" s="3"/>
      <c r="G3" s="3"/>
      <c r="H3" s="3"/>
    </row>
    <row r="4" spans="1:8">
      <c r="A4" s="1"/>
      <c r="B4" s="1"/>
    </row>
    <row r="5" spans="1:8">
      <c r="C5" s="2" t="s">
        <v>182</v>
      </c>
    </row>
    <row r="6" spans="1:8" ht="16" thickBot="1">
      <c r="A6" s="5" t="s">
        <v>1</v>
      </c>
    </row>
    <row r="7" spans="1:8">
      <c r="A7" s="8"/>
      <c r="B7" s="24" t="s">
        <v>183</v>
      </c>
      <c r="C7" s="24" t="s">
        <v>187</v>
      </c>
      <c r="D7" s="9" t="s">
        <v>188</v>
      </c>
    </row>
    <row r="8" spans="1:8">
      <c r="A8" s="10" t="s">
        <v>189</v>
      </c>
      <c r="B8" s="7">
        <v>0.25</v>
      </c>
      <c r="C8" s="7">
        <v>70</v>
      </c>
      <c r="D8" s="11">
        <v>60</v>
      </c>
    </row>
    <row r="9" spans="1:8">
      <c r="A9" s="10" t="s">
        <v>190</v>
      </c>
      <c r="B9" s="7">
        <v>0.05</v>
      </c>
      <c r="C9" s="7">
        <v>50</v>
      </c>
      <c r="D9" s="11">
        <v>60</v>
      </c>
    </row>
    <row r="10" spans="1:8">
      <c r="A10" s="10" t="s">
        <v>191</v>
      </c>
      <c r="B10" s="7">
        <v>0.1</v>
      </c>
      <c r="C10" s="7">
        <v>85</v>
      </c>
      <c r="D10" s="11">
        <v>80</v>
      </c>
    </row>
    <row r="11" spans="1:8">
      <c r="A11" s="10" t="s">
        <v>192</v>
      </c>
      <c r="B11" s="7">
        <v>0.39</v>
      </c>
      <c r="C11" s="7">
        <v>75</v>
      </c>
      <c r="D11" s="11">
        <v>70</v>
      </c>
    </row>
    <row r="12" spans="1:8" ht="16" thickBot="1">
      <c r="A12" s="12" t="s">
        <v>193</v>
      </c>
      <c r="B12" s="40">
        <v>0.21</v>
      </c>
      <c r="C12" s="40">
        <v>60</v>
      </c>
      <c r="D12" s="13">
        <v>70</v>
      </c>
    </row>
    <row r="14" spans="1:8" ht="16" thickBot="1">
      <c r="A14" s="23" t="s">
        <v>82</v>
      </c>
    </row>
    <row r="15" spans="1:8">
      <c r="A15" s="29" t="s">
        <v>18</v>
      </c>
      <c r="B15" s="30">
        <f>SUM(B8:B12)</f>
        <v>1</v>
      </c>
      <c r="C15" s="30"/>
      <c r="D15" s="68"/>
    </row>
    <row r="16" spans="1:8">
      <c r="A16" s="28" t="s">
        <v>184</v>
      </c>
      <c r="B16" s="27"/>
      <c r="C16" s="27">
        <f>SUMPRODUCT($B$8:$B$12,C8:C12)</f>
        <v>70.349999999999994</v>
      </c>
      <c r="D16" s="35">
        <f>SUMPRODUCT($B$8:$B$12,D8:D12)</f>
        <v>68</v>
      </c>
    </row>
    <row r="17" spans="1:4" ht="16" thickBot="1">
      <c r="A17" s="31" t="s">
        <v>185</v>
      </c>
      <c r="B17" s="32"/>
      <c r="C17" s="32">
        <f>C16/$B$15</f>
        <v>70.349999999999994</v>
      </c>
      <c r="D17" s="36">
        <f>D16/$B$15</f>
        <v>68</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G28" sqref="G28"/>
    </sheetView>
  </sheetViews>
  <sheetFormatPr baseColWidth="10" defaultRowHeight="15" x14ac:dyDescent="0"/>
  <cols>
    <col min="1" max="1" width="24.33203125" style="2" bestFit="1" customWidth="1"/>
    <col min="2" max="2" width="10.83203125" style="2"/>
    <col min="3" max="3" width="17.33203125" style="2" bestFit="1" customWidth="1"/>
    <col min="4" max="16384" width="10.83203125" style="2"/>
  </cols>
  <sheetData>
    <row r="1" spans="1:8" ht="18">
      <c r="A1" s="39" t="s">
        <v>201</v>
      </c>
    </row>
    <row r="3" spans="1:8" ht="18">
      <c r="A3" s="3" t="s">
        <v>194</v>
      </c>
      <c r="B3" s="3"/>
      <c r="C3" s="3" t="s">
        <v>195</v>
      </c>
      <c r="D3" s="3"/>
      <c r="E3" s="3"/>
      <c r="F3" s="3"/>
      <c r="G3" s="3"/>
      <c r="H3" s="3"/>
    </row>
    <row r="4" spans="1:8">
      <c r="A4" s="1"/>
      <c r="B4" s="1"/>
    </row>
    <row r="6" spans="1:8" ht="16" thickBot="1">
      <c r="A6" s="5" t="s">
        <v>1</v>
      </c>
    </row>
    <row r="7" spans="1:8">
      <c r="A7" s="8"/>
      <c r="B7" s="24" t="s">
        <v>183</v>
      </c>
      <c r="C7" s="24" t="s">
        <v>196</v>
      </c>
      <c r="D7" s="9" t="s">
        <v>197</v>
      </c>
    </row>
    <row r="8" spans="1:8">
      <c r="A8" s="10" t="s">
        <v>200</v>
      </c>
      <c r="B8" s="7">
        <v>2000</v>
      </c>
      <c r="C8" s="7">
        <v>30</v>
      </c>
      <c r="D8" s="11">
        <v>120</v>
      </c>
    </row>
    <row r="9" spans="1:8">
      <c r="A9" s="10" t="s">
        <v>202</v>
      </c>
      <c r="B9" s="7">
        <v>1000</v>
      </c>
      <c r="C9" s="7">
        <v>90</v>
      </c>
      <c r="D9" s="11">
        <v>110</v>
      </c>
    </row>
    <row r="10" spans="1:8">
      <c r="A10" s="10" t="s">
        <v>203</v>
      </c>
      <c r="B10" s="7">
        <v>1000</v>
      </c>
      <c r="C10" s="7">
        <v>130</v>
      </c>
      <c r="D10" s="11">
        <v>130</v>
      </c>
    </row>
    <row r="11" spans="1:8" ht="16" thickBot="1">
      <c r="A11" s="12" t="s">
        <v>204</v>
      </c>
      <c r="B11" s="40">
        <v>2000</v>
      </c>
      <c r="C11" s="40">
        <v>60</v>
      </c>
      <c r="D11" s="13">
        <v>40</v>
      </c>
    </row>
    <row r="13" spans="1:8" ht="16" thickBot="1">
      <c r="A13" s="23" t="s">
        <v>82</v>
      </c>
    </row>
    <row r="14" spans="1:8">
      <c r="A14" s="19" t="s">
        <v>198</v>
      </c>
      <c r="B14" s="20">
        <f>SUM(B8:B11)</f>
        <v>6000</v>
      </c>
      <c r="C14" s="20">
        <f>SUM(C8:C11)</f>
        <v>310</v>
      </c>
      <c r="D14" s="82">
        <f>SUM(D8:D11)</f>
        <v>400</v>
      </c>
    </row>
    <row r="15" spans="1:8">
      <c r="A15" s="28" t="s">
        <v>19</v>
      </c>
      <c r="B15" s="27">
        <f>AVERAGE(B8:B11)</f>
        <v>1500</v>
      </c>
      <c r="C15" s="27">
        <f>IF(COUNT(C8:C11)&gt;0,AVERAGE(C8:C11),0)</f>
        <v>77.5</v>
      </c>
      <c r="D15" s="35">
        <f>IF(COUNT(D8:D11)&gt;0,AVERAGE(D8:D11),0)</f>
        <v>100</v>
      </c>
    </row>
    <row r="16" spans="1:8" ht="16" thickBot="1">
      <c r="A16" s="31" t="s">
        <v>199</v>
      </c>
      <c r="B16" s="32"/>
      <c r="C16" s="32">
        <f>IF($B$14&gt;0,SUMPRODUCT($B$8:$B$11,C8:C11)/$B$14,0)</f>
        <v>66.666666666666671</v>
      </c>
      <c r="D16" s="36">
        <f>IF($B$14&gt;0,SUMPRODUCT($B$8:$B$11,D8:D11)/$B$14,0)</f>
        <v>93.333333333333329</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7"/>
  <sheetViews>
    <sheetView workbookViewId="0">
      <selection activeCell="H35" sqref="H35"/>
    </sheetView>
  </sheetViews>
  <sheetFormatPr baseColWidth="10" defaultRowHeight="15" x14ac:dyDescent="0"/>
  <cols>
    <col min="1" max="1" width="21.5" style="2" bestFit="1" customWidth="1"/>
    <col min="2" max="4" width="13.83203125" style="2" customWidth="1"/>
    <col min="5" max="16384" width="10.83203125" style="2"/>
  </cols>
  <sheetData>
    <row r="1" spans="1:8" ht="18">
      <c r="A1" s="39" t="s">
        <v>206</v>
      </c>
    </row>
    <row r="3" spans="1:8" ht="18">
      <c r="A3" s="3" t="s">
        <v>194</v>
      </c>
      <c r="B3" s="3"/>
      <c r="C3" s="3" t="s">
        <v>205</v>
      </c>
      <c r="D3" s="3"/>
      <c r="E3" s="3"/>
      <c r="F3" s="3"/>
      <c r="G3" s="3"/>
      <c r="H3" s="3"/>
    </row>
    <row r="4" spans="1:8">
      <c r="A4" s="1"/>
      <c r="B4" s="1"/>
    </row>
    <row r="8" spans="1:8" ht="16" thickBot="1">
      <c r="A8" s="5" t="s">
        <v>1</v>
      </c>
    </row>
    <row r="9" spans="1:8">
      <c r="A9" s="8"/>
      <c r="B9" s="90" t="s">
        <v>207</v>
      </c>
      <c r="C9" s="90" t="s">
        <v>208</v>
      </c>
      <c r="D9" s="85" t="s">
        <v>209</v>
      </c>
    </row>
    <row r="10" spans="1:8">
      <c r="A10" s="10" t="s">
        <v>164</v>
      </c>
      <c r="B10" s="7">
        <v>30000</v>
      </c>
      <c r="C10" s="7">
        <v>60000</v>
      </c>
      <c r="D10" s="11">
        <v>110000</v>
      </c>
    </row>
    <row r="11" spans="1:8">
      <c r="A11" s="10" t="s">
        <v>165</v>
      </c>
      <c r="B11" s="7">
        <v>75</v>
      </c>
      <c r="C11" s="7">
        <v>45</v>
      </c>
      <c r="D11" s="11">
        <v>25</v>
      </c>
    </row>
    <row r="12" spans="1:8">
      <c r="A12" s="10"/>
      <c r="B12" s="14"/>
      <c r="C12" s="14"/>
      <c r="D12" s="25"/>
    </row>
    <row r="13" spans="1:8" ht="16" thickBot="1">
      <c r="A13" s="12" t="s">
        <v>169</v>
      </c>
      <c r="B13" s="40">
        <v>2000</v>
      </c>
      <c r="C13" s="92"/>
      <c r="D13" s="26"/>
    </row>
    <row r="15" spans="1:8" ht="16" thickBot="1">
      <c r="A15" s="23" t="s">
        <v>170</v>
      </c>
      <c r="B15" s="2" t="s">
        <v>171</v>
      </c>
      <c r="C15" s="2" t="s">
        <v>172</v>
      </c>
    </row>
    <row r="16" spans="1:8">
      <c r="A16" s="29" t="str">
        <f>CONCATENATE(B9," vs. ",C9)</f>
        <v>Lisbon vs. Brussel</v>
      </c>
      <c r="B16" s="30">
        <f>(B10-C10)/(C11-B11)</f>
        <v>1000</v>
      </c>
      <c r="C16" s="30">
        <f>B10+B11*B16</f>
        <v>105000</v>
      </c>
      <c r="D16" s="68"/>
    </row>
    <row r="17" spans="1:4">
      <c r="A17" s="28" t="str">
        <f>CONCATENATE(B9," vs. ",D9)</f>
        <v>Lisbon vs. Athens</v>
      </c>
      <c r="B17" s="27">
        <f>(B10-D10)/(D11-B11)</f>
        <v>1600</v>
      </c>
      <c r="C17" s="27">
        <f>B10+B11*B17</f>
        <v>150000</v>
      </c>
      <c r="D17" s="35"/>
    </row>
    <row r="18" spans="1:4">
      <c r="A18" s="28" t="str">
        <f>CONCATENATE(C9," vs. ",D9)</f>
        <v>Brussel vs. Athens</v>
      </c>
      <c r="B18" s="27">
        <f>(C10-D10)/(D11-C11)</f>
        <v>2500</v>
      </c>
      <c r="C18" s="27">
        <f>C10+C11*B18</f>
        <v>172500</v>
      </c>
      <c r="D18" s="35"/>
    </row>
    <row r="19" spans="1:4">
      <c r="A19" s="28"/>
      <c r="B19" s="27"/>
      <c r="C19" s="27"/>
      <c r="D19" s="35"/>
    </row>
    <row r="20" spans="1:4">
      <c r="A20" s="28" t="str">
        <f>CONCATENATE("Volume analysis @", +B13, " units")</f>
        <v>Volume analysis @2000 units</v>
      </c>
      <c r="B20" s="27"/>
      <c r="C20" s="27"/>
      <c r="D20" s="35"/>
    </row>
    <row r="21" spans="1:4">
      <c r="A21" s="28"/>
      <c r="B21" s="27" t="str">
        <f>B9</f>
        <v>Lisbon</v>
      </c>
      <c r="C21" s="27" t="str">
        <f>C9</f>
        <v>Brussel</v>
      </c>
      <c r="D21" s="35" t="str">
        <f>D9</f>
        <v>Athens</v>
      </c>
    </row>
    <row r="22" spans="1:4" ht="16" thickBot="1">
      <c r="A22" s="31" t="s">
        <v>173</v>
      </c>
      <c r="B22" s="95">
        <f>B10+B11*$B$13</f>
        <v>180000</v>
      </c>
      <c r="C22" s="95">
        <f>C10+C11*$B$13</f>
        <v>150000</v>
      </c>
      <c r="D22" s="96">
        <f>D10+D11*$B$13</f>
        <v>160000</v>
      </c>
    </row>
    <row r="24" spans="1:4">
      <c r="A24" s="86" t="s">
        <v>143</v>
      </c>
    </row>
    <row r="25" spans="1:4">
      <c r="A25" s="2" t="s">
        <v>174</v>
      </c>
      <c r="B25" s="2" t="str">
        <f>B9</f>
        <v>Lisbon</v>
      </c>
      <c r="C25" s="2" t="str">
        <f>C9</f>
        <v>Brussel</v>
      </c>
      <c r="D25" s="2" t="str">
        <f>D9</f>
        <v>Athens</v>
      </c>
    </row>
    <row r="26" spans="1:4">
      <c r="A26" s="7">
        <v>0</v>
      </c>
      <c r="B26" s="2">
        <f>B10+B11*$A$26</f>
        <v>30000</v>
      </c>
      <c r="C26" s="2">
        <f>C10+C11*$A$26</f>
        <v>60000</v>
      </c>
      <c r="D26" s="2">
        <f>D10+D11*$A$26</f>
        <v>110000</v>
      </c>
    </row>
    <row r="27" spans="1:4">
      <c r="A27" s="7">
        <f>2*MAX(B16:B18)</f>
        <v>5000</v>
      </c>
      <c r="B27" s="2">
        <f>B10+B11*$A$27</f>
        <v>405000</v>
      </c>
      <c r="C27" s="2">
        <f>C10+C11*$A$27</f>
        <v>285000</v>
      </c>
      <c r="D27" s="2">
        <f>D10+D11*$A$27</f>
        <v>235000</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2"/>
  <sheetViews>
    <sheetView workbookViewId="0">
      <selection activeCell="R17" sqref="R17"/>
    </sheetView>
  </sheetViews>
  <sheetFormatPr baseColWidth="10" defaultRowHeight="15" x14ac:dyDescent="0"/>
  <cols>
    <col min="1" max="1" width="10.83203125" style="2" customWidth="1"/>
    <col min="2" max="2" width="10.83203125" style="2"/>
    <col min="3" max="3" width="14.5" style="2" bestFit="1" customWidth="1"/>
    <col min="4" max="4" width="10.83203125" style="2"/>
    <col min="5" max="5" width="14.5" style="2" bestFit="1" customWidth="1"/>
    <col min="6" max="6" width="12.83203125" style="2" bestFit="1" customWidth="1"/>
    <col min="7" max="16384" width="10.83203125" style="2"/>
  </cols>
  <sheetData>
    <row r="1" spans="1:9" ht="18">
      <c r="A1" s="39" t="s">
        <v>232</v>
      </c>
    </row>
    <row r="3" spans="1:9" ht="18">
      <c r="A3" s="3" t="s">
        <v>210</v>
      </c>
      <c r="B3" s="3"/>
      <c r="C3" s="3"/>
      <c r="D3" s="3"/>
      <c r="E3" s="3"/>
      <c r="F3" s="3"/>
      <c r="G3" s="3"/>
      <c r="H3" s="3"/>
    </row>
    <row r="4" spans="1:9">
      <c r="A4" s="1"/>
      <c r="B4" s="1"/>
    </row>
    <row r="5" spans="1:9">
      <c r="A5" s="2" t="s">
        <v>29</v>
      </c>
    </row>
    <row r="6" spans="1:9" ht="16" thickBot="1">
      <c r="A6" s="5" t="s">
        <v>1</v>
      </c>
    </row>
    <row r="7" spans="1:9" ht="30">
      <c r="A7" s="8"/>
      <c r="B7" s="102" t="s">
        <v>211</v>
      </c>
      <c r="C7" s="102" t="s">
        <v>212</v>
      </c>
      <c r="D7" s="24" t="str">
        <f t="array" ref="D7:I7">TRANSPOSE(C8:C13)</f>
        <v>Assembly</v>
      </c>
      <c r="E7" s="24" t="str">
        <v>Painting</v>
      </c>
      <c r="F7" s="24" t="str">
        <v>Machine Shop</v>
      </c>
      <c r="G7" s="24" t="str">
        <v>Receiving</v>
      </c>
      <c r="H7" s="24" t="str">
        <v xml:space="preserve">Shipping </v>
      </c>
      <c r="I7" s="9" t="str">
        <v>Testing</v>
      </c>
    </row>
    <row r="8" spans="1:9">
      <c r="A8" s="10"/>
      <c r="B8" s="7" t="s">
        <v>213</v>
      </c>
      <c r="C8" s="7" t="s">
        <v>233</v>
      </c>
      <c r="D8" s="7"/>
      <c r="E8" s="7">
        <v>50</v>
      </c>
      <c r="F8" s="7">
        <v>100</v>
      </c>
      <c r="G8" s="7">
        <v>0</v>
      </c>
      <c r="H8" s="7">
        <v>0</v>
      </c>
      <c r="I8" s="11">
        <v>20</v>
      </c>
    </row>
    <row r="9" spans="1:9">
      <c r="A9" s="10"/>
      <c r="B9" s="7" t="s">
        <v>214</v>
      </c>
      <c r="C9" s="7" t="s">
        <v>234</v>
      </c>
      <c r="D9" s="7"/>
      <c r="E9" s="7"/>
      <c r="F9" s="7">
        <v>30</v>
      </c>
      <c r="G9" s="7">
        <v>50</v>
      </c>
      <c r="H9" s="7">
        <v>10</v>
      </c>
      <c r="I9" s="11">
        <v>0</v>
      </c>
    </row>
    <row r="10" spans="1:9">
      <c r="A10" s="10"/>
      <c r="B10" s="7" t="s">
        <v>215</v>
      </c>
      <c r="C10" s="7" t="s">
        <v>235</v>
      </c>
      <c r="D10" s="7"/>
      <c r="E10" s="7"/>
      <c r="F10" s="7"/>
      <c r="G10" s="7">
        <v>20</v>
      </c>
      <c r="H10" s="7">
        <v>0</v>
      </c>
      <c r="I10" s="11">
        <v>100</v>
      </c>
    </row>
    <row r="11" spans="1:9">
      <c r="A11" s="10"/>
      <c r="B11" s="7" t="s">
        <v>216</v>
      </c>
      <c r="C11" s="7" t="s">
        <v>236</v>
      </c>
      <c r="D11" s="7"/>
      <c r="E11" s="7"/>
      <c r="F11" s="7"/>
      <c r="G11" s="7"/>
      <c r="H11" s="7">
        <v>50</v>
      </c>
      <c r="I11" s="11">
        <v>0</v>
      </c>
    </row>
    <row r="12" spans="1:9">
      <c r="A12" s="10"/>
      <c r="B12" s="7" t="s">
        <v>217</v>
      </c>
      <c r="C12" s="7" t="s">
        <v>237</v>
      </c>
      <c r="D12" s="7"/>
      <c r="E12" s="7"/>
      <c r="F12" s="7"/>
      <c r="G12" s="7"/>
      <c r="H12" s="7"/>
      <c r="I12" s="11">
        <v>0</v>
      </c>
    </row>
    <row r="13" spans="1:9">
      <c r="A13" s="10"/>
      <c r="B13" s="7" t="s">
        <v>218</v>
      </c>
      <c r="C13" s="7" t="s">
        <v>238</v>
      </c>
      <c r="D13" s="7"/>
      <c r="E13" s="7"/>
      <c r="F13" s="7"/>
      <c r="G13" s="7"/>
      <c r="H13" s="7"/>
      <c r="I13" s="11"/>
    </row>
    <row r="14" spans="1:9">
      <c r="A14" s="103" t="s">
        <v>219</v>
      </c>
      <c r="B14" s="14"/>
      <c r="C14" s="14"/>
      <c r="D14" s="14"/>
      <c r="E14" s="14"/>
      <c r="F14" s="14"/>
      <c r="G14" s="14"/>
      <c r="H14" s="14"/>
      <c r="I14" s="25"/>
    </row>
    <row r="15" spans="1:9" ht="30">
      <c r="A15" s="10"/>
      <c r="B15" s="104" t="s">
        <v>220</v>
      </c>
      <c r="C15" s="104" t="s">
        <v>221</v>
      </c>
      <c r="D15" s="14" t="str">
        <f t="array" ref="D15:I15">TRANSPOSE(C16:C21)</f>
        <v>Room 1</v>
      </c>
      <c r="E15" s="14" t="str">
        <v>Room 2</v>
      </c>
      <c r="F15" s="14" t="str">
        <v>Room 3</v>
      </c>
      <c r="G15" s="14" t="str">
        <v>Room 4</v>
      </c>
      <c r="H15" s="14" t="str">
        <v>Room 5</v>
      </c>
      <c r="I15" s="25" t="str">
        <v>Room 6</v>
      </c>
    </row>
    <row r="16" spans="1:9">
      <c r="A16" s="10"/>
      <c r="B16" s="91" t="str">
        <f t="shared" ref="B16:B21" si="0">INDEX($C$8:$C$13,MATCH(C16,$B$8:$B$13,0))</f>
        <v>Assembly</v>
      </c>
      <c r="C16" s="7" t="s">
        <v>213</v>
      </c>
      <c r="D16" s="7"/>
      <c r="E16" s="106">
        <v>1</v>
      </c>
      <c r="F16" s="106">
        <v>2</v>
      </c>
      <c r="G16" s="106">
        <v>1</v>
      </c>
      <c r="H16" s="106">
        <v>1</v>
      </c>
      <c r="I16" s="107">
        <v>2</v>
      </c>
    </row>
    <row r="17" spans="1:9">
      <c r="A17" s="10"/>
      <c r="B17" s="91" t="str">
        <f t="shared" si="0"/>
        <v>Painting</v>
      </c>
      <c r="C17" s="7" t="s">
        <v>214</v>
      </c>
      <c r="D17" s="106">
        <v>1</v>
      </c>
      <c r="E17" s="7"/>
      <c r="F17" s="106">
        <v>1</v>
      </c>
      <c r="G17" s="106">
        <v>1</v>
      </c>
      <c r="H17" s="106">
        <v>1</v>
      </c>
      <c r="I17" s="107">
        <v>1</v>
      </c>
    </row>
    <row r="18" spans="1:9">
      <c r="A18" s="10"/>
      <c r="B18" s="91" t="str">
        <f t="shared" si="0"/>
        <v>Machine Shop</v>
      </c>
      <c r="C18" s="7" t="s">
        <v>215</v>
      </c>
      <c r="D18" s="106">
        <v>2</v>
      </c>
      <c r="E18" s="106">
        <v>1</v>
      </c>
      <c r="F18" s="7"/>
      <c r="G18" s="106">
        <v>2</v>
      </c>
      <c r="H18" s="106">
        <v>1</v>
      </c>
      <c r="I18" s="107">
        <v>1</v>
      </c>
    </row>
    <row r="19" spans="1:9">
      <c r="A19" s="10"/>
      <c r="B19" s="91" t="str">
        <f t="shared" si="0"/>
        <v>Receiving</v>
      </c>
      <c r="C19" s="7" t="s">
        <v>216</v>
      </c>
      <c r="D19" s="106">
        <v>1</v>
      </c>
      <c r="E19" s="106">
        <v>1</v>
      </c>
      <c r="F19" s="106">
        <v>2</v>
      </c>
      <c r="G19" s="7"/>
      <c r="H19" s="106">
        <v>1</v>
      </c>
      <c r="I19" s="107">
        <v>2</v>
      </c>
    </row>
    <row r="20" spans="1:9">
      <c r="A20" s="10"/>
      <c r="B20" s="91" t="str">
        <f t="shared" si="0"/>
        <v xml:space="preserve">Shipping </v>
      </c>
      <c r="C20" s="7" t="s">
        <v>217</v>
      </c>
      <c r="D20" s="106">
        <v>1</v>
      </c>
      <c r="E20" s="106">
        <v>1</v>
      </c>
      <c r="F20" s="106">
        <v>1</v>
      </c>
      <c r="G20" s="106">
        <v>1</v>
      </c>
      <c r="H20" s="7"/>
      <c r="I20" s="107">
        <v>1</v>
      </c>
    </row>
    <row r="21" spans="1:9" ht="16" thickBot="1">
      <c r="A21" s="12"/>
      <c r="B21" s="105" t="str">
        <f t="shared" si="0"/>
        <v>Testing</v>
      </c>
      <c r="C21" s="40" t="s">
        <v>218</v>
      </c>
      <c r="D21" s="108">
        <v>2</v>
      </c>
      <c r="E21" s="108">
        <v>1</v>
      </c>
      <c r="F21" s="108">
        <v>1</v>
      </c>
      <c r="G21" s="108">
        <v>2</v>
      </c>
      <c r="H21" s="108">
        <v>1</v>
      </c>
      <c r="I21" s="13"/>
    </row>
    <row r="22" spans="1:9" ht="16" thickBot="1"/>
    <row r="23" spans="1:9" ht="16" thickBot="1">
      <c r="A23" s="21" t="s">
        <v>222</v>
      </c>
      <c r="B23" s="62"/>
      <c r="C23" s="22">
        <f>SUM(G27:G62)</f>
        <v>570</v>
      </c>
      <c r="E23" s="2" t="s">
        <v>223</v>
      </c>
      <c r="F23" s="7">
        <v>1</v>
      </c>
      <c r="H23" s="2" t="s">
        <v>173</v>
      </c>
      <c r="I23" s="2">
        <f>C23*F23</f>
        <v>570</v>
      </c>
    </row>
    <row r="25" spans="1:9">
      <c r="A25" s="23" t="s">
        <v>231</v>
      </c>
    </row>
    <row r="26" spans="1:9" ht="30">
      <c r="A26" s="54" t="s">
        <v>224</v>
      </c>
      <c r="B26" s="54" t="s">
        <v>225</v>
      </c>
      <c r="C26" s="54" t="s">
        <v>226</v>
      </c>
      <c r="D26" s="54" t="s">
        <v>227</v>
      </c>
      <c r="E26" s="54" t="s">
        <v>228</v>
      </c>
      <c r="F26" s="54" t="s">
        <v>229</v>
      </c>
      <c r="G26" s="54" t="s">
        <v>230</v>
      </c>
    </row>
    <row r="27" spans="1:9">
      <c r="A27" s="2" t="str">
        <f>C8</f>
        <v>Assembly</v>
      </c>
      <c r="B27" s="2" t="str">
        <f t="shared" ref="B27:B32" si="1">C8</f>
        <v>Assembly</v>
      </c>
      <c r="C27" s="2">
        <f>INDEX($D$8:$L$18,MATCH(A27,$C$8:$C$13,0),MATCH(B27,$C$8:$C$13,0))</f>
        <v>0</v>
      </c>
      <c r="D27" s="2" t="str">
        <f>VLOOKUP(A27,$B$16:$D$26,2,FALSE)</f>
        <v>Room 1</v>
      </c>
      <c r="E27" s="2" t="str">
        <f>VLOOKUP(B27,$B$16:$D$26,2,FALSE)</f>
        <v>Room 1</v>
      </c>
      <c r="F27" s="2">
        <f>INDEX($D$16:$I$21,MATCH(D27,$C$16:$C$22,0),MATCH(E27,$C$16:$C$22,0))</f>
        <v>0</v>
      </c>
      <c r="G27" s="2">
        <f>C27*F27</f>
        <v>0</v>
      </c>
    </row>
    <row r="28" spans="1:9">
      <c r="A28" s="2" t="str">
        <f>C8</f>
        <v>Assembly</v>
      </c>
      <c r="B28" s="2" t="str">
        <f t="shared" si="1"/>
        <v>Painting</v>
      </c>
      <c r="C28" s="2">
        <f t="shared" ref="C28:C62" si="2">INDEX($D$8:$L$18,MATCH(A28,$C$8:$C$13,0),MATCH(B28,$C$8:$C$13,0))</f>
        <v>50</v>
      </c>
      <c r="D28" s="2" t="str">
        <f t="shared" ref="D28:D62" si="3">VLOOKUP(A28,$B$16:$D$26,2,FALSE)</f>
        <v>Room 1</v>
      </c>
      <c r="E28" s="2" t="str">
        <f t="shared" ref="E28:E62" si="4">VLOOKUP(B28,$B$16:$D$26,2,FALSE)</f>
        <v>Room 2</v>
      </c>
      <c r="F28" s="2">
        <f t="shared" ref="F28:F62" si="5">INDEX($D$16:$I$21,MATCH(D28,$C$16:$C$22,0),MATCH(E28,$C$16:$C$22,0))</f>
        <v>1</v>
      </c>
      <c r="G28" s="2">
        <f t="shared" ref="G28:G62" si="6">C28*F28</f>
        <v>50</v>
      </c>
    </row>
    <row r="29" spans="1:9">
      <c r="A29" s="2" t="str">
        <f>C8</f>
        <v>Assembly</v>
      </c>
      <c r="B29" s="2" t="str">
        <f t="shared" si="1"/>
        <v>Machine Shop</v>
      </c>
      <c r="C29" s="2">
        <f t="shared" si="2"/>
        <v>100</v>
      </c>
      <c r="D29" s="2" t="str">
        <f t="shared" si="3"/>
        <v>Room 1</v>
      </c>
      <c r="E29" s="2" t="str">
        <f t="shared" si="4"/>
        <v>Room 3</v>
      </c>
      <c r="F29" s="2">
        <f t="shared" si="5"/>
        <v>2</v>
      </c>
      <c r="G29" s="2">
        <f t="shared" si="6"/>
        <v>200</v>
      </c>
    </row>
    <row r="30" spans="1:9">
      <c r="A30" s="2" t="str">
        <f>C8</f>
        <v>Assembly</v>
      </c>
      <c r="B30" s="2" t="str">
        <f t="shared" si="1"/>
        <v>Receiving</v>
      </c>
      <c r="C30" s="2">
        <f t="shared" si="2"/>
        <v>0</v>
      </c>
      <c r="D30" s="2" t="str">
        <f t="shared" si="3"/>
        <v>Room 1</v>
      </c>
      <c r="E30" s="2" t="str">
        <f t="shared" si="4"/>
        <v>Room 4</v>
      </c>
      <c r="F30" s="2">
        <f t="shared" si="5"/>
        <v>1</v>
      </c>
      <c r="G30" s="2">
        <f t="shared" si="6"/>
        <v>0</v>
      </c>
    </row>
    <row r="31" spans="1:9">
      <c r="A31" s="2" t="str">
        <f>C8</f>
        <v>Assembly</v>
      </c>
      <c r="B31" s="2" t="str">
        <f t="shared" si="1"/>
        <v xml:space="preserve">Shipping </v>
      </c>
      <c r="C31" s="2">
        <f t="shared" si="2"/>
        <v>0</v>
      </c>
      <c r="D31" s="2" t="str">
        <f t="shared" si="3"/>
        <v>Room 1</v>
      </c>
      <c r="E31" s="2" t="str">
        <f t="shared" si="4"/>
        <v>Room 5</v>
      </c>
      <c r="F31" s="2">
        <f t="shared" si="5"/>
        <v>1</v>
      </c>
      <c r="G31" s="2">
        <f t="shared" si="6"/>
        <v>0</v>
      </c>
    </row>
    <row r="32" spans="1:9">
      <c r="A32" s="2" t="str">
        <f>C8</f>
        <v>Assembly</v>
      </c>
      <c r="B32" s="2" t="str">
        <f t="shared" si="1"/>
        <v>Testing</v>
      </c>
      <c r="C32" s="2">
        <f t="shared" si="2"/>
        <v>20</v>
      </c>
      <c r="D32" s="2" t="str">
        <f t="shared" si="3"/>
        <v>Room 1</v>
      </c>
      <c r="E32" s="2" t="str">
        <f t="shared" si="4"/>
        <v>Room 6</v>
      </c>
      <c r="F32" s="2">
        <f t="shared" si="5"/>
        <v>2</v>
      </c>
      <c r="G32" s="2">
        <f t="shared" si="6"/>
        <v>40</v>
      </c>
    </row>
    <row r="33" spans="1:7">
      <c r="A33" s="2" t="str">
        <f>C9</f>
        <v>Painting</v>
      </c>
      <c r="B33" s="2" t="str">
        <f t="shared" ref="B33:B38" si="7">C8</f>
        <v>Assembly</v>
      </c>
      <c r="C33" s="2">
        <f t="shared" si="2"/>
        <v>0</v>
      </c>
      <c r="D33" s="2" t="str">
        <f t="shared" si="3"/>
        <v>Room 2</v>
      </c>
      <c r="E33" s="2" t="str">
        <f t="shared" si="4"/>
        <v>Room 1</v>
      </c>
      <c r="F33" s="2">
        <f t="shared" si="5"/>
        <v>1</v>
      </c>
      <c r="G33" s="2">
        <f t="shared" si="6"/>
        <v>0</v>
      </c>
    </row>
    <row r="34" spans="1:7">
      <c r="A34" s="2" t="str">
        <f>C9</f>
        <v>Painting</v>
      </c>
      <c r="B34" s="2" t="str">
        <f t="shared" si="7"/>
        <v>Painting</v>
      </c>
      <c r="C34" s="2">
        <f t="shared" si="2"/>
        <v>0</v>
      </c>
      <c r="D34" s="2" t="str">
        <f t="shared" si="3"/>
        <v>Room 2</v>
      </c>
      <c r="E34" s="2" t="str">
        <f t="shared" si="4"/>
        <v>Room 2</v>
      </c>
      <c r="F34" s="2">
        <f t="shared" si="5"/>
        <v>0</v>
      </c>
      <c r="G34" s="2">
        <f t="shared" si="6"/>
        <v>0</v>
      </c>
    </row>
    <row r="35" spans="1:7">
      <c r="A35" s="2" t="str">
        <f>C9</f>
        <v>Painting</v>
      </c>
      <c r="B35" s="2" t="str">
        <f t="shared" si="7"/>
        <v>Machine Shop</v>
      </c>
      <c r="C35" s="2">
        <f t="shared" si="2"/>
        <v>30</v>
      </c>
      <c r="D35" s="2" t="str">
        <f t="shared" si="3"/>
        <v>Room 2</v>
      </c>
      <c r="E35" s="2" t="str">
        <f t="shared" si="4"/>
        <v>Room 3</v>
      </c>
      <c r="F35" s="2">
        <f t="shared" si="5"/>
        <v>1</v>
      </c>
      <c r="G35" s="2">
        <f t="shared" si="6"/>
        <v>30</v>
      </c>
    </row>
    <row r="36" spans="1:7">
      <c r="A36" s="2" t="str">
        <f>C9</f>
        <v>Painting</v>
      </c>
      <c r="B36" s="2" t="str">
        <f t="shared" si="7"/>
        <v>Receiving</v>
      </c>
      <c r="C36" s="2">
        <f t="shared" si="2"/>
        <v>50</v>
      </c>
      <c r="D36" s="2" t="str">
        <f t="shared" si="3"/>
        <v>Room 2</v>
      </c>
      <c r="E36" s="2" t="str">
        <f t="shared" si="4"/>
        <v>Room 4</v>
      </c>
      <c r="F36" s="2">
        <f t="shared" si="5"/>
        <v>1</v>
      </c>
      <c r="G36" s="2">
        <f t="shared" si="6"/>
        <v>50</v>
      </c>
    </row>
    <row r="37" spans="1:7">
      <c r="A37" s="2" t="str">
        <f>C9</f>
        <v>Painting</v>
      </c>
      <c r="B37" s="2" t="str">
        <f t="shared" si="7"/>
        <v xml:space="preserve">Shipping </v>
      </c>
      <c r="C37" s="2">
        <f t="shared" si="2"/>
        <v>10</v>
      </c>
      <c r="D37" s="2" t="str">
        <f t="shared" si="3"/>
        <v>Room 2</v>
      </c>
      <c r="E37" s="2" t="str">
        <f t="shared" si="4"/>
        <v>Room 5</v>
      </c>
      <c r="F37" s="2">
        <f t="shared" si="5"/>
        <v>1</v>
      </c>
      <c r="G37" s="2">
        <f t="shared" si="6"/>
        <v>10</v>
      </c>
    </row>
    <row r="38" spans="1:7">
      <c r="A38" s="2" t="str">
        <f>C9</f>
        <v>Painting</v>
      </c>
      <c r="B38" s="2" t="str">
        <f t="shared" si="7"/>
        <v>Testing</v>
      </c>
      <c r="C38" s="2">
        <f t="shared" si="2"/>
        <v>0</v>
      </c>
      <c r="D38" s="2" t="str">
        <f t="shared" si="3"/>
        <v>Room 2</v>
      </c>
      <c r="E38" s="2" t="str">
        <f t="shared" si="4"/>
        <v>Room 6</v>
      </c>
      <c r="F38" s="2">
        <f t="shared" si="5"/>
        <v>1</v>
      </c>
      <c r="G38" s="2">
        <f t="shared" si="6"/>
        <v>0</v>
      </c>
    </row>
    <row r="39" spans="1:7">
      <c r="A39" s="2" t="str">
        <f>C10</f>
        <v>Machine Shop</v>
      </c>
      <c r="B39" s="2" t="str">
        <f t="shared" ref="B39:B44" si="8">C8</f>
        <v>Assembly</v>
      </c>
      <c r="C39" s="2">
        <f t="shared" si="2"/>
        <v>0</v>
      </c>
      <c r="D39" s="2" t="str">
        <f t="shared" si="3"/>
        <v>Room 3</v>
      </c>
      <c r="E39" s="2" t="str">
        <f t="shared" si="4"/>
        <v>Room 1</v>
      </c>
      <c r="F39" s="2">
        <f t="shared" si="5"/>
        <v>2</v>
      </c>
      <c r="G39" s="2">
        <f t="shared" si="6"/>
        <v>0</v>
      </c>
    </row>
    <row r="40" spans="1:7">
      <c r="A40" s="2" t="str">
        <f>C10</f>
        <v>Machine Shop</v>
      </c>
      <c r="B40" s="2" t="str">
        <f t="shared" si="8"/>
        <v>Painting</v>
      </c>
      <c r="C40" s="2">
        <f t="shared" si="2"/>
        <v>0</v>
      </c>
      <c r="D40" s="2" t="str">
        <f t="shared" si="3"/>
        <v>Room 3</v>
      </c>
      <c r="E40" s="2" t="str">
        <f t="shared" si="4"/>
        <v>Room 2</v>
      </c>
      <c r="F40" s="2">
        <f t="shared" si="5"/>
        <v>1</v>
      </c>
      <c r="G40" s="2">
        <f t="shared" si="6"/>
        <v>0</v>
      </c>
    </row>
    <row r="41" spans="1:7">
      <c r="A41" s="2" t="str">
        <f>C10</f>
        <v>Machine Shop</v>
      </c>
      <c r="B41" s="2" t="str">
        <f t="shared" si="8"/>
        <v>Machine Shop</v>
      </c>
      <c r="C41" s="2">
        <f t="shared" si="2"/>
        <v>0</v>
      </c>
      <c r="D41" s="2" t="str">
        <f t="shared" si="3"/>
        <v>Room 3</v>
      </c>
      <c r="E41" s="2" t="str">
        <f t="shared" si="4"/>
        <v>Room 3</v>
      </c>
      <c r="F41" s="2">
        <f t="shared" si="5"/>
        <v>0</v>
      </c>
      <c r="G41" s="2">
        <f t="shared" si="6"/>
        <v>0</v>
      </c>
    </row>
    <row r="42" spans="1:7">
      <c r="A42" s="2" t="str">
        <f>C10</f>
        <v>Machine Shop</v>
      </c>
      <c r="B42" s="2" t="str">
        <f t="shared" si="8"/>
        <v>Receiving</v>
      </c>
      <c r="C42" s="2">
        <f t="shared" si="2"/>
        <v>20</v>
      </c>
      <c r="D42" s="2" t="str">
        <f t="shared" si="3"/>
        <v>Room 3</v>
      </c>
      <c r="E42" s="2" t="str">
        <f t="shared" si="4"/>
        <v>Room 4</v>
      </c>
      <c r="F42" s="2">
        <f t="shared" si="5"/>
        <v>2</v>
      </c>
      <c r="G42" s="2">
        <f t="shared" si="6"/>
        <v>40</v>
      </c>
    </row>
    <row r="43" spans="1:7">
      <c r="A43" s="2" t="str">
        <f>C10</f>
        <v>Machine Shop</v>
      </c>
      <c r="B43" s="2" t="str">
        <f t="shared" si="8"/>
        <v xml:space="preserve">Shipping </v>
      </c>
      <c r="C43" s="2">
        <f t="shared" si="2"/>
        <v>0</v>
      </c>
      <c r="D43" s="2" t="str">
        <f t="shared" si="3"/>
        <v>Room 3</v>
      </c>
      <c r="E43" s="2" t="str">
        <f t="shared" si="4"/>
        <v>Room 5</v>
      </c>
      <c r="F43" s="2">
        <f t="shared" si="5"/>
        <v>1</v>
      </c>
      <c r="G43" s="2">
        <f t="shared" si="6"/>
        <v>0</v>
      </c>
    </row>
    <row r="44" spans="1:7">
      <c r="A44" s="2" t="str">
        <f>C10</f>
        <v>Machine Shop</v>
      </c>
      <c r="B44" s="2" t="str">
        <f t="shared" si="8"/>
        <v>Testing</v>
      </c>
      <c r="C44" s="2">
        <f t="shared" si="2"/>
        <v>100</v>
      </c>
      <c r="D44" s="2" t="str">
        <f t="shared" si="3"/>
        <v>Room 3</v>
      </c>
      <c r="E44" s="2" t="str">
        <f t="shared" si="4"/>
        <v>Room 6</v>
      </c>
      <c r="F44" s="2">
        <f t="shared" si="5"/>
        <v>1</v>
      </c>
      <c r="G44" s="2">
        <f t="shared" si="6"/>
        <v>100</v>
      </c>
    </row>
    <row r="45" spans="1:7">
      <c r="A45" s="2" t="str">
        <f>C11</f>
        <v>Receiving</v>
      </c>
      <c r="B45" s="2" t="str">
        <f t="shared" ref="B45:B50" si="9">C8</f>
        <v>Assembly</v>
      </c>
      <c r="C45" s="2">
        <f t="shared" si="2"/>
        <v>0</v>
      </c>
      <c r="D45" s="2" t="str">
        <f t="shared" si="3"/>
        <v>Room 4</v>
      </c>
      <c r="E45" s="2" t="str">
        <f t="shared" si="4"/>
        <v>Room 1</v>
      </c>
      <c r="F45" s="2">
        <f t="shared" si="5"/>
        <v>1</v>
      </c>
      <c r="G45" s="2">
        <f t="shared" si="6"/>
        <v>0</v>
      </c>
    </row>
    <row r="46" spans="1:7">
      <c r="A46" s="2" t="str">
        <f>C11</f>
        <v>Receiving</v>
      </c>
      <c r="B46" s="2" t="str">
        <f t="shared" si="9"/>
        <v>Painting</v>
      </c>
      <c r="C46" s="2">
        <f t="shared" si="2"/>
        <v>0</v>
      </c>
      <c r="D46" s="2" t="str">
        <f t="shared" si="3"/>
        <v>Room 4</v>
      </c>
      <c r="E46" s="2" t="str">
        <f t="shared" si="4"/>
        <v>Room 2</v>
      </c>
      <c r="F46" s="2">
        <f t="shared" si="5"/>
        <v>1</v>
      </c>
      <c r="G46" s="2">
        <f t="shared" si="6"/>
        <v>0</v>
      </c>
    </row>
    <row r="47" spans="1:7">
      <c r="A47" s="2" t="str">
        <f>C11</f>
        <v>Receiving</v>
      </c>
      <c r="B47" s="2" t="str">
        <f t="shared" si="9"/>
        <v>Machine Shop</v>
      </c>
      <c r="C47" s="2">
        <f t="shared" si="2"/>
        <v>0</v>
      </c>
      <c r="D47" s="2" t="str">
        <f t="shared" si="3"/>
        <v>Room 4</v>
      </c>
      <c r="E47" s="2" t="str">
        <f t="shared" si="4"/>
        <v>Room 3</v>
      </c>
      <c r="F47" s="2">
        <f t="shared" si="5"/>
        <v>2</v>
      </c>
      <c r="G47" s="2">
        <f t="shared" si="6"/>
        <v>0</v>
      </c>
    </row>
    <row r="48" spans="1:7">
      <c r="A48" s="2" t="str">
        <f>C11</f>
        <v>Receiving</v>
      </c>
      <c r="B48" s="2" t="str">
        <f t="shared" si="9"/>
        <v>Receiving</v>
      </c>
      <c r="C48" s="2">
        <f t="shared" si="2"/>
        <v>0</v>
      </c>
      <c r="D48" s="2" t="str">
        <f t="shared" si="3"/>
        <v>Room 4</v>
      </c>
      <c r="E48" s="2" t="str">
        <f t="shared" si="4"/>
        <v>Room 4</v>
      </c>
      <c r="F48" s="2">
        <f t="shared" si="5"/>
        <v>0</v>
      </c>
      <c r="G48" s="2">
        <f t="shared" si="6"/>
        <v>0</v>
      </c>
    </row>
    <row r="49" spans="1:7">
      <c r="A49" s="2" t="str">
        <f>C11</f>
        <v>Receiving</v>
      </c>
      <c r="B49" s="2" t="str">
        <f t="shared" si="9"/>
        <v xml:space="preserve">Shipping </v>
      </c>
      <c r="C49" s="2">
        <f t="shared" si="2"/>
        <v>50</v>
      </c>
      <c r="D49" s="2" t="str">
        <f t="shared" si="3"/>
        <v>Room 4</v>
      </c>
      <c r="E49" s="2" t="str">
        <f t="shared" si="4"/>
        <v>Room 5</v>
      </c>
      <c r="F49" s="2">
        <f t="shared" si="5"/>
        <v>1</v>
      </c>
      <c r="G49" s="2">
        <f t="shared" si="6"/>
        <v>50</v>
      </c>
    </row>
    <row r="50" spans="1:7">
      <c r="A50" s="2" t="str">
        <f>C11</f>
        <v>Receiving</v>
      </c>
      <c r="B50" s="2" t="str">
        <f t="shared" si="9"/>
        <v>Testing</v>
      </c>
      <c r="C50" s="2">
        <f t="shared" si="2"/>
        <v>0</v>
      </c>
      <c r="D50" s="2" t="str">
        <f t="shared" si="3"/>
        <v>Room 4</v>
      </c>
      <c r="E50" s="2" t="str">
        <f t="shared" si="4"/>
        <v>Room 6</v>
      </c>
      <c r="F50" s="2">
        <f t="shared" si="5"/>
        <v>2</v>
      </c>
      <c r="G50" s="2">
        <f t="shared" si="6"/>
        <v>0</v>
      </c>
    </row>
    <row r="51" spans="1:7">
      <c r="A51" s="2" t="str">
        <f>C12</f>
        <v xml:space="preserve">Shipping </v>
      </c>
      <c r="B51" s="2" t="str">
        <f t="shared" ref="B51:B56" si="10">C8</f>
        <v>Assembly</v>
      </c>
      <c r="C51" s="2">
        <f t="shared" si="2"/>
        <v>0</v>
      </c>
      <c r="D51" s="2" t="str">
        <f t="shared" si="3"/>
        <v>Room 5</v>
      </c>
      <c r="E51" s="2" t="str">
        <f t="shared" si="4"/>
        <v>Room 1</v>
      </c>
      <c r="F51" s="2">
        <f t="shared" si="5"/>
        <v>1</v>
      </c>
      <c r="G51" s="2">
        <f t="shared" si="6"/>
        <v>0</v>
      </c>
    </row>
    <row r="52" spans="1:7">
      <c r="A52" s="2" t="str">
        <f>C12</f>
        <v xml:space="preserve">Shipping </v>
      </c>
      <c r="B52" s="2" t="str">
        <f t="shared" si="10"/>
        <v>Painting</v>
      </c>
      <c r="C52" s="2">
        <f t="shared" si="2"/>
        <v>0</v>
      </c>
      <c r="D52" s="2" t="str">
        <f t="shared" si="3"/>
        <v>Room 5</v>
      </c>
      <c r="E52" s="2" t="str">
        <f t="shared" si="4"/>
        <v>Room 2</v>
      </c>
      <c r="F52" s="2">
        <f t="shared" si="5"/>
        <v>1</v>
      </c>
      <c r="G52" s="2">
        <f t="shared" si="6"/>
        <v>0</v>
      </c>
    </row>
    <row r="53" spans="1:7">
      <c r="A53" s="2" t="str">
        <f>C12</f>
        <v xml:space="preserve">Shipping </v>
      </c>
      <c r="B53" s="2" t="str">
        <f t="shared" si="10"/>
        <v>Machine Shop</v>
      </c>
      <c r="C53" s="2">
        <f t="shared" si="2"/>
        <v>0</v>
      </c>
      <c r="D53" s="2" t="str">
        <f t="shared" si="3"/>
        <v>Room 5</v>
      </c>
      <c r="E53" s="2" t="str">
        <f t="shared" si="4"/>
        <v>Room 3</v>
      </c>
      <c r="F53" s="2">
        <f t="shared" si="5"/>
        <v>1</v>
      </c>
      <c r="G53" s="2">
        <f t="shared" si="6"/>
        <v>0</v>
      </c>
    </row>
    <row r="54" spans="1:7">
      <c r="A54" s="2" t="str">
        <f>C12</f>
        <v xml:space="preserve">Shipping </v>
      </c>
      <c r="B54" s="2" t="str">
        <f t="shared" si="10"/>
        <v>Receiving</v>
      </c>
      <c r="C54" s="2">
        <f t="shared" si="2"/>
        <v>0</v>
      </c>
      <c r="D54" s="2" t="str">
        <f t="shared" si="3"/>
        <v>Room 5</v>
      </c>
      <c r="E54" s="2" t="str">
        <f t="shared" si="4"/>
        <v>Room 4</v>
      </c>
      <c r="F54" s="2">
        <f t="shared" si="5"/>
        <v>1</v>
      </c>
      <c r="G54" s="2">
        <f t="shared" si="6"/>
        <v>0</v>
      </c>
    </row>
    <row r="55" spans="1:7">
      <c r="A55" s="2" t="str">
        <f>C12</f>
        <v xml:space="preserve">Shipping </v>
      </c>
      <c r="B55" s="2" t="str">
        <f t="shared" si="10"/>
        <v xml:space="preserve">Shipping </v>
      </c>
      <c r="C55" s="2">
        <f t="shared" si="2"/>
        <v>0</v>
      </c>
      <c r="D55" s="2" t="str">
        <f t="shared" si="3"/>
        <v>Room 5</v>
      </c>
      <c r="E55" s="2" t="str">
        <f t="shared" si="4"/>
        <v>Room 5</v>
      </c>
      <c r="F55" s="2">
        <f t="shared" si="5"/>
        <v>0</v>
      </c>
      <c r="G55" s="2">
        <f t="shared" si="6"/>
        <v>0</v>
      </c>
    </row>
    <row r="56" spans="1:7">
      <c r="A56" s="2" t="str">
        <f>C12</f>
        <v xml:space="preserve">Shipping </v>
      </c>
      <c r="B56" s="2" t="str">
        <f t="shared" si="10"/>
        <v>Testing</v>
      </c>
      <c r="C56" s="2">
        <f t="shared" si="2"/>
        <v>0</v>
      </c>
      <c r="D56" s="2" t="str">
        <f t="shared" si="3"/>
        <v>Room 5</v>
      </c>
      <c r="E56" s="2" t="str">
        <f t="shared" si="4"/>
        <v>Room 6</v>
      </c>
      <c r="F56" s="2">
        <f t="shared" si="5"/>
        <v>1</v>
      </c>
      <c r="G56" s="2">
        <f t="shared" si="6"/>
        <v>0</v>
      </c>
    </row>
    <row r="57" spans="1:7">
      <c r="A57" s="2" t="str">
        <f>C13</f>
        <v>Testing</v>
      </c>
      <c r="B57" s="2" t="str">
        <f t="shared" ref="B57:B62" si="11">C8</f>
        <v>Assembly</v>
      </c>
      <c r="C57" s="2">
        <f t="shared" si="2"/>
        <v>0</v>
      </c>
      <c r="D57" s="2" t="str">
        <f t="shared" si="3"/>
        <v>Room 6</v>
      </c>
      <c r="E57" s="2" t="str">
        <f t="shared" si="4"/>
        <v>Room 1</v>
      </c>
      <c r="F57" s="2">
        <f t="shared" si="5"/>
        <v>2</v>
      </c>
      <c r="G57" s="2">
        <f t="shared" si="6"/>
        <v>0</v>
      </c>
    </row>
    <row r="58" spans="1:7">
      <c r="A58" s="2" t="str">
        <f>C13</f>
        <v>Testing</v>
      </c>
      <c r="B58" s="2" t="str">
        <f t="shared" si="11"/>
        <v>Painting</v>
      </c>
      <c r="C58" s="2">
        <f t="shared" si="2"/>
        <v>0</v>
      </c>
      <c r="D58" s="2" t="str">
        <f t="shared" si="3"/>
        <v>Room 6</v>
      </c>
      <c r="E58" s="2" t="str">
        <f t="shared" si="4"/>
        <v>Room 2</v>
      </c>
      <c r="F58" s="2">
        <f t="shared" si="5"/>
        <v>1</v>
      </c>
      <c r="G58" s="2">
        <f t="shared" si="6"/>
        <v>0</v>
      </c>
    </row>
    <row r="59" spans="1:7">
      <c r="A59" s="2" t="str">
        <f>C13</f>
        <v>Testing</v>
      </c>
      <c r="B59" s="2" t="str">
        <f t="shared" si="11"/>
        <v>Machine Shop</v>
      </c>
      <c r="C59" s="2">
        <f t="shared" si="2"/>
        <v>0</v>
      </c>
      <c r="D59" s="2" t="str">
        <f t="shared" si="3"/>
        <v>Room 6</v>
      </c>
      <c r="E59" s="2" t="str">
        <f t="shared" si="4"/>
        <v>Room 3</v>
      </c>
      <c r="F59" s="2">
        <f t="shared" si="5"/>
        <v>1</v>
      </c>
      <c r="G59" s="2">
        <f t="shared" si="6"/>
        <v>0</v>
      </c>
    </row>
    <row r="60" spans="1:7">
      <c r="A60" s="2" t="str">
        <f>C13</f>
        <v>Testing</v>
      </c>
      <c r="B60" s="2" t="str">
        <f t="shared" si="11"/>
        <v>Receiving</v>
      </c>
      <c r="C60" s="2">
        <f t="shared" si="2"/>
        <v>0</v>
      </c>
      <c r="D60" s="2" t="str">
        <f t="shared" si="3"/>
        <v>Room 6</v>
      </c>
      <c r="E60" s="2" t="str">
        <f t="shared" si="4"/>
        <v>Room 4</v>
      </c>
      <c r="F60" s="2">
        <f t="shared" si="5"/>
        <v>2</v>
      </c>
      <c r="G60" s="2">
        <f t="shared" si="6"/>
        <v>0</v>
      </c>
    </row>
    <row r="61" spans="1:7">
      <c r="A61" s="2" t="str">
        <f>C13</f>
        <v>Testing</v>
      </c>
      <c r="B61" s="2" t="str">
        <f t="shared" si="11"/>
        <v xml:space="preserve">Shipping </v>
      </c>
      <c r="C61" s="2">
        <f t="shared" si="2"/>
        <v>0</v>
      </c>
      <c r="D61" s="2" t="str">
        <f t="shared" si="3"/>
        <v>Room 6</v>
      </c>
      <c r="E61" s="2" t="str">
        <f t="shared" si="4"/>
        <v>Room 5</v>
      </c>
      <c r="F61" s="2">
        <f t="shared" si="5"/>
        <v>1</v>
      </c>
      <c r="G61" s="2">
        <f t="shared" si="6"/>
        <v>0</v>
      </c>
    </row>
    <row r="62" spans="1:7">
      <c r="A62" s="2" t="str">
        <f>C13</f>
        <v>Testing</v>
      </c>
      <c r="B62" s="2" t="str">
        <f t="shared" si="11"/>
        <v>Testing</v>
      </c>
      <c r="C62" s="2">
        <f t="shared" si="2"/>
        <v>0</v>
      </c>
      <c r="D62" s="2" t="str">
        <f t="shared" si="3"/>
        <v>Room 6</v>
      </c>
      <c r="E62" s="2" t="str">
        <f t="shared" si="4"/>
        <v>Room 6</v>
      </c>
      <c r="F62" s="2">
        <f t="shared" si="5"/>
        <v>0</v>
      </c>
      <c r="G62" s="2">
        <f t="shared" si="6"/>
        <v>0</v>
      </c>
    </row>
  </sheetData>
  <pageMargins left="0.75" right="0.75" top="1" bottom="1" header="0.5" footer="0.5"/>
  <pageSetup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48130" r:id="rId3" name="Button 2">
              <controlPr defaultSize="0" print="0" autoFill="0" autoPict="0" macro="[2]!layout_solve">
                <anchor moveWithCells="1" sizeWithCells="1">
                  <from>
                    <xdr:col>0</xdr:col>
                    <xdr:colOff>0</xdr:colOff>
                    <xdr:row>3</xdr:row>
                    <xdr:rowOff>88900</xdr:rowOff>
                  </from>
                  <to>
                    <xdr:col>0</xdr:col>
                    <xdr:colOff>609600</xdr:colOff>
                    <xdr:row>4</xdr:row>
                    <xdr:rowOff>127000</xdr:rowOff>
                  </to>
                </anchor>
              </controlPr>
            </control>
          </mc:Choice>
          <mc:Fallback/>
        </mc:AlternateContent>
        <mc:AlternateContent xmlns:mc="http://schemas.openxmlformats.org/markup-compatibility/2006">
          <mc:Choice Requires="x14">
            <control shapeId="48131" r:id="rId4" name="Button 3">
              <controlPr defaultSize="0" print="0" autoFill="0" autoPict="0" macro="[2]!setSymmetric">
                <anchor moveWithCells="1" sizeWithCells="1">
                  <from>
                    <xdr:col>1</xdr:col>
                    <xdr:colOff>127000</xdr:colOff>
                    <xdr:row>3</xdr:row>
                    <xdr:rowOff>88900</xdr:rowOff>
                  </from>
                  <to>
                    <xdr:col>2</xdr:col>
                    <xdr:colOff>520700</xdr:colOff>
                    <xdr:row>4</xdr:row>
                    <xdr:rowOff>127000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2"/>
  <sheetViews>
    <sheetView topLeftCell="A6" workbookViewId="0">
      <selection activeCell="J37" sqref="J37"/>
    </sheetView>
  </sheetViews>
  <sheetFormatPr baseColWidth="10" defaultRowHeight="15" x14ac:dyDescent="0"/>
  <cols>
    <col min="1" max="1" width="10.83203125" style="2" customWidth="1"/>
    <col min="2" max="2" width="10.83203125" style="2"/>
    <col min="3" max="3" width="14.5" style="2" bestFit="1" customWidth="1"/>
    <col min="4" max="16384" width="10.83203125" style="2"/>
  </cols>
  <sheetData>
    <row r="1" spans="1:9" ht="18">
      <c r="A1" s="39" t="s">
        <v>239</v>
      </c>
    </row>
    <row r="3" spans="1:9" ht="18">
      <c r="A3" s="3" t="s">
        <v>210</v>
      </c>
      <c r="B3" s="3"/>
      <c r="C3" s="3"/>
      <c r="D3" s="3"/>
      <c r="E3" s="3"/>
      <c r="F3" s="3"/>
      <c r="G3" s="3"/>
      <c r="H3" s="3"/>
    </row>
    <row r="4" spans="1:9">
      <c r="A4" s="1"/>
      <c r="B4" s="1"/>
    </row>
    <row r="5" spans="1:9">
      <c r="A5" s="2" t="s">
        <v>29</v>
      </c>
    </row>
    <row r="6" spans="1:9" ht="16" thickBot="1">
      <c r="A6" s="5" t="s">
        <v>1</v>
      </c>
    </row>
    <row r="7" spans="1:9" ht="30">
      <c r="A7" s="8"/>
      <c r="B7" s="102" t="s">
        <v>211</v>
      </c>
      <c r="C7" s="102" t="s">
        <v>212</v>
      </c>
      <c r="D7" s="24" t="str">
        <f t="array" ref="D7:I7">TRANSPOSE(C8:C13)</f>
        <v>Assembly</v>
      </c>
      <c r="E7" s="24" t="str">
        <v>Painting</v>
      </c>
      <c r="F7" s="24" t="str">
        <v>Machine Shop</v>
      </c>
      <c r="G7" s="24" t="str">
        <v>Receiving</v>
      </c>
      <c r="H7" s="24" t="str">
        <v xml:space="preserve">Shipping </v>
      </c>
      <c r="I7" s="9" t="str">
        <v>Testing</v>
      </c>
    </row>
    <row r="8" spans="1:9">
      <c r="A8" s="10"/>
      <c r="B8" s="7" t="s">
        <v>213</v>
      </c>
      <c r="C8" s="7" t="s">
        <v>233</v>
      </c>
      <c r="D8" s="7"/>
      <c r="E8" s="7">
        <v>50</v>
      </c>
      <c r="F8" s="7">
        <v>100</v>
      </c>
      <c r="G8" s="7">
        <v>0</v>
      </c>
      <c r="H8" s="7">
        <v>0</v>
      </c>
      <c r="I8" s="11">
        <v>20</v>
      </c>
    </row>
    <row r="9" spans="1:9">
      <c r="A9" s="10"/>
      <c r="B9" s="7" t="s">
        <v>214</v>
      </c>
      <c r="C9" s="7" t="s">
        <v>234</v>
      </c>
      <c r="D9" s="7"/>
      <c r="E9" s="7"/>
      <c r="F9" s="7">
        <v>30</v>
      </c>
      <c r="G9" s="7">
        <v>50</v>
      </c>
      <c r="H9" s="7">
        <v>10</v>
      </c>
      <c r="I9" s="11">
        <v>0</v>
      </c>
    </row>
    <row r="10" spans="1:9">
      <c r="A10" s="10"/>
      <c r="B10" s="7" t="s">
        <v>215</v>
      </c>
      <c r="C10" s="7" t="s">
        <v>235</v>
      </c>
      <c r="D10" s="7"/>
      <c r="E10" s="7"/>
      <c r="F10" s="7"/>
      <c r="G10" s="7">
        <v>20</v>
      </c>
      <c r="H10" s="7">
        <v>0</v>
      </c>
      <c r="I10" s="11">
        <v>100</v>
      </c>
    </row>
    <row r="11" spans="1:9">
      <c r="A11" s="10"/>
      <c r="B11" s="7" t="s">
        <v>216</v>
      </c>
      <c r="C11" s="7" t="s">
        <v>236</v>
      </c>
      <c r="D11" s="7"/>
      <c r="E11" s="7"/>
      <c r="F11" s="7"/>
      <c r="G11" s="7"/>
      <c r="H11" s="7">
        <v>50</v>
      </c>
      <c r="I11" s="11">
        <v>0</v>
      </c>
    </row>
    <row r="12" spans="1:9">
      <c r="A12" s="10"/>
      <c r="B12" s="7" t="s">
        <v>217</v>
      </c>
      <c r="C12" s="7" t="s">
        <v>237</v>
      </c>
      <c r="D12" s="7"/>
      <c r="E12" s="7"/>
      <c r="F12" s="7"/>
      <c r="G12" s="7"/>
      <c r="H12" s="7"/>
      <c r="I12" s="11">
        <v>0</v>
      </c>
    </row>
    <row r="13" spans="1:9">
      <c r="A13" s="10"/>
      <c r="B13" s="7" t="s">
        <v>218</v>
      </c>
      <c r="C13" s="7" t="s">
        <v>238</v>
      </c>
      <c r="D13" s="7"/>
      <c r="E13" s="7"/>
      <c r="F13" s="7"/>
      <c r="G13" s="7"/>
      <c r="H13" s="7"/>
      <c r="I13" s="11"/>
    </row>
    <row r="14" spans="1:9">
      <c r="A14" s="103" t="s">
        <v>219</v>
      </c>
      <c r="B14" s="14"/>
      <c r="C14" s="14"/>
      <c r="D14" s="14"/>
      <c r="E14" s="14"/>
      <c r="F14" s="14"/>
      <c r="G14" s="14"/>
      <c r="H14" s="14"/>
      <c r="I14" s="25"/>
    </row>
    <row r="15" spans="1:9" ht="30">
      <c r="A15" s="10"/>
      <c r="B15" s="104" t="s">
        <v>220</v>
      </c>
      <c r="C15" s="104" t="s">
        <v>221</v>
      </c>
      <c r="D15" s="14" t="str">
        <f t="array" ref="D15:I15">TRANSPOSE(C16:C21)</f>
        <v>Room 1</v>
      </c>
      <c r="E15" s="14" t="str">
        <v>Room 2</v>
      </c>
      <c r="F15" s="14" t="str">
        <v>Room 3</v>
      </c>
      <c r="G15" s="14" t="str">
        <v>Room 4</v>
      </c>
      <c r="H15" s="14" t="str">
        <v>Room 5</v>
      </c>
      <c r="I15" s="25" t="str">
        <v>Room 6</v>
      </c>
    </row>
    <row r="16" spans="1:9">
      <c r="A16" s="10"/>
      <c r="B16" s="91" t="str">
        <f t="shared" ref="B16:B21" si="0">INDEX($C$8:$C$13,MATCH(C16,$B$8:$B$13,0))</f>
        <v>Assembly</v>
      </c>
      <c r="C16" s="7" t="s">
        <v>213</v>
      </c>
      <c r="D16" s="7"/>
      <c r="E16" s="106">
        <v>1</v>
      </c>
      <c r="F16" s="106">
        <v>1</v>
      </c>
      <c r="G16" s="106">
        <v>1</v>
      </c>
      <c r="H16" s="106">
        <v>1</v>
      </c>
      <c r="I16" s="107">
        <v>1</v>
      </c>
    </row>
    <row r="17" spans="1:9">
      <c r="A17" s="10"/>
      <c r="B17" s="91" t="str">
        <f t="shared" si="0"/>
        <v>Painting</v>
      </c>
      <c r="C17" s="7" t="s">
        <v>214</v>
      </c>
      <c r="D17" s="106">
        <v>1</v>
      </c>
      <c r="E17" s="7"/>
      <c r="F17" s="106">
        <v>2</v>
      </c>
      <c r="G17" s="106">
        <v>1</v>
      </c>
      <c r="H17" s="106">
        <v>1</v>
      </c>
      <c r="I17" s="107">
        <v>2</v>
      </c>
    </row>
    <row r="18" spans="1:9">
      <c r="A18" s="10"/>
      <c r="B18" s="91" t="str">
        <f t="shared" si="0"/>
        <v>Machine Shop</v>
      </c>
      <c r="C18" s="7" t="s">
        <v>215</v>
      </c>
      <c r="D18" s="106">
        <v>1</v>
      </c>
      <c r="E18" s="106">
        <v>2</v>
      </c>
      <c r="F18" s="7"/>
      <c r="G18" s="106">
        <v>2</v>
      </c>
      <c r="H18" s="106">
        <v>1</v>
      </c>
      <c r="I18" s="107">
        <v>1</v>
      </c>
    </row>
    <row r="19" spans="1:9">
      <c r="A19" s="10"/>
      <c r="B19" s="91" t="str">
        <f t="shared" si="0"/>
        <v>Receiving</v>
      </c>
      <c r="C19" s="7" t="s">
        <v>216</v>
      </c>
      <c r="D19" s="106">
        <v>1</v>
      </c>
      <c r="E19" s="106">
        <v>1</v>
      </c>
      <c r="F19" s="106">
        <v>2</v>
      </c>
      <c r="G19" s="7"/>
      <c r="H19" s="106">
        <v>1</v>
      </c>
      <c r="I19" s="107">
        <v>2</v>
      </c>
    </row>
    <row r="20" spans="1:9">
      <c r="A20" s="10"/>
      <c r="B20" s="91" t="str">
        <f t="shared" si="0"/>
        <v xml:space="preserve">Shipping </v>
      </c>
      <c r="C20" s="7" t="s">
        <v>217</v>
      </c>
      <c r="D20" s="106">
        <v>1</v>
      </c>
      <c r="E20" s="106">
        <v>1</v>
      </c>
      <c r="F20" s="106">
        <v>1</v>
      </c>
      <c r="G20" s="106">
        <v>1</v>
      </c>
      <c r="H20" s="7"/>
      <c r="I20" s="107">
        <v>1</v>
      </c>
    </row>
    <row r="21" spans="1:9" ht="16" thickBot="1">
      <c r="A21" s="12"/>
      <c r="B21" s="105" t="str">
        <f t="shared" si="0"/>
        <v>Testing</v>
      </c>
      <c r="C21" s="40" t="s">
        <v>218</v>
      </c>
      <c r="D21" s="108">
        <v>1</v>
      </c>
      <c r="E21" s="108">
        <v>2</v>
      </c>
      <c r="F21" s="108">
        <v>1</v>
      </c>
      <c r="G21" s="108">
        <v>2</v>
      </c>
      <c r="H21" s="108">
        <v>1</v>
      </c>
      <c r="I21" s="13"/>
    </row>
    <row r="22" spans="1:9" ht="16" thickBot="1"/>
    <row r="23" spans="1:9" ht="16" thickBot="1">
      <c r="A23" s="21" t="s">
        <v>222</v>
      </c>
      <c r="B23" s="62"/>
      <c r="C23" s="22">
        <f>SUM(G27:G62)</f>
        <v>480</v>
      </c>
      <c r="E23" s="2" t="s">
        <v>223</v>
      </c>
      <c r="F23" s="7">
        <v>1</v>
      </c>
      <c r="H23" s="2" t="s">
        <v>173</v>
      </c>
      <c r="I23" s="2">
        <f>C23*F23</f>
        <v>480</v>
      </c>
    </row>
    <row r="25" spans="1:9">
      <c r="A25" s="23" t="s">
        <v>231</v>
      </c>
    </row>
    <row r="26" spans="1:9" ht="30">
      <c r="A26" s="54" t="s">
        <v>224</v>
      </c>
      <c r="B26" s="54" t="s">
        <v>225</v>
      </c>
      <c r="C26" s="54" t="s">
        <v>226</v>
      </c>
      <c r="D26" s="54" t="s">
        <v>227</v>
      </c>
      <c r="E26" s="54" t="s">
        <v>228</v>
      </c>
      <c r="F26" s="54" t="s">
        <v>229</v>
      </c>
      <c r="G26" s="54" t="s">
        <v>230</v>
      </c>
    </row>
    <row r="27" spans="1:9">
      <c r="A27" s="2" t="str">
        <f>C8</f>
        <v>Assembly</v>
      </c>
      <c r="B27" s="2" t="str">
        <f t="shared" ref="B27:B32" si="1">C8</f>
        <v>Assembly</v>
      </c>
      <c r="C27" s="2">
        <f>INDEX($D$8:$L$18,MATCH(A27,$C$8:$C$13,0),MATCH(B27,$C$8:$C$13,0))</f>
        <v>0</v>
      </c>
      <c r="D27" s="2" t="str">
        <f>VLOOKUP(A27,$B$16:$D$26,2,FALSE)</f>
        <v>Room 1</v>
      </c>
      <c r="E27" s="2" t="str">
        <f>VLOOKUP(B27,$B$16:$D$26,2,FALSE)</f>
        <v>Room 1</v>
      </c>
      <c r="F27" s="2">
        <f>INDEX($D$16:$I$21,MATCH(D27,$C$16:$C$22,0),MATCH(E27,$C$16:$C$22,0))</f>
        <v>0</v>
      </c>
      <c r="G27" s="2">
        <f>C27*F27</f>
        <v>0</v>
      </c>
    </row>
    <row r="28" spans="1:9">
      <c r="A28" s="2" t="str">
        <f>C8</f>
        <v>Assembly</v>
      </c>
      <c r="B28" s="2" t="str">
        <f t="shared" si="1"/>
        <v>Painting</v>
      </c>
      <c r="C28" s="2">
        <f t="shared" ref="C28:C62" si="2">INDEX($D$8:$L$18,MATCH(A28,$C$8:$C$13,0),MATCH(B28,$C$8:$C$13,0))</f>
        <v>50</v>
      </c>
      <c r="D28" s="2" t="str">
        <f t="shared" ref="D28:D62" si="3">VLOOKUP(A28,$B$16:$D$26,2,FALSE)</f>
        <v>Room 1</v>
      </c>
      <c r="E28" s="2" t="str">
        <f t="shared" ref="E28:E62" si="4">VLOOKUP(B28,$B$16:$D$26,2,FALSE)</f>
        <v>Room 2</v>
      </c>
      <c r="F28" s="2">
        <f t="shared" ref="F28:F62" si="5">INDEX($D$16:$I$21,MATCH(D28,$C$16:$C$22,0),MATCH(E28,$C$16:$C$22,0))</f>
        <v>1</v>
      </c>
      <c r="G28" s="2">
        <f t="shared" ref="G28:G62" si="6">C28*F28</f>
        <v>50</v>
      </c>
    </row>
    <row r="29" spans="1:9">
      <c r="A29" s="2" t="str">
        <f>C8</f>
        <v>Assembly</v>
      </c>
      <c r="B29" s="2" t="str">
        <f t="shared" si="1"/>
        <v>Machine Shop</v>
      </c>
      <c r="C29" s="2">
        <f t="shared" si="2"/>
        <v>100</v>
      </c>
      <c r="D29" s="2" t="str">
        <f t="shared" si="3"/>
        <v>Room 1</v>
      </c>
      <c r="E29" s="2" t="str">
        <f t="shared" si="4"/>
        <v>Room 3</v>
      </c>
      <c r="F29" s="2">
        <f t="shared" si="5"/>
        <v>1</v>
      </c>
      <c r="G29" s="2">
        <f t="shared" si="6"/>
        <v>100</v>
      </c>
    </row>
    <row r="30" spans="1:9">
      <c r="A30" s="2" t="str">
        <f>C8</f>
        <v>Assembly</v>
      </c>
      <c r="B30" s="2" t="str">
        <f t="shared" si="1"/>
        <v>Receiving</v>
      </c>
      <c r="C30" s="2">
        <f t="shared" si="2"/>
        <v>0</v>
      </c>
      <c r="D30" s="2" t="str">
        <f t="shared" si="3"/>
        <v>Room 1</v>
      </c>
      <c r="E30" s="2" t="str">
        <f t="shared" si="4"/>
        <v>Room 4</v>
      </c>
      <c r="F30" s="2">
        <f t="shared" si="5"/>
        <v>1</v>
      </c>
      <c r="G30" s="2">
        <f t="shared" si="6"/>
        <v>0</v>
      </c>
    </row>
    <row r="31" spans="1:9">
      <c r="A31" s="2" t="str">
        <f>C8</f>
        <v>Assembly</v>
      </c>
      <c r="B31" s="2" t="str">
        <f t="shared" si="1"/>
        <v xml:space="preserve">Shipping </v>
      </c>
      <c r="C31" s="2">
        <f t="shared" si="2"/>
        <v>0</v>
      </c>
      <c r="D31" s="2" t="str">
        <f t="shared" si="3"/>
        <v>Room 1</v>
      </c>
      <c r="E31" s="2" t="str">
        <f t="shared" si="4"/>
        <v>Room 5</v>
      </c>
      <c r="F31" s="2">
        <f t="shared" si="5"/>
        <v>1</v>
      </c>
      <c r="G31" s="2">
        <f t="shared" si="6"/>
        <v>0</v>
      </c>
    </row>
    <row r="32" spans="1:9">
      <c r="A32" s="2" t="str">
        <f>C8</f>
        <v>Assembly</v>
      </c>
      <c r="B32" s="2" t="str">
        <f t="shared" si="1"/>
        <v>Testing</v>
      </c>
      <c r="C32" s="2">
        <f t="shared" si="2"/>
        <v>20</v>
      </c>
      <c r="D32" s="2" t="str">
        <f t="shared" si="3"/>
        <v>Room 1</v>
      </c>
      <c r="E32" s="2" t="str">
        <f t="shared" si="4"/>
        <v>Room 6</v>
      </c>
      <c r="F32" s="2">
        <f t="shared" si="5"/>
        <v>1</v>
      </c>
      <c r="G32" s="2">
        <f t="shared" si="6"/>
        <v>20</v>
      </c>
    </row>
    <row r="33" spans="1:7">
      <c r="A33" s="2" t="str">
        <f>C9</f>
        <v>Painting</v>
      </c>
      <c r="B33" s="2" t="str">
        <f t="shared" ref="B33:B38" si="7">C8</f>
        <v>Assembly</v>
      </c>
      <c r="C33" s="2">
        <f t="shared" si="2"/>
        <v>0</v>
      </c>
      <c r="D33" s="2" t="str">
        <f t="shared" si="3"/>
        <v>Room 2</v>
      </c>
      <c r="E33" s="2" t="str">
        <f t="shared" si="4"/>
        <v>Room 1</v>
      </c>
      <c r="F33" s="2">
        <f t="shared" si="5"/>
        <v>1</v>
      </c>
      <c r="G33" s="2">
        <f t="shared" si="6"/>
        <v>0</v>
      </c>
    </row>
    <row r="34" spans="1:7">
      <c r="A34" s="2" t="str">
        <f>C9</f>
        <v>Painting</v>
      </c>
      <c r="B34" s="2" t="str">
        <f t="shared" si="7"/>
        <v>Painting</v>
      </c>
      <c r="C34" s="2">
        <f t="shared" si="2"/>
        <v>0</v>
      </c>
      <c r="D34" s="2" t="str">
        <f t="shared" si="3"/>
        <v>Room 2</v>
      </c>
      <c r="E34" s="2" t="str">
        <f t="shared" si="4"/>
        <v>Room 2</v>
      </c>
      <c r="F34" s="2">
        <f t="shared" si="5"/>
        <v>0</v>
      </c>
      <c r="G34" s="2">
        <f t="shared" si="6"/>
        <v>0</v>
      </c>
    </row>
    <row r="35" spans="1:7">
      <c r="A35" s="2" t="str">
        <f>C9</f>
        <v>Painting</v>
      </c>
      <c r="B35" s="2" t="str">
        <f t="shared" si="7"/>
        <v>Machine Shop</v>
      </c>
      <c r="C35" s="2">
        <f t="shared" si="2"/>
        <v>30</v>
      </c>
      <c r="D35" s="2" t="str">
        <f t="shared" si="3"/>
        <v>Room 2</v>
      </c>
      <c r="E35" s="2" t="str">
        <f t="shared" si="4"/>
        <v>Room 3</v>
      </c>
      <c r="F35" s="2">
        <f t="shared" si="5"/>
        <v>2</v>
      </c>
      <c r="G35" s="2">
        <f t="shared" si="6"/>
        <v>60</v>
      </c>
    </row>
    <row r="36" spans="1:7">
      <c r="A36" s="2" t="str">
        <f>C9</f>
        <v>Painting</v>
      </c>
      <c r="B36" s="2" t="str">
        <f t="shared" si="7"/>
        <v>Receiving</v>
      </c>
      <c r="C36" s="2">
        <f t="shared" si="2"/>
        <v>50</v>
      </c>
      <c r="D36" s="2" t="str">
        <f t="shared" si="3"/>
        <v>Room 2</v>
      </c>
      <c r="E36" s="2" t="str">
        <f t="shared" si="4"/>
        <v>Room 4</v>
      </c>
      <c r="F36" s="2">
        <f t="shared" si="5"/>
        <v>1</v>
      </c>
      <c r="G36" s="2">
        <f t="shared" si="6"/>
        <v>50</v>
      </c>
    </row>
    <row r="37" spans="1:7">
      <c r="A37" s="2" t="str">
        <f>C9</f>
        <v>Painting</v>
      </c>
      <c r="B37" s="2" t="str">
        <f t="shared" si="7"/>
        <v xml:space="preserve">Shipping </v>
      </c>
      <c r="C37" s="2">
        <f t="shared" si="2"/>
        <v>10</v>
      </c>
      <c r="D37" s="2" t="str">
        <f t="shared" si="3"/>
        <v>Room 2</v>
      </c>
      <c r="E37" s="2" t="str">
        <f t="shared" si="4"/>
        <v>Room 5</v>
      </c>
      <c r="F37" s="2">
        <f t="shared" si="5"/>
        <v>1</v>
      </c>
      <c r="G37" s="2">
        <f t="shared" si="6"/>
        <v>10</v>
      </c>
    </row>
    <row r="38" spans="1:7">
      <c r="A38" s="2" t="str">
        <f>C9</f>
        <v>Painting</v>
      </c>
      <c r="B38" s="2" t="str">
        <f t="shared" si="7"/>
        <v>Testing</v>
      </c>
      <c r="C38" s="2">
        <f t="shared" si="2"/>
        <v>0</v>
      </c>
      <c r="D38" s="2" t="str">
        <f t="shared" si="3"/>
        <v>Room 2</v>
      </c>
      <c r="E38" s="2" t="str">
        <f t="shared" si="4"/>
        <v>Room 6</v>
      </c>
      <c r="F38" s="2">
        <f t="shared" si="5"/>
        <v>2</v>
      </c>
      <c r="G38" s="2">
        <f t="shared" si="6"/>
        <v>0</v>
      </c>
    </row>
    <row r="39" spans="1:7">
      <c r="A39" s="2" t="str">
        <f>C10</f>
        <v>Machine Shop</v>
      </c>
      <c r="B39" s="2" t="str">
        <f t="shared" ref="B39:B44" si="8">C8</f>
        <v>Assembly</v>
      </c>
      <c r="C39" s="2">
        <f t="shared" si="2"/>
        <v>0</v>
      </c>
      <c r="D39" s="2" t="str">
        <f t="shared" si="3"/>
        <v>Room 3</v>
      </c>
      <c r="E39" s="2" t="str">
        <f t="shared" si="4"/>
        <v>Room 1</v>
      </c>
      <c r="F39" s="2">
        <f t="shared" si="5"/>
        <v>1</v>
      </c>
      <c r="G39" s="2">
        <f t="shared" si="6"/>
        <v>0</v>
      </c>
    </row>
    <row r="40" spans="1:7">
      <c r="A40" s="2" t="str">
        <f>C10</f>
        <v>Machine Shop</v>
      </c>
      <c r="B40" s="2" t="str">
        <f t="shared" si="8"/>
        <v>Painting</v>
      </c>
      <c r="C40" s="2">
        <f t="shared" si="2"/>
        <v>0</v>
      </c>
      <c r="D40" s="2" t="str">
        <f t="shared" si="3"/>
        <v>Room 3</v>
      </c>
      <c r="E40" s="2" t="str">
        <f t="shared" si="4"/>
        <v>Room 2</v>
      </c>
      <c r="F40" s="2">
        <f t="shared" si="5"/>
        <v>2</v>
      </c>
      <c r="G40" s="2">
        <f t="shared" si="6"/>
        <v>0</v>
      </c>
    </row>
    <row r="41" spans="1:7">
      <c r="A41" s="2" t="str">
        <f>C10</f>
        <v>Machine Shop</v>
      </c>
      <c r="B41" s="2" t="str">
        <f t="shared" si="8"/>
        <v>Machine Shop</v>
      </c>
      <c r="C41" s="2">
        <f t="shared" si="2"/>
        <v>0</v>
      </c>
      <c r="D41" s="2" t="str">
        <f t="shared" si="3"/>
        <v>Room 3</v>
      </c>
      <c r="E41" s="2" t="str">
        <f t="shared" si="4"/>
        <v>Room 3</v>
      </c>
      <c r="F41" s="2">
        <f t="shared" si="5"/>
        <v>0</v>
      </c>
      <c r="G41" s="2">
        <f t="shared" si="6"/>
        <v>0</v>
      </c>
    </row>
    <row r="42" spans="1:7">
      <c r="A42" s="2" t="str">
        <f>C10</f>
        <v>Machine Shop</v>
      </c>
      <c r="B42" s="2" t="str">
        <f t="shared" si="8"/>
        <v>Receiving</v>
      </c>
      <c r="C42" s="2">
        <f t="shared" si="2"/>
        <v>20</v>
      </c>
      <c r="D42" s="2" t="str">
        <f t="shared" si="3"/>
        <v>Room 3</v>
      </c>
      <c r="E42" s="2" t="str">
        <f t="shared" si="4"/>
        <v>Room 4</v>
      </c>
      <c r="F42" s="2">
        <f t="shared" si="5"/>
        <v>2</v>
      </c>
      <c r="G42" s="2">
        <f t="shared" si="6"/>
        <v>40</v>
      </c>
    </row>
    <row r="43" spans="1:7">
      <c r="A43" s="2" t="str">
        <f>C10</f>
        <v>Machine Shop</v>
      </c>
      <c r="B43" s="2" t="str">
        <f t="shared" si="8"/>
        <v xml:space="preserve">Shipping </v>
      </c>
      <c r="C43" s="2">
        <f t="shared" si="2"/>
        <v>0</v>
      </c>
      <c r="D43" s="2" t="str">
        <f t="shared" si="3"/>
        <v>Room 3</v>
      </c>
      <c r="E43" s="2" t="str">
        <f t="shared" si="4"/>
        <v>Room 5</v>
      </c>
      <c r="F43" s="2">
        <f t="shared" si="5"/>
        <v>1</v>
      </c>
      <c r="G43" s="2">
        <f t="shared" si="6"/>
        <v>0</v>
      </c>
    </row>
    <row r="44" spans="1:7">
      <c r="A44" s="2" t="str">
        <f>C10</f>
        <v>Machine Shop</v>
      </c>
      <c r="B44" s="2" t="str">
        <f t="shared" si="8"/>
        <v>Testing</v>
      </c>
      <c r="C44" s="2">
        <f t="shared" si="2"/>
        <v>100</v>
      </c>
      <c r="D44" s="2" t="str">
        <f t="shared" si="3"/>
        <v>Room 3</v>
      </c>
      <c r="E44" s="2" t="str">
        <f t="shared" si="4"/>
        <v>Room 6</v>
      </c>
      <c r="F44" s="2">
        <f t="shared" si="5"/>
        <v>1</v>
      </c>
      <c r="G44" s="2">
        <f t="shared" si="6"/>
        <v>100</v>
      </c>
    </row>
    <row r="45" spans="1:7">
      <c r="A45" s="2" t="str">
        <f>C11</f>
        <v>Receiving</v>
      </c>
      <c r="B45" s="2" t="str">
        <f t="shared" ref="B45:B50" si="9">C8</f>
        <v>Assembly</v>
      </c>
      <c r="C45" s="2">
        <f t="shared" si="2"/>
        <v>0</v>
      </c>
      <c r="D45" s="2" t="str">
        <f t="shared" si="3"/>
        <v>Room 4</v>
      </c>
      <c r="E45" s="2" t="str">
        <f t="shared" si="4"/>
        <v>Room 1</v>
      </c>
      <c r="F45" s="2">
        <f t="shared" si="5"/>
        <v>1</v>
      </c>
      <c r="G45" s="2">
        <f t="shared" si="6"/>
        <v>0</v>
      </c>
    </row>
    <row r="46" spans="1:7">
      <c r="A46" s="2" t="str">
        <f>C11</f>
        <v>Receiving</v>
      </c>
      <c r="B46" s="2" t="str">
        <f t="shared" si="9"/>
        <v>Painting</v>
      </c>
      <c r="C46" s="2">
        <f t="shared" si="2"/>
        <v>0</v>
      </c>
      <c r="D46" s="2" t="str">
        <f t="shared" si="3"/>
        <v>Room 4</v>
      </c>
      <c r="E46" s="2" t="str">
        <f t="shared" si="4"/>
        <v>Room 2</v>
      </c>
      <c r="F46" s="2">
        <f t="shared" si="5"/>
        <v>1</v>
      </c>
      <c r="G46" s="2">
        <f t="shared" si="6"/>
        <v>0</v>
      </c>
    </row>
    <row r="47" spans="1:7">
      <c r="A47" s="2" t="str">
        <f>C11</f>
        <v>Receiving</v>
      </c>
      <c r="B47" s="2" t="str">
        <f t="shared" si="9"/>
        <v>Machine Shop</v>
      </c>
      <c r="C47" s="2">
        <f t="shared" si="2"/>
        <v>0</v>
      </c>
      <c r="D47" s="2" t="str">
        <f t="shared" si="3"/>
        <v>Room 4</v>
      </c>
      <c r="E47" s="2" t="str">
        <f t="shared" si="4"/>
        <v>Room 3</v>
      </c>
      <c r="F47" s="2">
        <f t="shared" si="5"/>
        <v>2</v>
      </c>
      <c r="G47" s="2">
        <f t="shared" si="6"/>
        <v>0</v>
      </c>
    </row>
    <row r="48" spans="1:7">
      <c r="A48" s="2" t="str">
        <f>C11</f>
        <v>Receiving</v>
      </c>
      <c r="B48" s="2" t="str">
        <f t="shared" si="9"/>
        <v>Receiving</v>
      </c>
      <c r="C48" s="2">
        <f t="shared" si="2"/>
        <v>0</v>
      </c>
      <c r="D48" s="2" t="str">
        <f t="shared" si="3"/>
        <v>Room 4</v>
      </c>
      <c r="E48" s="2" t="str">
        <f t="shared" si="4"/>
        <v>Room 4</v>
      </c>
      <c r="F48" s="2">
        <f t="shared" si="5"/>
        <v>0</v>
      </c>
      <c r="G48" s="2">
        <f t="shared" si="6"/>
        <v>0</v>
      </c>
    </row>
    <row r="49" spans="1:7">
      <c r="A49" s="2" t="str">
        <f>C11</f>
        <v>Receiving</v>
      </c>
      <c r="B49" s="2" t="str">
        <f t="shared" si="9"/>
        <v xml:space="preserve">Shipping </v>
      </c>
      <c r="C49" s="2">
        <f t="shared" si="2"/>
        <v>50</v>
      </c>
      <c r="D49" s="2" t="str">
        <f t="shared" si="3"/>
        <v>Room 4</v>
      </c>
      <c r="E49" s="2" t="str">
        <f t="shared" si="4"/>
        <v>Room 5</v>
      </c>
      <c r="F49" s="2">
        <f t="shared" si="5"/>
        <v>1</v>
      </c>
      <c r="G49" s="2">
        <f t="shared" si="6"/>
        <v>50</v>
      </c>
    </row>
    <row r="50" spans="1:7">
      <c r="A50" s="2" t="str">
        <f>C11</f>
        <v>Receiving</v>
      </c>
      <c r="B50" s="2" t="str">
        <f t="shared" si="9"/>
        <v>Testing</v>
      </c>
      <c r="C50" s="2">
        <f t="shared" si="2"/>
        <v>0</v>
      </c>
      <c r="D50" s="2" t="str">
        <f t="shared" si="3"/>
        <v>Room 4</v>
      </c>
      <c r="E50" s="2" t="str">
        <f t="shared" si="4"/>
        <v>Room 6</v>
      </c>
      <c r="F50" s="2">
        <f t="shared" si="5"/>
        <v>2</v>
      </c>
      <c r="G50" s="2">
        <f t="shared" si="6"/>
        <v>0</v>
      </c>
    </row>
    <row r="51" spans="1:7">
      <c r="A51" s="2" t="str">
        <f>C12</f>
        <v xml:space="preserve">Shipping </v>
      </c>
      <c r="B51" s="2" t="str">
        <f t="shared" ref="B51:B56" si="10">C8</f>
        <v>Assembly</v>
      </c>
      <c r="C51" s="2">
        <f t="shared" si="2"/>
        <v>0</v>
      </c>
      <c r="D51" s="2" t="str">
        <f t="shared" si="3"/>
        <v>Room 5</v>
      </c>
      <c r="E51" s="2" t="str">
        <f t="shared" si="4"/>
        <v>Room 1</v>
      </c>
      <c r="F51" s="2">
        <f t="shared" si="5"/>
        <v>1</v>
      </c>
      <c r="G51" s="2">
        <f t="shared" si="6"/>
        <v>0</v>
      </c>
    </row>
    <row r="52" spans="1:7">
      <c r="A52" s="2" t="str">
        <f>C12</f>
        <v xml:space="preserve">Shipping </v>
      </c>
      <c r="B52" s="2" t="str">
        <f t="shared" si="10"/>
        <v>Painting</v>
      </c>
      <c r="C52" s="2">
        <f t="shared" si="2"/>
        <v>0</v>
      </c>
      <c r="D52" s="2" t="str">
        <f t="shared" si="3"/>
        <v>Room 5</v>
      </c>
      <c r="E52" s="2" t="str">
        <f t="shared" si="4"/>
        <v>Room 2</v>
      </c>
      <c r="F52" s="2">
        <f t="shared" si="5"/>
        <v>1</v>
      </c>
      <c r="G52" s="2">
        <f t="shared" si="6"/>
        <v>0</v>
      </c>
    </row>
    <row r="53" spans="1:7">
      <c r="A53" s="2" t="str">
        <f>C12</f>
        <v xml:space="preserve">Shipping </v>
      </c>
      <c r="B53" s="2" t="str">
        <f t="shared" si="10"/>
        <v>Machine Shop</v>
      </c>
      <c r="C53" s="2">
        <f t="shared" si="2"/>
        <v>0</v>
      </c>
      <c r="D53" s="2" t="str">
        <f t="shared" si="3"/>
        <v>Room 5</v>
      </c>
      <c r="E53" s="2" t="str">
        <f t="shared" si="4"/>
        <v>Room 3</v>
      </c>
      <c r="F53" s="2">
        <f t="shared" si="5"/>
        <v>1</v>
      </c>
      <c r="G53" s="2">
        <f t="shared" si="6"/>
        <v>0</v>
      </c>
    </row>
    <row r="54" spans="1:7">
      <c r="A54" s="2" t="str">
        <f>C12</f>
        <v xml:space="preserve">Shipping </v>
      </c>
      <c r="B54" s="2" t="str">
        <f t="shared" si="10"/>
        <v>Receiving</v>
      </c>
      <c r="C54" s="2">
        <f t="shared" si="2"/>
        <v>0</v>
      </c>
      <c r="D54" s="2" t="str">
        <f t="shared" si="3"/>
        <v>Room 5</v>
      </c>
      <c r="E54" s="2" t="str">
        <f t="shared" si="4"/>
        <v>Room 4</v>
      </c>
      <c r="F54" s="2">
        <f t="shared" si="5"/>
        <v>1</v>
      </c>
      <c r="G54" s="2">
        <f t="shared" si="6"/>
        <v>0</v>
      </c>
    </row>
    <row r="55" spans="1:7">
      <c r="A55" s="2" t="str">
        <f>C12</f>
        <v xml:space="preserve">Shipping </v>
      </c>
      <c r="B55" s="2" t="str">
        <f t="shared" si="10"/>
        <v xml:space="preserve">Shipping </v>
      </c>
      <c r="C55" s="2">
        <f t="shared" si="2"/>
        <v>0</v>
      </c>
      <c r="D55" s="2" t="str">
        <f t="shared" si="3"/>
        <v>Room 5</v>
      </c>
      <c r="E55" s="2" t="str">
        <f t="shared" si="4"/>
        <v>Room 5</v>
      </c>
      <c r="F55" s="2">
        <f t="shared" si="5"/>
        <v>0</v>
      </c>
      <c r="G55" s="2">
        <f t="shared" si="6"/>
        <v>0</v>
      </c>
    </row>
    <row r="56" spans="1:7">
      <c r="A56" s="2" t="str">
        <f>C12</f>
        <v xml:space="preserve">Shipping </v>
      </c>
      <c r="B56" s="2" t="str">
        <f t="shared" si="10"/>
        <v>Testing</v>
      </c>
      <c r="C56" s="2">
        <f t="shared" si="2"/>
        <v>0</v>
      </c>
      <c r="D56" s="2" t="str">
        <f t="shared" si="3"/>
        <v>Room 5</v>
      </c>
      <c r="E56" s="2" t="str">
        <f t="shared" si="4"/>
        <v>Room 6</v>
      </c>
      <c r="F56" s="2">
        <f t="shared" si="5"/>
        <v>1</v>
      </c>
      <c r="G56" s="2">
        <f t="shared" si="6"/>
        <v>0</v>
      </c>
    </row>
    <row r="57" spans="1:7">
      <c r="A57" s="2" t="str">
        <f>C13</f>
        <v>Testing</v>
      </c>
      <c r="B57" s="2" t="str">
        <f t="shared" ref="B57:B62" si="11">C8</f>
        <v>Assembly</v>
      </c>
      <c r="C57" s="2">
        <f t="shared" si="2"/>
        <v>0</v>
      </c>
      <c r="D57" s="2" t="str">
        <f t="shared" si="3"/>
        <v>Room 6</v>
      </c>
      <c r="E57" s="2" t="str">
        <f t="shared" si="4"/>
        <v>Room 1</v>
      </c>
      <c r="F57" s="2">
        <f t="shared" si="5"/>
        <v>1</v>
      </c>
      <c r="G57" s="2">
        <f t="shared" si="6"/>
        <v>0</v>
      </c>
    </row>
    <row r="58" spans="1:7">
      <c r="A58" s="2" t="str">
        <f>C13</f>
        <v>Testing</v>
      </c>
      <c r="B58" s="2" t="str">
        <f t="shared" si="11"/>
        <v>Painting</v>
      </c>
      <c r="C58" s="2">
        <f t="shared" si="2"/>
        <v>0</v>
      </c>
      <c r="D58" s="2" t="str">
        <f t="shared" si="3"/>
        <v>Room 6</v>
      </c>
      <c r="E58" s="2" t="str">
        <f t="shared" si="4"/>
        <v>Room 2</v>
      </c>
      <c r="F58" s="2">
        <f t="shared" si="5"/>
        <v>2</v>
      </c>
      <c r="G58" s="2">
        <f t="shared" si="6"/>
        <v>0</v>
      </c>
    </row>
    <row r="59" spans="1:7">
      <c r="A59" s="2" t="str">
        <f>C13</f>
        <v>Testing</v>
      </c>
      <c r="B59" s="2" t="str">
        <f t="shared" si="11"/>
        <v>Machine Shop</v>
      </c>
      <c r="C59" s="2">
        <f t="shared" si="2"/>
        <v>0</v>
      </c>
      <c r="D59" s="2" t="str">
        <f t="shared" si="3"/>
        <v>Room 6</v>
      </c>
      <c r="E59" s="2" t="str">
        <f t="shared" si="4"/>
        <v>Room 3</v>
      </c>
      <c r="F59" s="2">
        <f t="shared" si="5"/>
        <v>1</v>
      </c>
      <c r="G59" s="2">
        <f t="shared" si="6"/>
        <v>0</v>
      </c>
    </row>
    <row r="60" spans="1:7">
      <c r="A60" s="2" t="str">
        <f>C13</f>
        <v>Testing</v>
      </c>
      <c r="B60" s="2" t="str">
        <f t="shared" si="11"/>
        <v>Receiving</v>
      </c>
      <c r="C60" s="2">
        <f t="shared" si="2"/>
        <v>0</v>
      </c>
      <c r="D60" s="2" t="str">
        <f t="shared" si="3"/>
        <v>Room 6</v>
      </c>
      <c r="E60" s="2" t="str">
        <f t="shared" si="4"/>
        <v>Room 4</v>
      </c>
      <c r="F60" s="2">
        <f t="shared" si="5"/>
        <v>2</v>
      </c>
      <c r="G60" s="2">
        <f t="shared" si="6"/>
        <v>0</v>
      </c>
    </row>
    <row r="61" spans="1:7">
      <c r="A61" s="2" t="str">
        <f>C13</f>
        <v>Testing</v>
      </c>
      <c r="B61" s="2" t="str">
        <f t="shared" si="11"/>
        <v xml:space="preserve">Shipping </v>
      </c>
      <c r="C61" s="2">
        <f t="shared" si="2"/>
        <v>0</v>
      </c>
      <c r="D61" s="2" t="str">
        <f t="shared" si="3"/>
        <v>Room 6</v>
      </c>
      <c r="E61" s="2" t="str">
        <f t="shared" si="4"/>
        <v>Room 5</v>
      </c>
      <c r="F61" s="2">
        <f t="shared" si="5"/>
        <v>1</v>
      </c>
      <c r="G61" s="2">
        <f t="shared" si="6"/>
        <v>0</v>
      </c>
    </row>
    <row r="62" spans="1:7">
      <c r="A62" s="2" t="str">
        <f>C13</f>
        <v>Testing</v>
      </c>
      <c r="B62" s="2" t="str">
        <f t="shared" si="11"/>
        <v>Testing</v>
      </c>
      <c r="C62" s="2">
        <f t="shared" si="2"/>
        <v>0</v>
      </c>
      <c r="D62" s="2" t="str">
        <f t="shared" si="3"/>
        <v>Room 6</v>
      </c>
      <c r="E62" s="2" t="str">
        <f t="shared" si="4"/>
        <v>Room 6</v>
      </c>
      <c r="F62" s="2">
        <f t="shared" si="5"/>
        <v>0</v>
      </c>
      <c r="G62" s="2">
        <f t="shared" si="6"/>
        <v>0</v>
      </c>
    </row>
  </sheetData>
  <pageMargins left="0.75" right="0.75" top="1" bottom="1" header="0.5" footer="0.5"/>
  <drawing r:id="rId1"/>
  <legacyDrawing r:id="rId2"/>
  <mc:AlternateContent xmlns:mc="http://schemas.openxmlformats.org/markup-compatibility/2006">
    <mc:Choice Requires="x14">
      <controls>
        <mc:AlternateContent xmlns:mc="http://schemas.openxmlformats.org/markup-compatibility/2006">
          <mc:Choice Requires="x14">
            <control shapeId="49154" r:id="rId3" name="Button 2">
              <controlPr defaultSize="0" print="0" autoFill="0" autoPict="0" macro="[2]!layout_solve">
                <anchor moveWithCells="1" sizeWithCells="1">
                  <from>
                    <xdr:col>0</xdr:col>
                    <xdr:colOff>0</xdr:colOff>
                    <xdr:row>3</xdr:row>
                    <xdr:rowOff>88900</xdr:rowOff>
                  </from>
                  <to>
                    <xdr:col>0</xdr:col>
                    <xdr:colOff>609600</xdr:colOff>
                    <xdr:row>4</xdr:row>
                    <xdr:rowOff>127000</xdr:rowOff>
                  </to>
                </anchor>
              </controlPr>
            </control>
          </mc:Choice>
          <mc:Fallback/>
        </mc:AlternateContent>
        <mc:AlternateContent xmlns:mc="http://schemas.openxmlformats.org/markup-compatibility/2006">
          <mc:Choice Requires="x14">
            <control shapeId="49155" r:id="rId4" name="Button 3">
              <controlPr defaultSize="0" print="0" autoFill="0" autoPict="0" macro="[2]!setSymmetric">
                <anchor moveWithCells="1" sizeWithCells="1">
                  <from>
                    <xdr:col>1</xdr:col>
                    <xdr:colOff>127000</xdr:colOff>
                    <xdr:row>3</xdr:row>
                    <xdr:rowOff>88900</xdr:rowOff>
                  </from>
                  <to>
                    <xdr:col>2</xdr:col>
                    <xdr:colOff>520700</xdr:colOff>
                    <xdr:row>4</xdr:row>
                    <xdr:rowOff>127000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25"/>
  <sheetViews>
    <sheetView workbookViewId="0">
      <selection activeCell="O19" sqref="O19"/>
    </sheetView>
  </sheetViews>
  <sheetFormatPr baseColWidth="10" defaultRowHeight="15" x14ac:dyDescent="0"/>
  <cols>
    <col min="1" max="1" width="18.33203125" style="2" customWidth="1"/>
    <col min="2" max="3" width="10.83203125" style="2"/>
    <col min="4" max="4" width="12" style="2" bestFit="1" customWidth="1"/>
    <col min="5" max="16384" width="10.83203125" style="2"/>
  </cols>
  <sheetData>
    <row r="1" spans="1:11" ht="18">
      <c r="A1" s="39" t="s">
        <v>240</v>
      </c>
    </row>
    <row r="3" spans="1:11" ht="20">
      <c r="A3" s="88" t="s">
        <v>240</v>
      </c>
      <c r="B3" s="88"/>
      <c r="C3" s="88"/>
      <c r="D3" s="88"/>
      <c r="E3" s="88"/>
      <c r="F3" s="88"/>
      <c r="G3" s="88"/>
      <c r="H3" s="88"/>
    </row>
    <row r="4" spans="1:11">
      <c r="A4" s="1"/>
      <c r="B4" s="1"/>
    </row>
    <row r="7" spans="1:11" ht="16" thickBot="1"/>
    <row r="8" spans="1:11">
      <c r="G8" s="126" t="s">
        <v>300</v>
      </c>
      <c r="H8" s="127"/>
      <c r="I8" s="127"/>
      <c r="J8" s="127"/>
      <c r="K8" s="130"/>
    </row>
    <row r="9" spans="1:11">
      <c r="G9" s="507" t="s">
        <v>301</v>
      </c>
      <c r="H9" s="508"/>
      <c r="I9" s="508"/>
      <c r="J9" s="508"/>
      <c r="K9" s="509"/>
    </row>
    <row r="10" spans="1:11">
      <c r="F10" s="38">
        <f>E36</f>
        <v>6</v>
      </c>
      <c r="G10" s="125">
        <v>1</v>
      </c>
      <c r="H10" s="124">
        <v>2</v>
      </c>
      <c r="I10" s="124">
        <v>3</v>
      </c>
      <c r="J10" s="124">
        <v>4</v>
      </c>
      <c r="K10" s="131">
        <v>5</v>
      </c>
    </row>
    <row r="11" spans="1:11" ht="16" thickBot="1">
      <c r="A11" s="5" t="s">
        <v>1</v>
      </c>
      <c r="B11" s="15" t="str">
        <f>IF(SUM(C69:J76)&gt;0,"something is wrong with your task names","")</f>
        <v/>
      </c>
      <c r="F11" s="2" t="s">
        <v>302</v>
      </c>
      <c r="G11" s="128">
        <f t="dataTable" ref="G11:K11" dt2D="1" dtr="1" r1="C12" r2="A7"/>
        <v>6</v>
      </c>
      <c r="H11" s="129">
        <v>7</v>
      </c>
      <c r="I11" s="129">
        <v>6</v>
      </c>
      <c r="J11" s="129">
        <v>7</v>
      </c>
      <c r="K11" s="132">
        <v>6</v>
      </c>
    </row>
    <row r="12" spans="1:11">
      <c r="B12" s="8" t="s">
        <v>241</v>
      </c>
      <c r="C12" s="90">
        <v>1</v>
      </c>
      <c r="D12" s="110" t="str">
        <f>IF(OR(C12&lt;1,C12&gt;5),"Priority rule must be between 1 and 5","")</f>
        <v/>
      </c>
      <c r="G12" s="513" t="s">
        <v>241</v>
      </c>
      <c r="H12" s="514"/>
      <c r="I12" s="514"/>
      <c r="J12" s="514"/>
      <c r="K12" s="514"/>
    </row>
    <row r="13" spans="1:11">
      <c r="B13" s="10" t="s">
        <v>242</v>
      </c>
      <c r="C13" s="7">
        <v>12</v>
      </c>
      <c r="D13" s="25"/>
      <c r="G13" s="2">
        <v>1</v>
      </c>
      <c r="H13" s="2">
        <v>2</v>
      </c>
      <c r="I13" s="2">
        <v>3</v>
      </c>
      <c r="J13" s="2">
        <v>4</v>
      </c>
      <c r="K13" s="2">
        <v>5</v>
      </c>
    </row>
    <row r="14" spans="1:11" ht="45">
      <c r="A14" s="54" t="s">
        <v>243</v>
      </c>
      <c r="B14" s="111" t="s">
        <v>244</v>
      </c>
      <c r="C14" s="104" t="s">
        <v>245</v>
      </c>
      <c r="D14" s="112" t="s">
        <v>246</v>
      </c>
      <c r="E14" s="54"/>
      <c r="F14" s="54" t="s">
        <v>247</v>
      </c>
      <c r="G14" s="54" t="s">
        <v>248</v>
      </c>
      <c r="H14" s="54" t="s">
        <v>249</v>
      </c>
      <c r="I14" s="54" t="s">
        <v>250</v>
      </c>
      <c r="J14" s="54" t="s">
        <v>251</v>
      </c>
      <c r="K14" s="54" t="s">
        <v>252</v>
      </c>
    </row>
    <row r="15" spans="1:11">
      <c r="A15" s="69">
        <f t="shared" ref="A15:A23" si="0">INDEX($G$15:$K$24,F15,$C$12)-F15/10000</f>
        <v>9.9999000000000002</v>
      </c>
      <c r="B15" s="113" t="s">
        <v>253</v>
      </c>
      <c r="C15" s="7">
        <v>10</v>
      </c>
      <c r="D15" s="11"/>
      <c r="E15" s="41" t="str">
        <f>IF(B15&lt;&gt;TRIM(B15),"WARNING: There are blank characters in the activity name","")</f>
        <v/>
      </c>
      <c r="F15" s="69">
        <v>1</v>
      </c>
      <c r="G15" s="69">
        <f t="shared" ref="G15:G23" si="1">C15</f>
        <v>10</v>
      </c>
      <c r="H15" s="69">
        <f>L116</f>
        <v>9</v>
      </c>
      <c r="I15" s="69">
        <f>M116</f>
        <v>65</v>
      </c>
      <c r="J15" s="109">
        <f>1/G15</f>
        <v>0.1</v>
      </c>
      <c r="K15" s="109">
        <f>1/$H$15</f>
        <v>0.1111111111111111</v>
      </c>
    </row>
    <row r="16" spans="1:11">
      <c r="A16" s="69">
        <f t="shared" si="0"/>
        <v>10.9998</v>
      </c>
      <c r="B16" s="113" t="s">
        <v>254</v>
      </c>
      <c r="C16" s="7">
        <v>11</v>
      </c>
      <c r="D16" s="11" t="s">
        <v>253</v>
      </c>
      <c r="E16" s="41" t="str">
        <f t="shared" ref="E16:E23" si="2">IF(B16&lt;&gt;TRIM(B16),"WARNING: There are blank characters in the activity name","")</f>
        <v/>
      </c>
      <c r="F16" s="69">
        <v>2</v>
      </c>
      <c r="G16" s="69">
        <f t="shared" si="1"/>
        <v>11</v>
      </c>
      <c r="H16" s="69">
        <f t="shared" ref="H16:H23" si="3">L117</f>
        <v>6</v>
      </c>
      <c r="I16" s="69">
        <f t="shared" ref="I16:I23" si="4">M117</f>
        <v>33</v>
      </c>
      <c r="J16" s="109">
        <f t="shared" ref="J16:J23" si="5">1/G16</f>
        <v>9.0909090909090912E-2</v>
      </c>
      <c r="K16" s="109">
        <f>1/$H$16</f>
        <v>0.16666666666666666</v>
      </c>
    </row>
    <row r="17" spans="1:13">
      <c r="A17" s="69">
        <f t="shared" si="0"/>
        <v>4.9996999999999998</v>
      </c>
      <c r="B17" s="113" t="s">
        <v>255</v>
      </c>
      <c r="C17" s="7">
        <v>5</v>
      </c>
      <c r="D17" s="11" t="s">
        <v>254</v>
      </c>
      <c r="E17" s="41" t="str">
        <f t="shared" si="2"/>
        <v/>
      </c>
      <c r="F17" s="69">
        <v>3</v>
      </c>
      <c r="G17" s="69">
        <f t="shared" si="1"/>
        <v>5</v>
      </c>
      <c r="H17" s="69">
        <f t="shared" si="3"/>
        <v>4</v>
      </c>
      <c r="I17" s="69">
        <f t="shared" si="4"/>
        <v>18</v>
      </c>
      <c r="J17" s="109">
        <f t="shared" si="5"/>
        <v>0.2</v>
      </c>
      <c r="K17" s="109">
        <f>1/$H$17</f>
        <v>0.25</v>
      </c>
    </row>
    <row r="18" spans="1:13">
      <c r="A18" s="69">
        <f t="shared" si="0"/>
        <v>3.9996</v>
      </c>
      <c r="B18" s="113" t="s">
        <v>256</v>
      </c>
      <c r="C18" s="7">
        <v>4</v>
      </c>
      <c r="D18" s="11" t="s">
        <v>254</v>
      </c>
      <c r="E18" s="41" t="str">
        <f t="shared" si="2"/>
        <v/>
      </c>
      <c r="F18" s="69">
        <v>4</v>
      </c>
      <c r="G18" s="69">
        <f t="shared" si="1"/>
        <v>4</v>
      </c>
      <c r="H18" s="69">
        <f t="shared" si="3"/>
        <v>4</v>
      </c>
      <c r="I18" s="69">
        <f t="shared" si="4"/>
        <v>17</v>
      </c>
      <c r="J18" s="109">
        <f t="shared" si="5"/>
        <v>0.25</v>
      </c>
      <c r="K18" s="109">
        <f>1/$H$18</f>
        <v>0.25</v>
      </c>
    </row>
    <row r="19" spans="1:13">
      <c r="A19" s="69">
        <f t="shared" si="0"/>
        <v>10.999499999999999</v>
      </c>
      <c r="B19" s="113" t="s">
        <v>257</v>
      </c>
      <c r="C19" s="7">
        <v>11</v>
      </c>
      <c r="D19" s="11" t="s">
        <v>253</v>
      </c>
      <c r="E19" s="41" t="str">
        <f t="shared" si="2"/>
        <v/>
      </c>
      <c r="F19" s="69">
        <v>5</v>
      </c>
      <c r="G19" s="69">
        <f t="shared" si="1"/>
        <v>11</v>
      </c>
      <c r="H19" s="69">
        <f t="shared" si="3"/>
        <v>3</v>
      </c>
      <c r="I19" s="69">
        <f t="shared" si="4"/>
        <v>25</v>
      </c>
      <c r="J19" s="109">
        <f t="shared" si="5"/>
        <v>9.0909090909090912E-2</v>
      </c>
      <c r="K19" s="109">
        <f>1/$H$19</f>
        <v>0.33333333333333331</v>
      </c>
    </row>
    <row r="20" spans="1:13">
      <c r="A20" s="69">
        <f t="shared" si="0"/>
        <v>2.9994000000000001</v>
      </c>
      <c r="B20" s="113" t="s">
        <v>258</v>
      </c>
      <c r="C20" s="7">
        <v>3</v>
      </c>
      <c r="D20" s="11" t="s">
        <v>309</v>
      </c>
      <c r="E20" s="41" t="str">
        <f t="shared" si="2"/>
        <v/>
      </c>
      <c r="F20" s="69">
        <v>6</v>
      </c>
      <c r="G20" s="69">
        <f t="shared" si="1"/>
        <v>3</v>
      </c>
      <c r="H20" s="69">
        <f t="shared" si="3"/>
        <v>3</v>
      </c>
      <c r="I20" s="69">
        <f t="shared" si="4"/>
        <v>13</v>
      </c>
      <c r="J20" s="109">
        <f t="shared" si="5"/>
        <v>0.33333333333333331</v>
      </c>
      <c r="K20" s="109">
        <f>1/$H$20</f>
        <v>0.33333333333333331</v>
      </c>
    </row>
    <row r="21" spans="1:13">
      <c r="A21" s="69">
        <f t="shared" si="0"/>
        <v>6.9992999999999999</v>
      </c>
      <c r="B21" s="113" t="s">
        <v>303</v>
      </c>
      <c r="C21" s="7">
        <v>7</v>
      </c>
      <c r="D21" s="11" t="s">
        <v>258</v>
      </c>
      <c r="E21" s="41" t="str">
        <f t="shared" si="2"/>
        <v/>
      </c>
      <c r="F21" s="69">
        <v>7</v>
      </c>
      <c r="G21" s="69">
        <f t="shared" si="1"/>
        <v>7</v>
      </c>
      <c r="H21" s="69">
        <f t="shared" si="3"/>
        <v>2</v>
      </c>
      <c r="I21" s="69">
        <f t="shared" si="4"/>
        <v>10</v>
      </c>
      <c r="J21" s="109">
        <f t="shared" si="5"/>
        <v>0.14285714285714285</v>
      </c>
      <c r="K21" s="109">
        <f>1/$H$21</f>
        <v>0.5</v>
      </c>
    </row>
    <row r="22" spans="1:13">
      <c r="A22" s="69">
        <f t="shared" si="0"/>
        <v>10.9992</v>
      </c>
      <c r="B22" s="113" t="s">
        <v>304</v>
      </c>
      <c r="C22" s="7">
        <v>11</v>
      </c>
      <c r="D22" s="11" t="s">
        <v>257</v>
      </c>
      <c r="E22" s="41" t="str">
        <f t="shared" si="2"/>
        <v/>
      </c>
      <c r="F22" s="69">
        <v>8</v>
      </c>
      <c r="G22" s="69">
        <f t="shared" si="1"/>
        <v>11</v>
      </c>
      <c r="H22" s="69">
        <f t="shared" si="3"/>
        <v>2</v>
      </c>
      <c r="I22" s="69">
        <f t="shared" si="4"/>
        <v>14</v>
      </c>
      <c r="J22" s="109">
        <f t="shared" si="5"/>
        <v>9.0909090909090912E-2</v>
      </c>
      <c r="K22" s="109">
        <f>1/$H$22</f>
        <v>0.5</v>
      </c>
    </row>
    <row r="23" spans="1:13" ht="16" thickBot="1">
      <c r="A23" s="69">
        <f t="shared" si="0"/>
        <v>2.9990999999999999</v>
      </c>
      <c r="B23" s="114" t="s">
        <v>305</v>
      </c>
      <c r="C23" s="40">
        <v>3</v>
      </c>
      <c r="D23" s="13" t="s">
        <v>310</v>
      </c>
      <c r="E23" s="41" t="str">
        <f t="shared" si="2"/>
        <v/>
      </c>
      <c r="F23" s="69">
        <v>9</v>
      </c>
      <c r="G23" s="69">
        <f t="shared" si="1"/>
        <v>3</v>
      </c>
      <c r="H23" s="69">
        <f t="shared" si="3"/>
        <v>1</v>
      </c>
      <c r="I23" s="69">
        <f t="shared" si="4"/>
        <v>3</v>
      </c>
      <c r="J23" s="109">
        <f t="shared" si="5"/>
        <v>0.33333333333333331</v>
      </c>
      <c r="K23" s="109">
        <f>1/$H$23</f>
        <v>1</v>
      </c>
    </row>
    <row r="25" spans="1:13" ht="16" thickBot="1">
      <c r="A25" s="23" t="s">
        <v>259</v>
      </c>
    </row>
    <row r="26" spans="1:13">
      <c r="A26" s="515" t="s">
        <v>261</v>
      </c>
      <c r="B26" s="516"/>
      <c r="C26" s="116">
        <f>D61</f>
        <v>1</v>
      </c>
      <c r="D26" s="116">
        <f t="shared" ref="D26:K26" si="6">E61</f>
        <v>2</v>
      </c>
      <c r="E26" s="116">
        <f t="shared" si="6"/>
        <v>3</v>
      </c>
      <c r="F26" s="116">
        <f t="shared" si="6"/>
        <v>4</v>
      </c>
      <c r="G26" s="116">
        <f t="shared" si="6"/>
        <v>5</v>
      </c>
      <c r="H26" s="116">
        <f t="shared" si="6"/>
        <v>5</v>
      </c>
      <c r="I26" s="116">
        <f t="shared" si="6"/>
        <v>5</v>
      </c>
      <c r="J26" s="116">
        <f t="shared" si="6"/>
        <v>6</v>
      </c>
      <c r="K26" s="116">
        <f t="shared" si="6"/>
        <v>6</v>
      </c>
      <c r="L26" s="116" t="s">
        <v>198</v>
      </c>
      <c r="M26" s="117" t="s">
        <v>260</v>
      </c>
    </row>
    <row r="27" spans="1:13">
      <c r="A27" s="507" t="s">
        <v>262</v>
      </c>
      <c r="B27" s="517"/>
      <c r="C27" s="42" t="str">
        <f>D63</f>
        <v>A</v>
      </c>
      <c r="D27" s="42" t="str">
        <f t="shared" ref="D27:K27" si="7">E63</f>
        <v>B</v>
      </c>
      <c r="E27" s="42" t="str">
        <f t="shared" si="7"/>
        <v>E</v>
      </c>
      <c r="F27" s="42" t="str">
        <f t="shared" si="7"/>
        <v>H</v>
      </c>
      <c r="G27" s="42" t="str">
        <f t="shared" si="7"/>
        <v>C</v>
      </c>
      <c r="H27" s="42" t="str">
        <f t="shared" si="7"/>
        <v>D</v>
      </c>
      <c r="I27" s="42" t="str">
        <f t="shared" si="7"/>
        <v>F</v>
      </c>
      <c r="J27" s="42" t="str">
        <f t="shared" si="7"/>
        <v>G</v>
      </c>
      <c r="K27" s="42" t="str">
        <f t="shared" si="7"/>
        <v>I</v>
      </c>
      <c r="L27" s="42"/>
      <c r="M27" s="118"/>
    </row>
    <row r="28" spans="1:13">
      <c r="A28" s="507" t="s">
        <v>263</v>
      </c>
      <c r="B28" s="517"/>
      <c r="C28" s="42">
        <f>IF(C26&lt;&gt;D26,D65,"")</f>
        <v>2</v>
      </c>
      <c r="D28" s="42">
        <f t="shared" ref="D28:K28" si="8">IF(D26&lt;&gt;E26,E65,"")</f>
        <v>1</v>
      </c>
      <c r="E28" s="42">
        <f t="shared" si="8"/>
        <v>1</v>
      </c>
      <c r="F28" s="42">
        <f t="shared" si="8"/>
        <v>1</v>
      </c>
      <c r="G28" s="42" t="str">
        <f t="shared" si="8"/>
        <v/>
      </c>
      <c r="H28" s="42" t="str">
        <f t="shared" si="8"/>
        <v/>
      </c>
      <c r="I28" s="42">
        <f t="shared" si="8"/>
        <v>0</v>
      </c>
      <c r="J28" s="42" t="str">
        <f t="shared" si="8"/>
        <v/>
      </c>
      <c r="K28" s="42">
        <f t="shared" si="8"/>
        <v>2</v>
      </c>
      <c r="L28" s="42">
        <f>SUM(C28:K28)</f>
        <v>7</v>
      </c>
      <c r="M28" s="118">
        <f>MIN(C28:K28)</f>
        <v>0</v>
      </c>
    </row>
    <row r="29" spans="1:13" ht="16" thickBot="1">
      <c r="A29" s="518" t="s">
        <v>264</v>
      </c>
      <c r="B29" s="519"/>
      <c r="C29" s="119">
        <f>IF(C26&lt;&gt;D26,C28-MIN(C28:K28),"")</f>
        <v>2</v>
      </c>
      <c r="D29" s="119">
        <f t="shared" ref="D29:K29" si="9">IF(D26&lt;&gt;E26,D28-MIN(D28:L28),"")</f>
        <v>1</v>
      </c>
      <c r="E29" s="119">
        <f t="shared" si="9"/>
        <v>1</v>
      </c>
      <c r="F29" s="119">
        <f t="shared" si="9"/>
        <v>1</v>
      </c>
      <c r="G29" s="119" t="str">
        <f t="shared" si="9"/>
        <v/>
      </c>
      <c r="H29" s="119" t="str">
        <f t="shared" si="9"/>
        <v/>
      </c>
      <c r="I29" s="119">
        <f t="shared" si="9"/>
        <v>0</v>
      </c>
      <c r="J29" s="119" t="str">
        <f t="shared" si="9"/>
        <v/>
      </c>
      <c r="K29" s="119">
        <f t="shared" si="9"/>
        <v>2</v>
      </c>
      <c r="L29" s="119">
        <f>SUM(C29:K29)</f>
        <v>7</v>
      </c>
      <c r="M29" s="120">
        <f>MIN(C29:K29)</f>
        <v>0</v>
      </c>
    </row>
    <row r="31" spans="1:13" ht="16" thickBot="1">
      <c r="A31" s="23" t="s">
        <v>265</v>
      </c>
    </row>
    <row r="32" spans="1:13">
      <c r="A32" s="520" t="s">
        <v>242</v>
      </c>
      <c r="B32" s="521"/>
      <c r="C32" s="521"/>
      <c r="D32" s="522"/>
      <c r="E32" s="68">
        <f>C13</f>
        <v>12</v>
      </c>
    </row>
    <row r="33" spans="1:13">
      <c r="A33" s="510" t="s">
        <v>274</v>
      </c>
      <c r="B33" s="511"/>
      <c r="C33" s="511"/>
      <c r="D33" s="512"/>
      <c r="E33" s="35">
        <f>SUM(C15:C23)</f>
        <v>65</v>
      </c>
    </row>
    <row r="34" spans="1:13">
      <c r="A34" s="510" t="s">
        <v>266</v>
      </c>
      <c r="B34" s="511"/>
      <c r="C34" s="511"/>
      <c r="D34" s="512"/>
      <c r="E34" s="35">
        <f>CEILING(E33/E32,1)</f>
        <v>6</v>
      </c>
    </row>
    <row r="35" spans="1:13">
      <c r="A35" s="510" t="s">
        <v>267</v>
      </c>
      <c r="B35" s="511"/>
      <c r="C35" s="511"/>
      <c r="D35" s="512"/>
      <c r="E35" s="121">
        <f>E33/(E32*E34)</f>
        <v>0.90277777777777779</v>
      </c>
    </row>
    <row r="36" spans="1:13">
      <c r="A36" s="510" t="s">
        <v>268</v>
      </c>
      <c r="B36" s="511"/>
      <c r="C36" s="511"/>
      <c r="D36" s="512"/>
      <c r="E36" s="35">
        <f>MAX(C26:K26)</f>
        <v>6</v>
      </c>
    </row>
    <row r="37" spans="1:13">
      <c r="A37" s="510"/>
      <c r="B37" s="511"/>
      <c r="C37" s="511"/>
      <c r="D37" s="512"/>
      <c r="E37" s="35"/>
    </row>
    <row r="38" spans="1:13">
      <c r="A38" s="510" t="s">
        <v>269</v>
      </c>
      <c r="B38" s="511"/>
      <c r="C38" s="511"/>
      <c r="D38" s="512"/>
      <c r="E38" s="35">
        <f>E32-MIN(C28:K28)</f>
        <v>12</v>
      </c>
    </row>
    <row r="39" spans="1:13">
      <c r="A39" s="510" t="s">
        <v>270</v>
      </c>
      <c r="B39" s="511"/>
      <c r="C39" s="511"/>
      <c r="D39" s="512"/>
      <c r="E39" s="35">
        <f>E38*E36</f>
        <v>72</v>
      </c>
    </row>
    <row r="40" spans="1:13">
      <c r="A40" s="510" t="s">
        <v>271</v>
      </c>
      <c r="B40" s="511"/>
      <c r="C40" s="511"/>
      <c r="D40" s="512"/>
      <c r="E40" s="35">
        <f>E39-E33</f>
        <v>7</v>
      </c>
    </row>
    <row r="41" spans="1:13">
      <c r="A41" s="510" t="s">
        <v>272</v>
      </c>
      <c r="B41" s="511"/>
      <c r="C41" s="511"/>
      <c r="D41" s="512"/>
      <c r="E41" s="121">
        <f>E33/E39</f>
        <v>0.90277777777777779</v>
      </c>
    </row>
    <row r="42" spans="1:13" ht="16" thickBot="1">
      <c r="A42" s="523" t="s">
        <v>273</v>
      </c>
      <c r="B42" s="524"/>
      <c r="C42" s="524"/>
      <c r="D42" s="525"/>
      <c r="E42" s="122">
        <f>1-E41</f>
        <v>9.722222222222221E-2</v>
      </c>
    </row>
    <row r="44" spans="1:13">
      <c r="A44" s="2" t="s">
        <v>275</v>
      </c>
    </row>
    <row r="45" spans="1:13">
      <c r="C45" s="2" t="s">
        <v>276</v>
      </c>
    </row>
    <row r="46" spans="1:13">
      <c r="B46" s="2" t="s">
        <v>277</v>
      </c>
      <c r="D46" s="2" t="s">
        <v>278</v>
      </c>
      <c r="E46" s="2" t="s">
        <v>279</v>
      </c>
      <c r="F46" s="2" t="s">
        <v>280</v>
      </c>
      <c r="G46" s="2" t="s">
        <v>281</v>
      </c>
      <c r="H46" s="2" t="s">
        <v>282</v>
      </c>
      <c r="I46" s="2" t="s">
        <v>283</v>
      </c>
      <c r="J46" s="2" t="s">
        <v>306</v>
      </c>
      <c r="K46" s="2" t="s">
        <v>307</v>
      </c>
      <c r="L46" s="2" t="s">
        <v>308</v>
      </c>
    </row>
    <row r="47" spans="1:13">
      <c r="B47" s="2" t="str">
        <f t="shared" ref="B47:B55" si="10">B15</f>
        <v>A</v>
      </c>
      <c r="D47" s="2">
        <f t="array" ref="D47">SUM(IF(ISERR(SEARCH($B$47:$B$55,$D15)),0,1))</f>
        <v>0</v>
      </c>
      <c r="E47" s="2">
        <f>IF(ISERR(SEARCH(D$63,$D15&amp;$B15)),D47,D47-1)</f>
        <v>-1</v>
      </c>
      <c r="F47" s="2">
        <f t="shared" ref="F47:M47" si="11">IF(ISERR(SEARCH(E$63,$D15&amp;$B15)),E47,E47-1)</f>
        <v>-1</v>
      </c>
      <c r="G47" s="2">
        <f t="shared" si="11"/>
        <v>-1</v>
      </c>
      <c r="H47" s="2">
        <f t="shared" si="11"/>
        <v>-1</v>
      </c>
      <c r="I47" s="2">
        <f t="shared" si="11"/>
        <v>-1</v>
      </c>
      <c r="J47" s="2">
        <f t="shared" si="11"/>
        <v>-1</v>
      </c>
      <c r="K47" s="2">
        <f t="shared" si="11"/>
        <v>-1</v>
      </c>
      <c r="L47" s="2">
        <f t="shared" si="11"/>
        <v>-1</v>
      </c>
      <c r="M47" s="2">
        <f t="shared" si="11"/>
        <v>-1</v>
      </c>
    </row>
    <row r="48" spans="1:13">
      <c r="B48" s="2" t="str">
        <f t="shared" si="10"/>
        <v>B</v>
      </c>
      <c r="D48" s="2">
        <f t="array" ref="D48">SUM(IF(ISERR(SEARCH($B$47:$B$55,$D16)),0,1))</f>
        <v>1</v>
      </c>
      <c r="E48" s="2">
        <f t="shared" ref="E48:M48" si="12">IF(ISERR(SEARCH(D$63,$D16&amp;$B16)),D48,D48-1)</f>
        <v>0</v>
      </c>
      <c r="F48" s="2">
        <f t="shared" si="12"/>
        <v>-1</v>
      </c>
      <c r="G48" s="2">
        <f t="shared" si="12"/>
        <v>-1</v>
      </c>
      <c r="H48" s="2">
        <f t="shared" si="12"/>
        <v>-1</v>
      </c>
      <c r="I48" s="2">
        <f t="shared" si="12"/>
        <v>-1</v>
      </c>
      <c r="J48" s="2">
        <f t="shared" si="12"/>
        <v>-1</v>
      </c>
      <c r="K48" s="2">
        <f t="shared" si="12"/>
        <v>-1</v>
      </c>
      <c r="L48" s="2">
        <f t="shared" si="12"/>
        <v>-1</v>
      </c>
      <c r="M48" s="2">
        <f t="shared" si="12"/>
        <v>-1</v>
      </c>
    </row>
    <row r="49" spans="1:13">
      <c r="B49" s="2" t="str">
        <f t="shared" si="10"/>
        <v>C</v>
      </c>
      <c r="D49" s="2">
        <f t="array" ref="D49">SUM(IF(ISERR(SEARCH($B$47:$B$55,$D17)),0,1))</f>
        <v>1</v>
      </c>
      <c r="E49" s="2">
        <f t="shared" ref="E49:M49" si="13">IF(ISERR(SEARCH(D$63,$D17&amp;$B17)),D49,D49-1)</f>
        <v>1</v>
      </c>
      <c r="F49" s="2">
        <f t="shared" si="13"/>
        <v>0</v>
      </c>
      <c r="G49" s="2">
        <f t="shared" si="13"/>
        <v>0</v>
      </c>
      <c r="H49" s="2">
        <f t="shared" si="13"/>
        <v>0</v>
      </c>
      <c r="I49" s="2">
        <f t="shared" si="13"/>
        <v>-1</v>
      </c>
      <c r="J49" s="2">
        <f t="shared" si="13"/>
        <v>-1</v>
      </c>
      <c r="K49" s="2">
        <f t="shared" si="13"/>
        <v>-1</v>
      </c>
      <c r="L49" s="2">
        <f t="shared" si="13"/>
        <v>-1</v>
      </c>
      <c r="M49" s="2">
        <f t="shared" si="13"/>
        <v>-1</v>
      </c>
    </row>
    <row r="50" spans="1:13">
      <c r="B50" s="2" t="str">
        <f t="shared" si="10"/>
        <v>D</v>
      </c>
      <c r="D50" s="2">
        <f t="array" ref="D50">SUM(IF(ISERR(SEARCH($B$47:$B$55,$D18)),0,1))</f>
        <v>1</v>
      </c>
      <c r="E50" s="2">
        <f t="shared" ref="E50:M50" si="14">IF(ISERR(SEARCH(D$63,$D18&amp;$B18)),D50,D50-1)</f>
        <v>1</v>
      </c>
      <c r="F50" s="2">
        <f t="shared" si="14"/>
        <v>0</v>
      </c>
      <c r="G50" s="2">
        <f t="shared" si="14"/>
        <v>0</v>
      </c>
      <c r="H50" s="2">
        <f t="shared" si="14"/>
        <v>0</v>
      </c>
      <c r="I50" s="2">
        <f t="shared" si="14"/>
        <v>0</v>
      </c>
      <c r="J50" s="2">
        <f t="shared" si="14"/>
        <v>-1</v>
      </c>
      <c r="K50" s="2">
        <f t="shared" si="14"/>
        <v>-1</v>
      </c>
      <c r="L50" s="2">
        <f t="shared" si="14"/>
        <v>-1</v>
      </c>
      <c r="M50" s="2">
        <f t="shared" si="14"/>
        <v>-1</v>
      </c>
    </row>
    <row r="51" spans="1:13">
      <c r="B51" s="2" t="str">
        <f t="shared" si="10"/>
        <v>E</v>
      </c>
      <c r="D51" s="2">
        <f t="array" ref="D51">SUM(IF(ISERR(SEARCH($B$47:$B$55,$D19)),0,1))</f>
        <v>1</v>
      </c>
      <c r="E51" s="2">
        <f t="shared" ref="E51:M51" si="15">IF(ISERR(SEARCH(D$63,$D19&amp;$B19)),D51,D51-1)</f>
        <v>0</v>
      </c>
      <c r="F51" s="2">
        <f t="shared" si="15"/>
        <v>0</v>
      </c>
      <c r="G51" s="2">
        <f t="shared" si="15"/>
        <v>-1</v>
      </c>
      <c r="H51" s="2">
        <f t="shared" si="15"/>
        <v>-1</v>
      </c>
      <c r="I51" s="2">
        <f t="shared" si="15"/>
        <v>-1</v>
      </c>
      <c r="J51" s="2">
        <f t="shared" si="15"/>
        <v>-1</v>
      </c>
      <c r="K51" s="2">
        <f t="shared" si="15"/>
        <v>-1</v>
      </c>
      <c r="L51" s="2">
        <f t="shared" si="15"/>
        <v>-1</v>
      </c>
      <c r="M51" s="2">
        <f t="shared" si="15"/>
        <v>-1</v>
      </c>
    </row>
    <row r="52" spans="1:13">
      <c r="B52" s="2" t="str">
        <f t="shared" si="10"/>
        <v>F</v>
      </c>
      <c r="D52" s="2">
        <f t="array" ref="D52">SUM(IF(ISERR(SEARCH($B$47:$B$55,$D20)),0,1))</f>
        <v>2</v>
      </c>
      <c r="E52" s="2">
        <f t="shared" ref="E52:M52" si="16">IF(ISERR(SEARCH(D$63,$D20&amp;$B20)),D52,D52-1)</f>
        <v>2</v>
      </c>
      <c r="F52" s="2">
        <f t="shared" si="16"/>
        <v>2</v>
      </c>
      <c r="G52" s="2">
        <f t="shared" si="16"/>
        <v>2</v>
      </c>
      <c r="H52" s="2">
        <f t="shared" si="16"/>
        <v>2</v>
      </c>
      <c r="I52" s="2">
        <f t="shared" si="16"/>
        <v>1</v>
      </c>
      <c r="J52" s="2">
        <f t="shared" si="16"/>
        <v>0</v>
      </c>
      <c r="K52" s="2">
        <f t="shared" si="16"/>
        <v>-1</v>
      </c>
      <c r="L52" s="2">
        <f t="shared" si="16"/>
        <v>-1</v>
      </c>
      <c r="M52" s="2">
        <f t="shared" si="16"/>
        <v>-1</v>
      </c>
    </row>
    <row r="53" spans="1:13">
      <c r="B53" s="2" t="str">
        <f t="shared" si="10"/>
        <v>G</v>
      </c>
      <c r="D53" s="2">
        <f t="array" ref="D53">SUM(IF(ISERR(SEARCH($B$47:$B$55,$D21)),0,1))</f>
        <v>1</v>
      </c>
      <c r="E53" s="2">
        <f t="shared" ref="E53:M53" si="17">IF(ISERR(SEARCH(D$63,$D21&amp;$B21)),D53,D53-1)</f>
        <v>1</v>
      </c>
      <c r="F53" s="2">
        <f t="shared" si="17"/>
        <v>1</v>
      </c>
      <c r="G53" s="2">
        <f t="shared" si="17"/>
        <v>1</v>
      </c>
      <c r="H53" s="2">
        <f t="shared" si="17"/>
        <v>1</v>
      </c>
      <c r="I53" s="2">
        <f t="shared" si="17"/>
        <v>1</v>
      </c>
      <c r="J53" s="2">
        <f t="shared" si="17"/>
        <v>1</v>
      </c>
      <c r="K53" s="2">
        <f t="shared" si="17"/>
        <v>0</v>
      </c>
      <c r="L53" s="2">
        <f t="shared" si="17"/>
        <v>-1</v>
      </c>
      <c r="M53" s="2">
        <f t="shared" si="17"/>
        <v>-1</v>
      </c>
    </row>
    <row r="54" spans="1:13">
      <c r="B54" s="2" t="str">
        <f t="shared" si="10"/>
        <v>H</v>
      </c>
      <c r="D54" s="2">
        <f t="array" ref="D54">SUM(IF(ISERR(SEARCH($B$47:$B$55,$D22)),0,1))</f>
        <v>1</v>
      </c>
      <c r="E54" s="2">
        <f t="shared" ref="E54:M54" si="18">IF(ISERR(SEARCH(D$63,$D22&amp;$B22)),D54,D54-1)</f>
        <v>1</v>
      </c>
      <c r="F54" s="2">
        <f t="shared" si="18"/>
        <v>1</v>
      </c>
      <c r="G54" s="2">
        <f t="shared" si="18"/>
        <v>0</v>
      </c>
      <c r="H54" s="2">
        <f t="shared" si="18"/>
        <v>-1</v>
      </c>
      <c r="I54" s="2">
        <f t="shared" si="18"/>
        <v>-1</v>
      </c>
      <c r="J54" s="2">
        <f t="shared" si="18"/>
        <v>-1</v>
      </c>
      <c r="K54" s="2">
        <f t="shared" si="18"/>
        <v>-1</v>
      </c>
      <c r="L54" s="2">
        <f t="shared" si="18"/>
        <v>-1</v>
      </c>
      <c r="M54" s="2">
        <f t="shared" si="18"/>
        <v>-1</v>
      </c>
    </row>
    <row r="55" spans="1:13">
      <c r="B55" s="2" t="str">
        <f t="shared" si="10"/>
        <v>I</v>
      </c>
      <c r="D55" s="2">
        <f t="array" ref="D55">SUM(IF(ISERR(SEARCH($B$47:$B$55,$D23)),0,1))</f>
        <v>2</v>
      </c>
      <c r="E55" s="2">
        <f t="shared" ref="E55:M55" si="19">IF(ISERR(SEARCH(D$63,$D23&amp;$B23)),D55,D55-1)</f>
        <v>2</v>
      </c>
      <c r="F55" s="2">
        <f t="shared" si="19"/>
        <v>2</v>
      </c>
      <c r="G55" s="2">
        <f t="shared" si="19"/>
        <v>2</v>
      </c>
      <c r="H55" s="2">
        <f t="shared" si="19"/>
        <v>1</v>
      </c>
      <c r="I55" s="2">
        <f t="shared" si="19"/>
        <v>1</v>
      </c>
      <c r="J55" s="2">
        <f t="shared" si="19"/>
        <v>1</v>
      </c>
      <c r="K55" s="2">
        <f t="shared" si="19"/>
        <v>1</v>
      </c>
      <c r="L55" s="2">
        <f t="shared" si="19"/>
        <v>0</v>
      </c>
      <c r="M55" s="2">
        <f t="shared" si="19"/>
        <v>-1</v>
      </c>
    </row>
    <row r="57" spans="1:13">
      <c r="A57" s="2" t="s">
        <v>284</v>
      </c>
    </row>
    <row r="58" spans="1:13">
      <c r="A58" s="2" t="s">
        <v>285</v>
      </c>
      <c r="D58" s="2">
        <f>C13</f>
        <v>12</v>
      </c>
      <c r="E58" s="2">
        <f>D60-D64</f>
        <v>2</v>
      </c>
      <c r="F58" s="2">
        <f t="shared" ref="F58:L58" si="20">E60-E64</f>
        <v>1</v>
      </c>
      <c r="G58" s="2">
        <f t="shared" si="20"/>
        <v>1</v>
      </c>
      <c r="H58" s="2">
        <f t="shared" si="20"/>
        <v>1</v>
      </c>
      <c r="I58" s="2">
        <f t="shared" si="20"/>
        <v>7</v>
      </c>
      <c r="J58" s="2">
        <f t="shared" si="20"/>
        <v>3</v>
      </c>
      <c r="K58" s="2">
        <f t="shared" si="20"/>
        <v>0</v>
      </c>
      <c r="L58" s="2">
        <f t="shared" si="20"/>
        <v>5</v>
      </c>
    </row>
    <row r="59" spans="1:13">
      <c r="A59" s="2" t="s">
        <v>286</v>
      </c>
      <c r="D59" s="2">
        <f t="array" ref="D59">SUM(IF($C$15:$C$23&lt;=D58,1,0)*IF(D47:D55=0,1,0))</f>
        <v>1</v>
      </c>
      <c r="E59" s="2">
        <f t="array" ref="E59">SUM(IF($C$15:$C$23&lt;=E58,1,0)*IF(E47:E55=0,1,0))</f>
        <v>0</v>
      </c>
      <c r="F59" s="2">
        <f t="array" ref="F59">SUM(IF($C$15:$C$23&lt;=F58,1,0)*IF(F47:F55=0,1,0))</f>
        <v>0</v>
      </c>
      <c r="G59" s="2">
        <f t="array" ref="G59">SUM(IF($C$15:$C$23&lt;=G58,1,0)*IF(G47:G55=0,1,0))</f>
        <v>0</v>
      </c>
      <c r="H59" s="2">
        <f t="array" ref="H59">SUM(IF($C$15:$C$23&lt;=H58,1,0)*IF(H47:H55=0,1,0))</f>
        <v>0</v>
      </c>
      <c r="I59" s="2">
        <f t="array" ref="I59">SUM(IF($C$15:$C$23&lt;=I58,1,0)*IF(I47:I55=0,1,0))</f>
        <v>1</v>
      </c>
      <c r="J59" s="2">
        <f t="array" ref="J59">SUM(IF($C$15:$C$23&lt;=J58,1,0)*IF(J47:J55=0,1,0))</f>
        <v>1</v>
      </c>
      <c r="K59" s="2">
        <f t="array" ref="K59">SUM(IF($C$15:$C$23&lt;=K58,1,0)*IF(K47:K55=0,1,0))</f>
        <v>0</v>
      </c>
      <c r="L59" s="2">
        <f t="array" ref="L59">SUM(IF($C$15:$C$23&lt;=L58,1,0)*IF(L47:L55=0,1,0))</f>
        <v>1</v>
      </c>
    </row>
    <row r="60" spans="1:13">
      <c r="A60" s="2" t="s">
        <v>287</v>
      </c>
      <c r="D60" s="2">
        <f>IF(D59&gt;=1,D58,$C$13)</f>
        <v>12</v>
      </c>
      <c r="E60" s="2">
        <f t="shared" ref="E60:L60" si="21">IF(E59&gt;=1,E58,$C$13)</f>
        <v>12</v>
      </c>
      <c r="F60" s="2">
        <f t="shared" si="21"/>
        <v>12</v>
      </c>
      <c r="G60" s="2">
        <f t="shared" si="21"/>
        <v>12</v>
      </c>
      <c r="H60" s="2">
        <f t="shared" si="21"/>
        <v>12</v>
      </c>
      <c r="I60" s="2">
        <f t="shared" si="21"/>
        <v>7</v>
      </c>
      <c r="J60" s="2">
        <f t="shared" si="21"/>
        <v>3</v>
      </c>
      <c r="K60" s="2">
        <f t="shared" si="21"/>
        <v>12</v>
      </c>
      <c r="L60" s="2">
        <f t="shared" si="21"/>
        <v>5</v>
      </c>
    </row>
    <row r="61" spans="1:13">
      <c r="A61" s="2" t="s">
        <v>288</v>
      </c>
      <c r="D61" s="2">
        <v>1</v>
      </c>
      <c r="E61" s="2">
        <f>IF(E59&gt;=1,D61,D61+1)</f>
        <v>2</v>
      </c>
      <c r="F61" s="2">
        <f t="shared" ref="F61:L61" si="22">IF(F59&gt;=1,E61,E61+1)</f>
        <v>3</v>
      </c>
      <c r="G61" s="2">
        <f t="shared" si="22"/>
        <v>4</v>
      </c>
      <c r="H61" s="2">
        <f t="shared" si="22"/>
        <v>5</v>
      </c>
      <c r="I61" s="2">
        <f t="shared" si="22"/>
        <v>5</v>
      </c>
      <c r="J61" s="2">
        <f t="shared" si="22"/>
        <v>5</v>
      </c>
      <c r="K61" s="2">
        <f t="shared" si="22"/>
        <v>6</v>
      </c>
      <c r="L61" s="2">
        <f t="shared" si="22"/>
        <v>6</v>
      </c>
    </row>
    <row r="62" spans="1:13">
      <c r="A62" s="2" t="s">
        <v>289</v>
      </c>
      <c r="D62" s="2">
        <f t="array" ref="D62">MAX(IF($C$15:$C$23&lt;=D60,1,0)*IF(D47:D55=0,$A$15:$A$23,0))</f>
        <v>9.9999000000000002</v>
      </c>
      <c r="E62" s="2">
        <f t="array" ref="E62">MAX(IF($C$15:$C$23&lt;=E60,1,0)*IF(E47:E55=0,$A$15:$A$23,0))</f>
        <v>10.9998</v>
      </c>
      <c r="F62" s="2">
        <f t="array" ref="F62">MAX(IF($C$15:$C$23&lt;=F60,1,0)*IF(F47:F55=0,$A$15:$A$23,0))</f>
        <v>10.999499999999999</v>
      </c>
      <c r="G62" s="2">
        <f t="array" ref="G62">MAX(IF($C$15:$C$23&lt;=G60,1,0)*IF(G47:G55=0,$A$15:$A$23,0))</f>
        <v>10.9992</v>
      </c>
      <c r="H62" s="2">
        <f t="array" ref="H62">MAX(IF($C$15:$C$23&lt;=H60,1,0)*IF(H47:H55=0,$A$15:$A$23,0))</f>
        <v>4.9996999999999998</v>
      </c>
      <c r="I62" s="2">
        <f t="array" ref="I62">MAX(IF($C$15:$C$23&lt;=I60,1,0)*IF(I47:I55=0,$A$15:$A$23,0))</f>
        <v>3.9996</v>
      </c>
      <c r="J62" s="2">
        <f t="array" ref="J62">MAX(IF($C$15:$C$23&lt;=J60,1,0)*IF(J47:J55=0,$A$15:$A$23,0))</f>
        <v>2.9994000000000001</v>
      </c>
      <c r="K62" s="2">
        <f t="array" ref="K62">MAX(IF($C$15:$C$23&lt;=K60,1,0)*IF(K47:K55=0,$A$15:$A$23,0))</f>
        <v>6.9992999999999999</v>
      </c>
      <c r="L62" s="2">
        <f t="array" ref="L62">MAX(IF($C$15:$C$23&lt;=L60,1,0)*IF(L47:L55=0,$A$15:$A$23,0))</f>
        <v>2.9990999999999999</v>
      </c>
    </row>
    <row r="63" spans="1:13">
      <c r="A63" s="2" t="s">
        <v>290</v>
      </c>
      <c r="D63" s="2" t="str">
        <f>VLOOKUP(D62,$A$15:$B$23,2,FALSE)</f>
        <v>A</v>
      </c>
      <c r="E63" s="2" t="str">
        <f t="shared" ref="E63:L63" si="23">VLOOKUP(E62,$A$15:$B$23,2,FALSE)</f>
        <v>B</v>
      </c>
      <c r="F63" s="2" t="str">
        <f t="shared" si="23"/>
        <v>E</v>
      </c>
      <c r="G63" s="2" t="str">
        <f t="shared" si="23"/>
        <v>H</v>
      </c>
      <c r="H63" s="2" t="str">
        <f t="shared" si="23"/>
        <v>C</v>
      </c>
      <c r="I63" s="2" t="str">
        <f t="shared" si="23"/>
        <v>D</v>
      </c>
      <c r="J63" s="2" t="str">
        <f t="shared" si="23"/>
        <v>F</v>
      </c>
      <c r="K63" s="2" t="str">
        <f t="shared" si="23"/>
        <v>G</v>
      </c>
      <c r="L63" s="2" t="str">
        <f t="shared" si="23"/>
        <v>I</v>
      </c>
    </row>
    <row r="64" spans="1:13">
      <c r="A64" s="2" t="s">
        <v>291</v>
      </c>
      <c r="D64" s="2">
        <f>VLOOKUP(D62,$A$15:$C$23,3,FALSE)</f>
        <v>10</v>
      </c>
      <c r="E64" s="2">
        <f t="shared" ref="E64:L64" si="24">VLOOKUP(E62,$A$15:$C$23,3,FALSE)</f>
        <v>11</v>
      </c>
      <c r="F64" s="2">
        <f t="shared" si="24"/>
        <v>11</v>
      </c>
      <c r="G64" s="2">
        <f t="shared" si="24"/>
        <v>11</v>
      </c>
      <c r="H64" s="2">
        <f t="shared" si="24"/>
        <v>5</v>
      </c>
      <c r="I64" s="2">
        <f t="shared" si="24"/>
        <v>4</v>
      </c>
      <c r="J64" s="2">
        <f t="shared" si="24"/>
        <v>3</v>
      </c>
      <c r="K64" s="2">
        <f t="shared" si="24"/>
        <v>7</v>
      </c>
      <c r="L64" s="2">
        <f t="shared" si="24"/>
        <v>3</v>
      </c>
    </row>
    <row r="65" spans="1:12">
      <c r="A65" s="2" t="s">
        <v>292</v>
      </c>
      <c r="D65" s="2">
        <f>D60-D64</f>
        <v>2</v>
      </c>
      <c r="E65" s="2">
        <f t="shared" ref="E65:L65" si="25">E60-E64</f>
        <v>1</v>
      </c>
      <c r="F65" s="2">
        <f t="shared" si="25"/>
        <v>1</v>
      </c>
      <c r="G65" s="2">
        <f t="shared" si="25"/>
        <v>1</v>
      </c>
      <c r="H65" s="2">
        <f t="shared" si="25"/>
        <v>7</v>
      </c>
      <c r="I65" s="2">
        <f t="shared" si="25"/>
        <v>3</v>
      </c>
      <c r="J65" s="2">
        <f t="shared" si="25"/>
        <v>0</v>
      </c>
      <c r="K65" s="2">
        <f t="shared" si="25"/>
        <v>5</v>
      </c>
      <c r="L65" s="2">
        <f t="shared" si="25"/>
        <v>2</v>
      </c>
    </row>
    <row r="67" spans="1:12">
      <c r="A67" s="2" t="s">
        <v>293</v>
      </c>
      <c r="B67" s="2" t="s">
        <v>294</v>
      </c>
    </row>
    <row r="68" spans="1:12">
      <c r="C68" s="2" t="str">
        <f>B15</f>
        <v>A</v>
      </c>
      <c r="D68" s="2" t="str">
        <f>B16</f>
        <v>B</v>
      </c>
      <c r="E68" s="2" t="str">
        <f>B17</f>
        <v>C</v>
      </c>
      <c r="F68" s="2" t="str">
        <f>B18</f>
        <v>D</v>
      </c>
      <c r="G68" s="2" t="str">
        <f>B19</f>
        <v>E</v>
      </c>
      <c r="H68" s="2" t="str">
        <f>B20</f>
        <v>F</v>
      </c>
      <c r="I68" s="2" t="str">
        <f>B21</f>
        <v>G</v>
      </c>
      <c r="J68" s="2" t="str">
        <f>B22</f>
        <v>H</v>
      </c>
      <c r="K68" s="2" t="str">
        <f>B23</f>
        <v>I</v>
      </c>
    </row>
    <row r="69" spans="1:12">
      <c r="B69" s="2" t="str">
        <f t="shared" ref="B69:B77" si="26">B15</f>
        <v>A</v>
      </c>
      <c r="D69" s="2">
        <f t="shared" ref="D69:K77" si="27">IF(ISERR(SEARCH($B69,D$68)),0,1)</f>
        <v>0</v>
      </c>
      <c r="E69" s="2">
        <f t="shared" si="27"/>
        <v>0</v>
      </c>
      <c r="F69" s="2">
        <f t="shared" si="27"/>
        <v>0</v>
      </c>
      <c r="G69" s="2">
        <f t="shared" si="27"/>
        <v>0</v>
      </c>
      <c r="H69" s="2">
        <f t="shared" si="27"/>
        <v>0</v>
      </c>
      <c r="I69" s="2">
        <f t="shared" si="27"/>
        <v>0</v>
      </c>
      <c r="J69" s="2">
        <f t="shared" si="27"/>
        <v>0</v>
      </c>
      <c r="K69" s="2">
        <f t="shared" si="27"/>
        <v>0</v>
      </c>
    </row>
    <row r="70" spans="1:12">
      <c r="B70" s="2" t="str">
        <f t="shared" si="26"/>
        <v>B</v>
      </c>
      <c r="C70" s="2">
        <f t="shared" ref="C70:C77" si="28">IF(ISERR(SEARCH($B70,C$68)),0,1)</f>
        <v>0</v>
      </c>
      <c r="E70" s="2">
        <f t="shared" si="27"/>
        <v>0</v>
      </c>
      <c r="F70" s="2">
        <f t="shared" si="27"/>
        <v>0</v>
      </c>
      <c r="G70" s="2">
        <f t="shared" si="27"/>
        <v>0</v>
      </c>
      <c r="H70" s="2">
        <f t="shared" si="27"/>
        <v>0</v>
      </c>
      <c r="I70" s="2">
        <f t="shared" si="27"/>
        <v>0</v>
      </c>
      <c r="J70" s="2">
        <f t="shared" si="27"/>
        <v>0</v>
      </c>
      <c r="K70" s="2">
        <f t="shared" si="27"/>
        <v>0</v>
      </c>
    </row>
    <row r="71" spans="1:12">
      <c r="B71" s="2" t="str">
        <f t="shared" si="26"/>
        <v>C</v>
      </c>
      <c r="C71" s="2">
        <f t="shared" si="28"/>
        <v>0</v>
      </c>
      <c r="D71" s="2">
        <f t="shared" si="27"/>
        <v>0</v>
      </c>
      <c r="F71" s="2">
        <f t="shared" si="27"/>
        <v>0</v>
      </c>
      <c r="G71" s="2">
        <f t="shared" si="27"/>
        <v>0</v>
      </c>
      <c r="H71" s="2">
        <f t="shared" si="27"/>
        <v>0</v>
      </c>
      <c r="I71" s="2">
        <f t="shared" si="27"/>
        <v>0</v>
      </c>
      <c r="J71" s="2">
        <f t="shared" si="27"/>
        <v>0</v>
      </c>
      <c r="K71" s="2">
        <f t="shared" si="27"/>
        <v>0</v>
      </c>
    </row>
    <row r="72" spans="1:12">
      <c r="B72" s="2" t="str">
        <f t="shared" si="26"/>
        <v>D</v>
      </c>
      <c r="C72" s="2">
        <f t="shared" si="28"/>
        <v>0</v>
      </c>
      <c r="D72" s="2">
        <f t="shared" si="27"/>
        <v>0</v>
      </c>
      <c r="E72" s="2">
        <f t="shared" si="27"/>
        <v>0</v>
      </c>
      <c r="G72" s="2">
        <f t="shared" si="27"/>
        <v>0</v>
      </c>
      <c r="H72" s="2">
        <f t="shared" si="27"/>
        <v>0</v>
      </c>
      <c r="I72" s="2">
        <f t="shared" si="27"/>
        <v>0</v>
      </c>
      <c r="J72" s="2">
        <f t="shared" si="27"/>
        <v>0</v>
      </c>
      <c r="K72" s="2">
        <f t="shared" si="27"/>
        <v>0</v>
      </c>
    </row>
    <row r="73" spans="1:12">
      <c r="B73" s="2" t="str">
        <f t="shared" si="26"/>
        <v>E</v>
      </c>
      <c r="C73" s="2">
        <f t="shared" si="28"/>
        <v>0</v>
      </c>
      <c r="D73" s="2">
        <f t="shared" si="27"/>
        <v>0</v>
      </c>
      <c r="E73" s="2">
        <f t="shared" si="27"/>
        <v>0</v>
      </c>
      <c r="F73" s="2">
        <f t="shared" si="27"/>
        <v>0</v>
      </c>
      <c r="H73" s="2">
        <f t="shared" si="27"/>
        <v>0</v>
      </c>
      <c r="I73" s="2">
        <f t="shared" si="27"/>
        <v>0</v>
      </c>
      <c r="J73" s="2">
        <f t="shared" si="27"/>
        <v>0</v>
      </c>
      <c r="K73" s="2">
        <f t="shared" si="27"/>
        <v>0</v>
      </c>
    </row>
    <row r="74" spans="1:12">
      <c r="B74" s="2" t="str">
        <f t="shared" si="26"/>
        <v>F</v>
      </c>
      <c r="C74" s="2">
        <f t="shared" si="28"/>
        <v>0</v>
      </c>
      <c r="D74" s="2">
        <f t="shared" si="27"/>
        <v>0</v>
      </c>
      <c r="E74" s="2">
        <f t="shared" si="27"/>
        <v>0</v>
      </c>
      <c r="F74" s="2">
        <f t="shared" si="27"/>
        <v>0</v>
      </c>
      <c r="G74" s="2">
        <f t="shared" si="27"/>
        <v>0</v>
      </c>
      <c r="I74" s="2">
        <f t="shared" si="27"/>
        <v>0</v>
      </c>
      <c r="J74" s="2">
        <f t="shared" si="27"/>
        <v>0</v>
      </c>
      <c r="K74" s="2">
        <f t="shared" si="27"/>
        <v>0</v>
      </c>
    </row>
    <row r="75" spans="1:12">
      <c r="B75" s="2" t="str">
        <f t="shared" si="26"/>
        <v>G</v>
      </c>
      <c r="C75" s="2">
        <f t="shared" si="28"/>
        <v>0</v>
      </c>
      <c r="D75" s="2">
        <f t="shared" si="27"/>
        <v>0</v>
      </c>
      <c r="E75" s="2">
        <f t="shared" si="27"/>
        <v>0</v>
      </c>
      <c r="F75" s="2">
        <f t="shared" si="27"/>
        <v>0</v>
      </c>
      <c r="G75" s="2">
        <f t="shared" si="27"/>
        <v>0</v>
      </c>
      <c r="H75" s="2">
        <f t="shared" si="27"/>
        <v>0</v>
      </c>
      <c r="J75" s="2">
        <f t="shared" si="27"/>
        <v>0</v>
      </c>
      <c r="K75" s="2">
        <f t="shared" si="27"/>
        <v>0</v>
      </c>
    </row>
    <row r="76" spans="1:12">
      <c r="B76" s="2" t="str">
        <f t="shared" si="26"/>
        <v>H</v>
      </c>
      <c r="C76" s="2">
        <f t="shared" si="28"/>
        <v>0</v>
      </c>
      <c r="D76" s="2">
        <f t="shared" si="27"/>
        <v>0</v>
      </c>
      <c r="E76" s="2">
        <f t="shared" si="27"/>
        <v>0</v>
      </c>
      <c r="F76" s="2">
        <f t="shared" si="27"/>
        <v>0</v>
      </c>
      <c r="G76" s="2">
        <f t="shared" si="27"/>
        <v>0</v>
      </c>
      <c r="H76" s="2">
        <f t="shared" si="27"/>
        <v>0</v>
      </c>
      <c r="I76" s="2">
        <f t="shared" si="27"/>
        <v>0</v>
      </c>
      <c r="K76" s="2">
        <f t="shared" si="27"/>
        <v>0</v>
      </c>
    </row>
    <row r="77" spans="1:12">
      <c r="B77" s="2" t="str">
        <f t="shared" si="26"/>
        <v>I</v>
      </c>
      <c r="C77" s="2">
        <f t="shared" si="28"/>
        <v>0</v>
      </c>
      <c r="D77" s="2">
        <f t="shared" si="27"/>
        <v>0</v>
      </c>
      <c r="E77" s="2">
        <f t="shared" si="27"/>
        <v>0</v>
      </c>
      <c r="F77" s="2">
        <f t="shared" si="27"/>
        <v>0</v>
      </c>
      <c r="G77" s="2">
        <f t="shared" si="27"/>
        <v>0</v>
      </c>
      <c r="H77" s="2">
        <f t="shared" si="27"/>
        <v>0</v>
      </c>
      <c r="I77" s="2">
        <f t="shared" si="27"/>
        <v>0</v>
      </c>
      <c r="J77" s="2">
        <f t="shared" si="27"/>
        <v>0</v>
      </c>
    </row>
    <row r="79" spans="1:12">
      <c r="A79" s="2" t="s">
        <v>295</v>
      </c>
    </row>
    <row r="80" spans="1:12">
      <c r="F80" s="2" t="s">
        <v>296</v>
      </c>
    </row>
    <row r="81" spans="2:11">
      <c r="E81" s="2" t="s">
        <v>297</v>
      </c>
      <c r="F81" s="2" t="s">
        <v>298</v>
      </c>
    </row>
    <row r="82" spans="2:11">
      <c r="C82" s="2">
        <f>D15</f>
        <v>0</v>
      </c>
      <c r="D82" s="2" t="str">
        <f>D16</f>
        <v>A</v>
      </c>
      <c r="E82" s="2" t="str">
        <f>D17</f>
        <v>B</v>
      </c>
      <c r="F82" s="2" t="str">
        <f>D18</f>
        <v>B</v>
      </c>
      <c r="G82" s="2" t="str">
        <f>D19</f>
        <v>A</v>
      </c>
      <c r="H82" s="2" t="str">
        <f>D20</f>
        <v>C,D</v>
      </c>
      <c r="I82" s="2" t="str">
        <f>D21</f>
        <v>F</v>
      </c>
      <c r="J82" s="2" t="str">
        <f>D22</f>
        <v>E</v>
      </c>
      <c r="K82" s="2" t="str">
        <f>D23</f>
        <v>G,H</v>
      </c>
    </row>
    <row r="83" spans="2:11">
      <c r="B83" s="2" t="str">
        <f t="shared" ref="B83:B91" si="29">B15</f>
        <v>A</v>
      </c>
      <c r="C83" s="2">
        <v>1</v>
      </c>
      <c r="D83" s="2">
        <f t="shared" ref="D83:K91" si="30">IF(ISERR(SEARCH($B83,D$82)),0,1)</f>
        <v>1</v>
      </c>
      <c r="E83" s="2">
        <f t="shared" si="30"/>
        <v>0</v>
      </c>
      <c r="F83" s="2">
        <f t="shared" si="30"/>
        <v>0</v>
      </c>
      <c r="G83" s="2">
        <f t="shared" si="30"/>
        <v>1</v>
      </c>
      <c r="H83" s="2">
        <f t="shared" si="30"/>
        <v>0</v>
      </c>
      <c r="I83" s="2">
        <f t="shared" si="30"/>
        <v>0</v>
      </c>
      <c r="J83" s="2">
        <f t="shared" si="30"/>
        <v>0</v>
      </c>
      <c r="K83" s="2">
        <f t="shared" si="30"/>
        <v>0</v>
      </c>
    </row>
    <row r="84" spans="2:11">
      <c r="B84" s="2" t="str">
        <f t="shared" si="29"/>
        <v>B</v>
      </c>
      <c r="C84" s="2">
        <f t="shared" ref="C84:C91" si="31">IF(ISERR(SEARCH($B84,C$82)),0,1)</f>
        <v>0</v>
      </c>
      <c r="D84" s="2">
        <v>1</v>
      </c>
      <c r="E84" s="2">
        <f t="shared" si="30"/>
        <v>1</v>
      </c>
      <c r="F84" s="2">
        <f t="shared" si="30"/>
        <v>1</v>
      </c>
      <c r="G84" s="2">
        <f t="shared" si="30"/>
        <v>0</v>
      </c>
      <c r="H84" s="2">
        <f t="shared" si="30"/>
        <v>0</v>
      </c>
      <c r="I84" s="2">
        <f t="shared" si="30"/>
        <v>0</v>
      </c>
      <c r="J84" s="2">
        <f t="shared" si="30"/>
        <v>0</v>
      </c>
      <c r="K84" s="2">
        <f t="shared" si="30"/>
        <v>0</v>
      </c>
    </row>
    <row r="85" spans="2:11">
      <c r="B85" s="2" t="str">
        <f t="shared" si="29"/>
        <v>C</v>
      </c>
      <c r="C85" s="2">
        <f t="shared" si="31"/>
        <v>0</v>
      </c>
      <c r="D85" s="2">
        <f t="shared" si="30"/>
        <v>0</v>
      </c>
      <c r="E85" s="2">
        <v>1</v>
      </c>
      <c r="F85" s="2">
        <f t="shared" si="30"/>
        <v>0</v>
      </c>
      <c r="G85" s="2">
        <f t="shared" si="30"/>
        <v>0</v>
      </c>
      <c r="H85" s="2">
        <f t="shared" si="30"/>
        <v>1</v>
      </c>
      <c r="I85" s="2">
        <f t="shared" si="30"/>
        <v>0</v>
      </c>
      <c r="J85" s="2">
        <f t="shared" si="30"/>
        <v>0</v>
      </c>
      <c r="K85" s="2">
        <f t="shared" si="30"/>
        <v>0</v>
      </c>
    </row>
    <row r="86" spans="2:11">
      <c r="B86" s="2" t="str">
        <f t="shared" si="29"/>
        <v>D</v>
      </c>
      <c r="C86" s="2">
        <f t="shared" si="31"/>
        <v>0</v>
      </c>
      <c r="D86" s="2">
        <f t="shared" si="30"/>
        <v>0</v>
      </c>
      <c r="E86" s="2">
        <f t="shared" si="30"/>
        <v>0</v>
      </c>
      <c r="F86" s="2">
        <v>1</v>
      </c>
      <c r="G86" s="2">
        <f t="shared" si="30"/>
        <v>0</v>
      </c>
      <c r="H86" s="2">
        <f t="shared" si="30"/>
        <v>1</v>
      </c>
      <c r="I86" s="2">
        <f t="shared" si="30"/>
        <v>0</v>
      </c>
      <c r="J86" s="2">
        <f t="shared" si="30"/>
        <v>0</v>
      </c>
      <c r="K86" s="2">
        <f t="shared" si="30"/>
        <v>0</v>
      </c>
    </row>
    <row r="87" spans="2:11">
      <c r="B87" s="2" t="str">
        <f t="shared" si="29"/>
        <v>E</v>
      </c>
      <c r="C87" s="2">
        <f t="shared" si="31"/>
        <v>0</v>
      </c>
      <c r="D87" s="2">
        <f t="shared" si="30"/>
        <v>0</v>
      </c>
      <c r="E87" s="2">
        <f t="shared" si="30"/>
        <v>0</v>
      </c>
      <c r="F87" s="2">
        <f t="shared" si="30"/>
        <v>0</v>
      </c>
      <c r="G87" s="2">
        <v>1</v>
      </c>
      <c r="H87" s="2">
        <f t="shared" si="30"/>
        <v>0</v>
      </c>
      <c r="I87" s="2">
        <f t="shared" si="30"/>
        <v>0</v>
      </c>
      <c r="J87" s="2">
        <f t="shared" si="30"/>
        <v>1</v>
      </c>
      <c r="K87" s="2">
        <f t="shared" si="30"/>
        <v>0</v>
      </c>
    </row>
    <row r="88" spans="2:11">
      <c r="B88" s="2" t="str">
        <f t="shared" si="29"/>
        <v>F</v>
      </c>
      <c r="C88" s="2">
        <f t="shared" si="31"/>
        <v>0</v>
      </c>
      <c r="D88" s="2">
        <f t="shared" si="30"/>
        <v>0</v>
      </c>
      <c r="E88" s="2">
        <f t="shared" si="30"/>
        <v>0</v>
      </c>
      <c r="F88" s="2">
        <f t="shared" si="30"/>
        <v>0</v>
      </c>
      <c r="G88" s="2">
        <f t="shared" si="30"/>
        <v>0</v>
      </c>
      <c r="H88" s="2">
        <v>1</v>
      </c>
      <c r="I88" s="2">
        <f t="shared" si="30"/>
        <v>1</v>
      </c>
      <c r="J88" s="2">
        <f t="shared" si="30"/>
        <v>0</v>
      </c>
      <c r="K88" s="2">
        <f t="shared" si="30"/>
        <v>0</v>
      </c>
    </row>
    <row r="89" spans="2:11">
      <c r="B89" s="2" t="str">
        <f t="shared" si="29"/>
        <v>G</v>
      </c>
      <c r="C89" s="2">
        <f t="shared" si="31"/>
        <v>0</v>
      </c>
      <c r="D89" s="2">
        <f t="shared" si="30"/>
        <v>0</v>
      </c>
      <c r="E89" s="2">
        <f t="shared" si="30"/>
        <v>0</v>
      </c>
      <c r="F89" s="2">
        <f t="shared" si="30"/>
        <v>0</v>
      </c>
      <c r="G89" s="2">
        <f t="shared" si="30"/>
        <v>0</v>
      </c>
      <c r="H89" s="2">
        <f t="shared" si="30"/>
        <v>0</v>
      </c>
      <c r="I89" s="2">
        <v>1</v>
      </c>
      <c r="J89" s="2">
        <f t="shared" si="30"/>
        <v>0</v>
      </c>
      <c r="K89" s="2">
        <f t="shared" si="30"/>
        <v>1</v>
      </c>
    </row>
    <row r="90" spans="2:11">
      <c r="B90" s="2" t="str">
        <f t="shared" si="29"/>
        <v>H</v>
      </c>
      <c r="C90" s="2">
        <f t="shared" si="31"/>
        <v>0</v>
      </c>
      <c r="D90" s="2">
        <f t="shared" si="30"/>
        <v>0</v>
      </c>
      <c r="E90" s="2">
        <f t="shared" si="30"/>
        <v>0</v>
      </c>
      <c r="F90" s="2">
        <f t="shared" si="30"/>
        <v>0</v>
      </c>
      <c r="G90" s="2">
        <f t="shared" si="30"/>
        <v>0</v>
      </c>
      <c r="H90" s="2">
        <f t="shared" si="30"/>
        <v>0</v>
      </c>
      <c r="I90" s="2">
        <f t="shared" si="30"/>
        <v>0</v>
      </c>
      <c r="J90" s="2">
        <v>1</v>
      </c>
      <c r="K90" s="2">
        <f t="shared" si="30"/>
        <v>1</v>
      </c>
    </row>
    <row r="91" spans="2:11">
      <c r="B91" s="2" t="str">
        <f t="shared" si="29"/>
        <v>I</v>
      </c>
      <c r="C91" s="2">
        <f t="shared" si="31"/>
        <v>0</v>
      </c>
      <c r="D91" s="2">
        <f t="shared" si="30"/>
        <v>0</v>
      </c>
      <c r="E91" s="2">
        <f t="shared" si="30"/>
        <v>0</v>
      </c>
      <c r="F91" s="2">
        <f t="shared" si="30"/>
        <v>0</v>
      </c>
      <c r="G91" s="2">
        <f t="shared" si="30"/>
        <v>0</v>
      </c>
      <c r="H91" s="2">
        <f t="shared" si="30"/>
        <v>0</v>
      </c>
      <c r="I91" s="2">
        <f t="shared" si="30"/>
        <v>0</v>
      </c>
      <c r="J91" s="2">
        <f t="shared" si="30"/>
        <v>0</v>
      </c>
      <c r="K91" s="2">
        <v>1</v>
      </c>
    </row>
    <row r="93" spans="2:11">
      <c r="C93" s="2" t="str">
        <f>B94</f>
        <v>A</v>
      </c>
      <c r="D93" s="2" t="str">
        <f>B95</f>
        <v>B</v>
      </c>
      <c r="E93" s="2" t="str">
        <f>B96</f>
        <v>C</v>
      </c>
      <c r="F93" s="2" t="str">
        <f>B97</f>
        <v>D</v>
      </c>
      <c r="G93" s="2" t="str">
        <f>B98</f>
        <v>E</v>
      </c>
      <c r="H93" s="2" t="str">
        <f>B99</f>
        <v>F</v>
      </c>
      <c r="I93" s="2" t="str">
        <f>B100</f>
        <v>G</v>
      </c>
      <c r="J93" s="2" t="str">
        <f>B101</f>
        <v>H</v>
      </c>
      <c r="K93" s="2" t="str">
        <f>B102</f>
        <v>I</v>
      </c>
    </row>
    <row r="94" spans="2:11">
      <c r="B94" s="2" t="str">
        <f t="shared" ref="B94:B102" si="32">B15</f>
        <v>A</v>
      </c>
      <c r="C94" s="2">
        <f t="array" ref="C94:K102">MMULT(C83:K91,C83:K91)</f>
        <v>1</v>
      </c>
      <c r="D94" s="2">
        <v>2</v>
      </c>
      <c r="E94" s="2">
        <v>1</v>
      </c>
      <c r="F94" s="2">
        <v>1</v>
      </c>
      <c r="G94" s="2">
        <v>2</v>
      </c>
      <c r="H94" s="2">
        <v>0</v>
      </c>
      <c r="I94" s="2">
        <v>0</v>
      </c>
      <c r="J94" s="2">
        <v>1</v>
      </c>
      <c r="K94" s="2">
        <v>0</v>
      </c>
    </row>
    <row r="95" spans="2:11">
      <c r="B95" s="2" t="str">
        <f t="shared" si="32"/>
        <v>B</v>
      </c>
      <c r="C95" s="2">
        <v>0</v>
      </c>
      <c r="D95" s="2">
        <v>1</v>
      </c>
      <c r="E95" s="2">
        <v>2</v>
      </c>
      <c r="F95" s="2">
        <v>2</v>
      </c>
      <c r="G95" s="2">
        <v>0</v>
      </c>
      <c r="H95" s="2">
        <v>2</v>
      </c>
      <c r="I95" s="2">
        <v>0</v>
      </c>
      <c r="J95" s="2">
        <v>0</v>
      </c>
      <c r="K95" s="2">
        <v>0</v>
      </c>
    </row>
    <row r="96" spans="2:11">
      <c r="B96" s="2" t="str">
        <f t="shared" si="32"/>
        <v>C</v>
      </c>
      <c r="C96" s="2">
        <v>0</v>
      </c>
      <c r="D96" s="2">
        <v>0</v>
      </c>
      <c r="E96" s="2">
        <v>1</v>
      </c>
      <c r="F96" s="2">
        <v>0</v>
      </c>
      <c r="G96" s="2">
        <v>0</v>
      </c>
      <c r="H96" s="2">
        <v>2</v>
      </c>
      <c r="I96" s="2">
        <v>1</v>
      </c>
      <c r="J96" s="2">
        <v>0</v>
      </c>
      <c r="K96" s="2">
        <v>0</v>
      </c>
    </row>
    <row r="97" spans="2:11">
      <c r="B97" s="2" t="str">
        <f t="shared" si="32"/>
        <v>D</v>
      </c>
      <c r="C97" s="2">
        <v>0</v>
      </c>
      <c r="D97" s="2">
        <v>0</v>
      </c>
      <c r="E97" s="2">
        <v>0</v>
      </c>
      <c r="F97" s="2">
        <v>1</v>
      </c>
      <c r="G97" s="2">
        <v>0</v>
      </c>
      <c r="H97" s="2">
        <v>2</v>
      </c>
      <c r="I97" s="2">
        <v>1</v>
      </c>
      <c r="J97" s="2">
        <v>0</v>
      </c>
      <c r="K97" s="2">
        <v>0</v>
      </c>
    </row>
    <row r="98" spans="2:11">
      <c r="B98" s="2" t="str">
        <f t="shared" si="32"/>
        <v>E</v>
      </c>
      <c r="C98" s="2">
        <v>0</v>
      </c>
      <c r="D98" s="2">
        <v>0</v>
      </c>
      <c r="E98" s="2">
        <v>0</v>
      </c>
      <c r="F98" s="2">
        <v>0</v>
      </c>
      <c r="G98" s="2">
        <v>1</v>
      </c>
      <c r="H98" s="2">
        <v>0</v>
      </c>
      <c r="I98" s="2">
        <v>0</v>
      </c>
      <c r="J98" s="2">
        <v>2</v>
      </c>
      <c r="K98" s="2">
        <v>1</v>
      </c>
    </row>
    <row r="99" spans="2:11">
      <c r="B99" s="2" t="str">
        <f t="shared" si="32"/>
        <v>F</v>
      </c>
      <c r="C99" s="2">
        <v>0</v>
      </c>
      <c r="D99" s="2">
        <v>0</v>
      </c>
      <c r="E99" s="2">
        <v>0</v>
      </c>
      <c r="F99" s="2">
        <v>0</v>
      </c>
      <c r="G99" s="2">
        <v>0</v>
      </c>
      <c r="H99" s="2">
        <v>1</v>
      </c>
      <c r="I99" s="2">
        <v>2</v>
      </c>
      <c r="J99" s="2">
        <v>0</v>
      </c>
      <c r="K99" s="2">
        <v>1</v>
      </c>
    </row>
    <row r="100" spans="2:11">
      <c r="B100" s="2" t="str">
        <f t="shared" si="32"/>
        <v>G</v>
      </c>
      <c r="C100" s="2">
        <v>0</v>
      </c>
      <c r="D100" s="2">
        <v>0</v>
      </c>
      <c r="E100" s="2">
        <v>0</v>
      </c>
      <c r="F100" s="2">
        <v>0</v>
      </c>
      <c r="G100" s="2">
        <v>0</v>
      </c>
      <c r="H100" s="2">
        <v>0</v>
      </c>
      <c r="I100" s="2">
        <v>1</v>
      </c>
      <c r="J100" s="2">
        <v>0</v>
      </c>
      <c r="K100" s="2">
        <v>2</v>
      </c>
    </row>
    <row r="101" spans="2:11">
      <c r="B101" s="2" t="str">
        <f t="shared" si="32"/>
        <v>H</v>
      </c>
      <c r="C101" s="2">
        <v>0</v>
      </c>
      <c r="D101" s="2">
        <v>0</v>
      </c>
      <c r="E101" s="2">
        <v>0</v>
      </c>
      <c r="F101" s="2">
        <v>0</v>
      </c>
      <c r="G101" s="2">
        <v>0</v>
      </c>
      <c r="H101" s="2">
        <v>0</v>
      </c>
      <c r="I101" s="2">
        <v>0</v>
      </c>
      <c r="J101" s="2">
        <v>1</v>
      </c>
      <c r="K101" s="2">
        <v>2</v>
      </c>
    </row>
    <row r="102" spans="2:11">
      <c r="B102" s="2" t="str">
        <f t="shared" si="32"/>
        <v>I</v>
      </c>
      <c r="C102" s="2">
        <v>0</v>
      </c>
      <c r="D102" s="2">
        <v>0</v>
      </c>
      <c r="E102" s="2">
        <v>0</v>
      </c>
      <c r="F102" s="2">
        <v>0</v>
      </c>
      <c r="G102" s="2">
        <v>0</v>
      </c>
      <c r="H102" s="2">
        <v>0</v>
      </c>
      <c r="I102" s="2">
        <v>0</v>
      </c>
      <c r="J102" s="2">
        <v>0</v>
      </c>
      <c r="K102" s="2">
        <v>1</v>
      </c>
    </row>
    <row r="104" spans="2:11">
      <c r="C104" s="2" t="str">
        <f>B105</f>
        <v>A</v>
      </c>
      <c r="D104" s="2" t="str">
        <f>B106</f>
        <v>B</v>
      </c>
      <c r="E104" s="2" t="str">
        <f>B107</f>
        <v>C</v>
      </c>
      <c r="F104" s="2" t="str">
        <f>B108</f>
        <v>D</v>
      </c>
      <c r="G104" s="2" t="str">
        <f>B109</f>
        <v>E</v>
      </c>
      <c r="H104" s="2" t="str">
        <f>B110</f>
        <v>F</v>
      </c>
      <c r="I104" s="2" t="str">
        <f>B111</f>
        <v>G</v>
      </c>
      <c r="J104" s="2" t="str">
        <f>B112</f>
        <v>H</v>
      </c>
      <c r="K104" s="2" t="str">
        <f>B113</f>
        <v>I</v>
      </c>
    </row>
    <row r="105" spans="2:11">
      <c r="B105" s="2" t="str">
        <f t="shared" ref="B105:B113" si="33">B15</f>
        <v>A</v>
      </c>
      <c r="C105" s="2">
        <f t="array" ref="C105:K113">MMULT(C94:K102,C94:K102)</f>
        <v>1</v>
      </c>
      <c r="D105" s="2">
        <v>4</v>
      </c>
      <c r="E105" s="2">
        <v>6</v>
      </c>
      <c r="F105" s="2">
        <v>6</v>
      </c>
      <c r="G105" s="2">
        <v>4</v>
      </c>
      <c r="H105" s="2">
        <v>8</v>
      </c>
      <c r="I105" s="2">
        <v>2</v>
      </c>
      <c r="J105" s="2">
        <v>6</v>
      </c>
      <c r="K105" s="2">
        <v>4</v>
      </c>
    </row>
    <row r="106" spans="2:11">
      <c r="B106" s="2" t="str">
        <f t="shared" si="33"/>
        <v>B</v>
      </c>
      <c r="C106" s="2">
        <v>0</v>
      </c>
      <c r="D106" s="2">
        <v>1</v>
      </c>
      <c r="E106" s="2">
        <v>4</v>
      </c>
      <c r="F106" s="2">
        <v>4</v>
      </c>
      <c r="G106" s="2">
        <v>0</v>
      </c>
      <c r="H106" s="2">
        <v>12</v>
      </c>
      <c r="I106" s="2">
        <v>8</v>
      </c>
      <c r="J106" s="2">
        <v>0</v>
      </c>
      <c r="K106" s="2">
        <v>2</v>
      </c>
    </row>
    <row r="107" spans="2:11">
      <c r="B107" s="2" t="str">
        <f t="shared" si="33"/>
        <v>C</v>
      </c>
      <c r="C107" s="2">
        <v>0</v>
      </c>
      <c r="D107" s="2">
        <v>0</v>
      </c>
      <c r="E107" s="2">
        <v>1</v>
      </c>
      <c r="F107" s="2">
        <v>0</v>
      </c>
      <c r="G107" s="2">
        <v>0</v>
      </c>
      <c r="H107" s="2">
        <v>4</v>
      </c>
      <c r="I107" s="2">
        <v>6</v>
      </c>
      <c r="J107" s="2">
        <v>0</v>
      </c>
      <c r="K107" s="2">
        <v>4</v>
      </c>
    </row>
    <row r="108" spans="2:11">
      <c r="B108" s="2" t="str">
        <f t="shared" si="33"/>
        <v>D</v>
      </c>
      <c r="C108" s="2">
        <v>0</v>
      </c>
      <c r="D108" s="2">
        <v>0</v>
      </c>
      <c r="E108" s="2">
        <v>0</v>
      </c>
      <c r="F108" s="2">
        <v>1</v>
      </c>
      <c r="G108" s="2">
        <v>0</v>
      </c>
      <c r="H108" s="2">
        <v>4</v>
      </c>
      <c r="I108" s="2">
        <v>6</v>
      </c>
      <c r="J108" s="2">
        <v>0</v>
      </c>
      <c r="K108" s="2">
        <v>4</v>
      </c>
    </row>
    <row r="109" spans="2:11">
      <c r="B109" s="2" t="str">
        <f t="shared" si="33"/>
        <v>E</v>
      </c>
      <c r="C109" s="2">
        <v>0</v>
      </c>
      <c r="D109" s="2">
        <v>0</v>
      </c>
      <c r="E109" s="2">
        <v>0</v>
      </c>
      <c r="F109" s="2">
        <v>0</v>
      </c>
      <c r="G109" s="2">
        <v>1</v>
      </c>
      <c r="H109" s="2">
        <v>0</v>
      </c>
      <c r="I109" s="2">
        <v>0</v>
      </c>
      <c r="J109" s="2">
        <v>4</v>
      </c>
      <c r="K109" s="2">
        <v>6</v>
      </c>
    </row>
    <row r="110" spans="2:11">
      <c r="B110" s="2" t="str">
        <f t="shared" si="33"/>
        <v>F</v>
      </c>
      <c r="C110" s="2">
        <v>0</v>
      </c>
      <c r="D110" s="2">
        <v>0</v>
      </c>
      <c r="E110" s="2">
        <v>0</v>
      </c>
      <c r="F110" s="2">
        <v>0</v>
      </c>
      <c r="G110" s="2">
        <v>0</v>
      </c>
      <c r="H110" s="2">
        <v>1</v>
      </c>
      <c r="I110" s="2">
        <v>4</v>
      </c>
      <c r="J110" s="2">
        <v>0</v>
      </c>
      <c r="K110" s="2">
        <v>6</v>
      </c>
    </row>
    <row r="111" spans="2:11">
      <c r="B111" s="2" t="str">
        <f t="shared" si="33"/>
        <v>G</v>
      </c>
      <c r="C111" s="2">
        <v>0</v>
      </c>
      <c r="D111" s="2">
        <v>0</v>
      </c>
      <c r="E111" s="2">
        <v>0</v>
      </c>
      <c r="F111" s="2">
        <v>0</v>
      </c>
      <c r="G111" s="2">
        <v>0</v>
      </c>
      <c r="H111" s="2">
        <v>0</v>
      </c>
      <c r="I111" s="2">
        <v>1</v>
      </c>
      <c r="J111" s="2">
        <v>0</v>
      </c>
      <c r="K111" s="2">
        <v>4</v>
      </c>
    </row>
    <row r="112" spans="2:11">
      <c r="B112" s="2" t="str">
        <f t="shared" si="33"/>
        <v>H</v>
      </c>
      <c r="C112" s="2">
        <v>0</v>
      </c>
      <c r="D112" s="2">
        <v>0</v>
      </c>
      <c r="E112" s="2">
        <v>0</v>
      </c>
      <c r="F112" s="2">
        <v>0</v>
      </c>
      <c r="G112" s="2">
        <v>0</v>
      </c>
      <c r="H112" s="2">
        <v>0</v>
      </c>
      <c r="I112" s="2">
        <v>0</v>
      </c>
      <c r="J112" s="2">
        <v>1</v>
      </c>
      <c r="K112" s="2">
        <v>4</v>
      </c>
    </row>
    <row r="113" spans="2:13">
      <c r="B113" s="2" t="str">
        <f t="shared" si="33"/>
        <v>I</v>
      </c>
      <c r="C113" s="2">
        <v>0</v>
      </c>
      <c r="D113" s="2">
        <v>0</v>
      </c>
      <c r="E113" s="2">
        <v>0</v>
      </c>
      <c r="F113" s="2">
        <v>0</v>
      </c>
      <c r="G113" s="2">
        <v>0</v>
      </c>
      <c r="H113" s="2">
        <v>0</v>
      </c>
      <c r="I113" s="2">
        <v>0</v>
      </c>
      <c r="J113" s="2">
        <v>0</v>
      </c>
      <c r="K113" s="2">
        <v>1</v>
      </c>
    </row>
    <row r="115" spans="2:13">
      <c r="C115" s="2" t="str">
        <f>B116</f>
        <v>A</v>
      </c>
      <c r="D115" s="2" t="str">
        <f>B117</f>
        <v>B</v>
      </c>
      <c r="E115" s="2" t="str">
        <f>B118</f>
        <v>C</v>
      </c>
      <c r="F115" s="2" t="str">
        <f>B119</f>
        <v>D</v>
      </c>
      <c r="G115" s="2" t="str">
        <f>B120</f>
        <v>E</v>
      </c>
      <c r="H115" s="2" t="str">
        <f>B121</f>
        <v>F</v>
      </c>
      <c r="I115" s="2" t="str">
        <f>B122</f>
        <v>G</v>
      </c>
      <c r="J115" s="2" t="str">
        <f>B123</f>
        <v>H</v>
      </c>
      <c r="K115" s="2" t="str">
        <f>B124</f>
        <v>I</v>
      </c>
      <c r="L115" s="2" t="s">
        <v>299</v>
      </c>
    </row>
    <row r="116" spans="2:13">
      <c r="B116" s="2" t="str">
        <f t="shared" ref="B116:B124" si="34">B15</f>
        <v>A</v>
      </c>
      <c r="C116" s="2">
        <f t="array" ref="C116:K124">MMULT(C105:K113,C105:K113)</f>
        <v>1</v>
      </c>
      <c r="D116" s="2">
        <v>8</v>
      </c>
      <c r="E116" s="2">
        <v>28</v>
      </c>
      <c r="F116" s="2">
        <v>28</v>
      </c>
      <c r="G116" s="2">
        <v>8</v>
      </c>
      <c r="H116" s="2">
        <v>112</v>
      </c>
      <c r="I116" s="2">
        <v>140</v>
      </c>
      <c r="J116" s="2">
        <v>28</v>
      </c>
      <c r="K116" s="2">
        <v>168</v>
      </c>
      <c r="L116" s="2">
        <f>COUNTIF(C116:K116,"&gt;0")</f>
        <v>9</v>
      </c>
      <c r="M116" s="2">
        <f t="array" ref="M116">SUM(IF(C116:K116,$C$125:$K$125,0))</f>
        <v>65</v>
      </c>
    </row>
    <row r="117" spans="2:13">
      <c r="B117" s="2" t="str">
        <f t="shared" si="34"/>
        <v>B</v>
      </c>
      <c r="C117" s="2">
        <v>0</v>
      </c>
      <c r="D117" s="2">
        <v>1</v>
      </c>
      <c r="E117" s="2">
        <v>8</v>
      </c>
      <c r="F117" s="2">
        <v>8</v>
      </c>
      <c r="G117" s="2">
        <v>0</v>
      </c>
      <c r="H117" s="2">
        <v>56</v>
      </c>
      <c r="I117" s="2">
        <v>112</v>
      </c>
      <c r="J117" s="2">
        <v>0</v>
      </c>
      <c r="K117" s="2">
        <v>140</v>
      </c>
      <c r="L117" s="2">
        <f t="shared" ref="L117:L124" si="35">COUNTIF(C117:K117,"&gt;0")</f>
        <v>6</v>
      </c>
      <c r="M117" s="2">
        <f t="array" ref="M117">SUM(IF(C117:K117,$C$125:$K$125,0))</f>
        <v>33</v>
      </c>
    </row>
    <row r="118" spans="2:13">
      <c r="B118" s="2" t="str">
        <f t="shared" si="34"/>
        <v>C</v>
      </c>
      <c r="C118" s="2">
        <v>0</v>
      </c>
      <c r="D118" s="2">
        <v>0</v>
      </c>
      <c r="E118" s="2">
        <v>1</v>
      </c>
      <c r="F118" s="2">
        <v>0</v>
      </c>
      <c r="G118" s="2">
        <v>0</v>
      </c>
      <c r="H118" s="2">
        <v>8</v>
      </c>
      <c r="I118" s="2">
        <v>28</v>
      </c>
      <c r="J118" s="2">
        <v>0</v>
      </c>
      <c r="K118" s="2">
        <v>56</v>
      </c>
      <c r="L118" s="2">
        <f t="shared" si="35"/>
        <v>4</v>
      </c>
      <c r="M118" s="2">
        <f t="array" ref="M118">SUM(IF(C118:K118,$C$125:$K$125,0))</f>
        <v>18</v>
      </c>
    </row>
    <row r="119" spans="2:13">
      <c r="B119" s="2" t="str">
        <f t="shared" si="34"/>
        <v>D</v>
      </c>
      <c r="C119" s="2">
        <v>0</v>
      </c>
      <c r="D119" s="2">
        <v>0</v>
      </c>
      <c r="E119" s="2">
        <v>0</v>
      </c>
      <c r="F119" s="2">
        <v>1</v>
      </c>
      <c r="G119" s="2">
        <v>0</v>
      </c>
      <c r="H119" s="2">
        <v>8</v>
      </c>
      <c r="I119" s="2">
        <v>28</v>
      </c>
      <c r="J119" s="2">
        <v>0</v>
      </c>
      <c r="K119" s="2">
        <v>56</v>
      </c>
      <c r="L119" s="2">
        <f t="shared" si="35"/>
        <v>4</v>
      </c>
      <c r="M119" s="2">
        <f t="array" ref="M119">SUM(IF(C119:K119,$C$125:$K$125,0))</f>
        <v>17</v>
      </c>
    </row>
    <row r="120" spans="2:13">
      <c r="B120" s="2" t="str">
        <f t="shared" si="34"/>
        <v>E</v>
      </c>
      <c r="C120" s="2">
        <v>0</v>
      </c>
      <c r="D120" s="2">
        <v>0</v>
      </c>
      <c r="E120" s="2">
        <v>0</v>
      </c>
      <c r="F120" s="2">
        <v>0</v>
      </c>
      <c r="G120" s="2">
        <v>1</v>
      </c>
      <c r="H120" s="2">
        <v>0</v>
      </c>
      <c r="I120" s="2">
        <v>0</v>
      </c>
      <c r="J120" s="2">
        <v>8</v>
      </c>
      <c r="K120" s="2">
        <v>28</v>
      </c>
      <c r="L120" s="2">
        <f t="shared" si="35"/>
        <v>3</v>
      </c>
      <c r="M120" s="2">
        <f t="array" ref="M120">SUM(IF(C120:K120,$C$125:$K$125,0))</f>
        <v>25</v>
      </c>
    </row>
    <row r="121" spans="2:13">
      <c r="B121" s="2" t="str">
        <f t="shared" si="34"/>
        <v>F</v>
      </c>
      <c r="C121" s="2">
        <v>0</v>
      </c>
      <c r="D121" s="2">
        <v>0</v>
      </c>
      <c r="E121" s="2">
        <v>0</v>
      </c>
      <c r="F121" s="2">
        <v>0</v>
      </c>
      <c r="G121" s="2">
        <v>0</v>
      </c>
      <c r="H121" s="2">
        <v>1</v>
      </c>
      <c r="I121" s="2">
        <v>8</v>
      </c>
      <c r="J121" s="2">
        <v>0</v>
      </c>
      <c r="K121" s="2">
        <v>28</v>
      </c>
      <c r="L121" s="2">
        <f t="shared" si="35"/>
        <v>3</v>
      </c>
      <c r="M121" s="2">
        <f t="array" ref="M121">SUM(IF(C121:K121,$C$125:$K$125,0))</f>
        <v>13</v>
      </c>
    </row>
    <row r="122" spans="2:13">
      <c r="B122" s="2" t="str">
        <f t="shared" si="34"/>
        <v>G</v>
      </c>
      <c r="C122" s="2">
        <v>0</v>
      </c>
      <c r="D122" s="2">
        <v>0</v>
      </c>
      <c r="E122" s="2">
        <v>0</v>
      </c>
      <c r="F122" s="2">
        <v>0</v>
      </c>
      <c r="G122" s="2">
        <v>0</v>
      </c>
      <c r="H122" s="2">
        <v>0</v>
      </c>
      <c r="I122" s="2">
        <v>1</v>
      </c>
      <c r="J122" s="2">
        <v>0</v>
      </c>
      <c r="K122" s="2">
        <v>8</v>
      </c>
      <c r="L122" s="2">
        <f t="shared" si="35"/>
        <v>2</v>
      </c>
      <c r="M122" s="2">
        <f t="array" ref="M122">SUM(IF(C122:K122,$C$125:$K$125,0))</f>
        <v>10</v>
      </c>
    </row>
    <row r="123" spans="2:13">
      <c r="B123" s="2" t="str">
        <f t="shared" si="34"/>
        <v>H</v>
      </c>
      <c r="C123" s="2">
        <v>0</v>
      </c>
      <c r="D123" s="2">
        <v>0</v>
      </c>
      <c r="E123" s="2">
        <v>0</v>
      </c>
      <c r="F123" s="2">
        <v>0</v>
      </c>
      <c r="G123" s="2">
        <v>0</v>
      </c>
      <c r="H123" s="2">
        <v>0</v>
      </c>
      <c r="I123" s="2">
        <v>0</v>
      </c>
      <c r="J123" s="2">
        <v>1</v>
      </c>
      <c r="K123" s="2">
        <v>8</v>
      </c>
      <c r="L123" s="2">
        <f t="shared" si="35"/>
        <v>2</v>
      </c>
      <c r="M123" s="2">
        <f t="array" ref="M123">SUM(IF(C123:K123,$C$125:$K$125,0))</f>
        <v>14</v>
      </c>
    </row>
    <row r="124" spans="2:13">
      <c r="B124" s="2" t="str">
        <f t="shared" si="34"/>
        <v>I</v>
      </c>
      <c r="C124" s="2">
        <v>0</v>
      </c>
      <c r="D124" s="2">
        <v>0</v>
      </c>
      <c r="E124" s="2">
        <v>0</v>
      </c>
      <c r="F124" s="2">
        <v>0</v>
      </c>
      <c r="G124" s="2">
        <v>0</v>
      </c>
      <c r="H124" s="2">
        <v>0</v>
      </c>
      <c r="I124" s="2">
        <v>0</v>
      </c>
      <c r="J124" s="2">
        <v>0</v>
      </c>
      <c r="K124" s="2">
        <v>1</v>
      </c>
      <c r="L124" s="2">
        <f t="shared" si="35"/>
        <v>1</v>
      </c>
      <c r="M124" s="2">
        <f t="array" ref="M124">SUM(IF(C124:K124,$C$125:$K$125,0))</f>
        <v>3</v>
      </c>
    </row>
    <row r="125" spans="2:13">
      <c r="C125" s="2">
        <f>$C$15</f>
        <v>10</v>
      </c>
      <c r="D125" s="2">
        <f>$C$16</f>
        <v>11</v>
      </c>
      <c r="E125" s="2">
        <f>$C$17</f>
        <v>5</v>
      </c>
      <c r="F125" s="2">
        <f>$C$18</f>
        <v>4</v>
      </c>
      <c r="G125" s="2">
        <f>$C$19</f>
        <v>11</v>
      </c>
      <c r="H125" s="2">
        <f>$C$20</f>
        <v>3</v>
      </c>
      <c r="I125" s="2">
        <f>$C$21</f>
        <v>7</v>
      </c>
      <c r="J125" s="2">
        <f>$C$22</f>
        <v>11</v>
      </c>
      <c r="K125" s="2">
        <f>$C$23</f>
        <v>3</v>
      </c>
    </row>
  </sheetData>
  <mergeCells count="17">
    <mergeCell ref="A39:D39"/>
    <mergeCell ref="A40:D40"/>
    <mergeCell ref="A41:D41"/>
    <mergeCell ref="A42:D42"/>
    <mergeCell ref="A37:D37"/>
    <mergeCell ref="A38:D38"/>
    <mergeCell ref="G9:K9"/>
    <mergeCell ref="A33:D33"/>
    <mergeCell ref="A34:D34"/>
    <mergeCell ref="A35:D35"/>
    <mergeCell ref="A36:D36"/>
    <mergeCell ref="G12:K12"/>
    <mergeCell ref="A26:B26"/>
    <mergeCell ref="A27:B27"/>
    <mergeCell ref="A28:B28"/>
    <mergeCell ref="A29:B29"/>
    <mergeCell ref="A32:D32"/>
  </mergeCells>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4"/>
  <sheetViews>
    <sheetView workbookViewId="0">
      <selection activeCell="F16" sqref="F16"/>
    </sheetView>
  </sheetViews>
  <sheetFormatPr baseColWidth="10" defaultRowHeight="15" x14ac:dyDescent="0"/>
  <cols>
    <col min="1" max="1" width="20.6640625" style="2" bestFit="1" customWidth="1"/>
    <col min="2" max="2" width="11.83203125" style="2" customWidth="1"/>
    <col min="3" max="3" width="14.83203125" style="2" bestFit="1" customWidth="1"/>
    <col min="4" max="4" width="10.83203125" style="2"/>
    <col min="5" max="5" width="12.1640625" style="2" customWidth="1"/>
    <col min="6" max="6" width="15.83203125" style="2" bestFit="1" customWidth="1"/>
    <col min="7" max="16384" width="10.83203125" style="2"/>
  </cols>
  <sheetData>
    <row r="1" spans="1:8" ht="18">
      <c r="A1" s="39" t="s">
        <v>312</v>
      </c>
    </row>
    <row r="3" spans="1:8" ht="18">
      <c r="A3" s="3" t="s">
        <v>311</v>
      </c>
      <c r="B3" s="3"/>
      <c r="C3" s="3"/>
      <c r="D3" s="3" t="s">
        <v>312</v>
      </c>
      <c r="E3" s="3"/>
      <c r="F3" s="3"/>
      <c r="G3" s="3"/>
      <c r="H3" s="3"/>
    </row>
    <row r="4" spans="1:8">
      <c r="A4" s="1"/>
      <c r="B4" s="1"/>
    </row>
    <row r="7" spans="1:8">
      <c r="A7" s="2" t="s">
        <v>313</v>
      </c>
      <c r="B7" s="133">
        <v>0.15</v>
      </c>
    </row>
    <row r="8" spans="1:8" ht="16" thickBot="1">
      <c r="A8" s="5" t="s">
        <v>1</v>
      </c>
    </row>
    <row r="9" spans="1:8" s="54" customFormat="1" ht="30">
      <c r="A9" s="52"/>
      <c r="B9" s="102" t="s">
        <v>317</v>
      </c>
      <c r="C9" s="102" t="s">
        <v>318</v>
      </c>
      <c r="D9" s="102" t="s">
        <v>319</v>
      </c>
      <c r="E9" s="102" t="s">
        <v>320</v>
      </c>
      <c r="F9" s="102" t="s">
        <v>321</v>
      </c>
      <c r="G9" s="53" t="s">
        <v>322</v>
      </c>
    </row>
    <row r="10" spans="1:8">
      <c r="A10" s="10" t="s">
        <v>314</v>
      </c>
      <c r="B10" s="133">
        <v>1.2</v>
      </c>
      <c r="C10" s="7">
        <v>8</v>
      </c>
      <c r="D10" s="7">
        <v>10</v>
      </c>
      <c r="E10" s="7">
        <v>9</v>
      </c>
      <c r="F10" s="7" t="s">
        <v>334</v>
      </c>
      <c r="G10" s="11">
        <v>11</v>
      </c>
    </row>
    <row r="11" spans="1:8">
      <c r="A11" s="10" t="s">
        <v>315</v>
      </c>
      <c r="B11" s="133">
        <v>1.05</v>
      </c>
      <c r="C11" s="7">
        <v>2</v>
      </c>
      <c r="D11" s="7">
        <v>3</v>
      </c>
      <c r="E11" s="7">
        <v>2</v>
      </c>
      <c r="F11" s="7">
        <v>1</v>
      </c>
      <c r="G11" s="11">
        <v>3</v>
      </c>
    </row>
    <row r="12" spans="1:8" ht="16" thickBot="1">
      <c r="A12" s="12" t="s">
        <v>316</v>
      </c>
      <c r="B12" s="134">
        <v>1.1000000000000001</v>
      </c>
      <c r="C12" s="40">
        <v>2</v>
      </c>
      <c r="D12" s="40">
        <v>1</v>
      </c>
      <c r="E12" s="40" t="s">
        <v>335</v>
      </c>
      <c r="F12" s="40">
        <v>2</v>
      </c>
      <c r="G12" s="13">
        <v>1</v>
      </c>
    </row>
    <row r="15" spans="1:8">
      <c r="A15" s="23"/>
      <c r="B15" s="23"/>
      <c r="C15" s="23"/>
      <c r="E15" s="23" t="s">
        <v>327</v>
      </c>
    </row>
    <row r="16" spans="1:8" ht="16" thickBot="1">
      <c r="A16" s="23" t="s">
        <v>82</v>
      </c>
      <c r="E16" s="2" t="s">
        <v>328</v>
      </c>
      <c r="F16" s="89"/>
      <c r="G16" s="2" t="s">
        <v>329</v>
      </c>
      <c r="H16" s="7"/>
    </row>
    <row r="17" spans="1:6">
      <c r="A17" s="29"/>
      <c r="B17" s="30" t="s">
        <v>323</v>
      </c>
      <c r="C17" s="68" t="s">
        <v>324</v>
      </c>
      <c r="E17" s="29" t="s">
        <v>152</v>
      </c>
      <c r="F17" s="68" t="s">
        <v>330</v>
      </c>
    </row>
    <row r="18" spans="1:6">
      <c r="A18" s="28" t="str">
        <f>A10</f>
        <v>Element 1</v>
      </c>
      <c r="B18" s="27">
        <f>AVERAGE(C10:G10)</f>
        <v>9.5</v>
      </c>
      <c r="C18" s="35">
        <f>B10*B18</f>
        <v>11.4</v>
      </c>
      <c r="E18" s="28">
        <f>STDEV(C10:G10)</f>
        <v>1.2909944487358056</v>
      </c>
      <c r="F18" s="35" t="e">
        <f>($H$16*E18/($F$16 * B18))^2</f>
        <v>#DIV/0!</v>
      </c>
    </row>
    <row r="19" spans="1:6">
      <c r="A19" s="28" t="str">
        <f>A11</f>
        <v>Element 2</v>
      </c>
      <c r="B19" s="27">
        <f>AVERAGE(C11:G11)</f>
        <v>2.2000000000000002</v>
      </c>
      <c r="C19" s="35">
        <f>B11*B19</f>
        <v>2.3100000000000005</v>
      </c>
      <c r="E19" s="28">
        <f>STDEV(C11:G11)</f>
        <v>0.83666002653407567</v>
      </c>
      <c r="F19" s="35" t="e">
        <f>($H$16*E19/($F$16 * B19))^2</f>
        <v>#DIV/0!</v>
      </c>
    </row>
    <row r="20" spans="1:6">
      <c r="A20" s="28" t="str">
        <f>A12</f>
        <v>Element 3</v>
      </c>
      <c r="B20" s="27">
        <f>AVERAGE(C12:G12)</f>
        <v>1.5</v>
      </c>
      <c r="C20" s="35">
        <f>B12*B20</f>
        <v>1.6500000000000001</v>
      </c>
      <c r="E20" s="28">
        <f>STDEV(C12:G12)</f>
        <v>0.57735026918962573</v>
      </c>
      <c r="F20" s="35" t="e">
        <f>($H$16*E20/($F$16 * B20))^2</f>
        <v>#DIV/0!</v>
      </c>
    </row>
    <row r="21" spans="1:6">
      <c r="A21" s="28"/>
      <c r="B21" s="27"/>
      <c r="C21" s="35"/>
      <c r="E21" s="28"/>
      <c r="F21" s="35"/>
    </row>
    <row r="22" spans="1:6" ht="16" thickBot="1">
      <c r="A22" s="526" t="s">
        <v>325</v>
      </c>
      <c r="B22" s="527"/>
      <c r="C22" s="35">
        <f>SUM(C18:C20)</f>
        <v>15.360000000000001</v>
      </c>
      <c r="E22" s="31" t="s">
        <v>87</v>
      </c>
      <c r="F22" s="36" t="e">
        <f>ROUNDUP(MAX(F18:F21),0)</f>
        <v>#DIV/0!</v>
      </c>
    </row>
    <row r="23" spans="1:6" ht="16" thickBot="1">
      <c r="A23" s="528" t="s">
        <v>326</v>
      </c>
      <c r="B23" s="529"/>
      <c r="C23" s="36">
        <f>C22/(1-B7)</f>
        <v>18.070588235294121</v>
      </c>
    </row>
    <row r="26" spans="1:6">
      <c r="A26" s="2" t="s">
        <v>331</v>
      </c>
    </row>
    <row r="28" spans="1:6">
      <c r="A28" s="2" t="s">
        <v>332</v>
      </c>
      <c r="B28" s="2" t="s">
        <v>333</v>
      </c>
    </row>
    <row r="29" spans="1:6">
      <c r="A29" s="2">
        <v>90</v>
      </c>
      <c r="B29" s="2">
        <v>1.65</v>
      </c>
    </row>
    <row r="30" spans="1:6">
      <c r="A30" s="2">
        <v>95</v>
      </c>
      <c r="B30" s="2">
        <v>1.96</v>
      </c>
    </row>
    <row r="31" spans="1:6">
      <c r="A31" s="2">
        <v>95.45</v>
      </c>
      <c r="B31" s="2">
        <v>2</v>
      </c>
    </row>
    <row r="32" spans="1:6">
      <c r="A32" s="2">
        <v>98</v>
      </c>
      <c r="B32" s="2">
        <v>2.33</v>
      </c>
    </row>
    <row r="33" spans="1:2">
      <c r="A33" s="2">
        <v>99</v>
      </c>
      <c r="B33" s="2">
        <v>2.58</v>
      </c>
    </row>
    <row r="34" spans="1:2">
      <c r="A34" s="2">
        <v>99.73</v>
      </c>
      <c r="B34" s="2">
        <v>3</v>
      </c>
    </row>
  </sheetData>
  <mergeCells count="2">
    <mergeCell ref="A22:B22"/>
    <mergeCell ref="A23:B23"/>
  </mergeCells>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3" enableFormatConditionsCalculation="0"/>
  <dimension ref="A1:L31"/>
  <sheetViews>
    <sheetView workbookViewId="0">
      <selection activeCell="S39" sqref="S39"/>
    </sheetView>
  </sheetViews>
  <sheetFormatPr baseColWidth="10" defaultColWidth="8.6640625" defaultRowHeight="15" x14ac:dyDescent="0"/>
  <cols>
    <col min="1" max="1" width="28.33203125" style="135" customWidth="1"/>
    <col min="2" max="5" width="8.6640625" style="135"/>
    <col min="6" max="6" width="2.6640625" style="153" customWidth="1"/>
    <col min="7" max="7" width="17.6640625" style="135" customWidth="1"/>
    <col min="8" max="16384" width="8.6640625" style="135"/>
  </cols>
  <sheetData>
    <row r="1" spans="1:11" ht="18">
      <c r="A1" s="157" t="s">
        <v>344</v>
      </c>
    </row>
    <row r="3" spans="1:11" ht="16">
      <c r="A3" s="530" t="s">
        <v>311</v>
      </c>
      <c r="B3" s="530"/>
      <c r="C3" s="530"/>
      <c r="D3" s="530"/>
      <c r="E3" s="530"/>
      <c r="F3" s="530"/>
      <c r="G3" s="530"/>
      <c r="H3" s="530"/>
      <c r="I3" s="531"/>
      <c r="J3" s="531"/>
      <c r="K3" s="531"/>
    </row>
    <row r="4" spans="1:11">
      <c r="A4" s="136"/>
      <c r="B4" s="136"/>
      <c r="F4" s="137"/>
      <c r="G4" s="136"/>
      <c r="H4" s="136"/>
    </row>
    <row r="5" spans="1:11">
      <c r="A5" s="136"/>
      <c r="B5" s="136"/>
      <c r="F5" s="137"/>
      <c r="G5" s="136"/>
      <c r="H5" s="136"/>
    </row>
    <row r="6" spans="1:11">
      <c r="A6" s="136"/>
      <c r="B6" s="136"/>
      <c r="F6" s="137"/>
      <c r="G6" s="136"/>
      <c r="H6" s="136"/>
    </row>
    <row r="7" spans="1:11">
      <c r="A7" s="138" t="s">
        <v>336</v>
      </c>
      <c r="F7" s="137"/>
      <c r="G7" s="138" t="s">
        <v>337</v>
      </c>
    </row>
    <row r="8" spans="1:11">
      <c r="F8" s="137"/>
    </row>
    <row r="9" spans="1:11">
      <c r="F9" s="137"/>
    </row>
    <row r="10" spans="1:11" ht="16" thickBot="1">
      <c r="A10" s="139" t="s">
        <v>1</v>
      </c>
      <c r="F10" s="137"/>
      <c r="G10" s="139" t="s">
        <v>1</v>
      </c>
    </row>
    <row r="11" spans="1:11">
      <c r="A11" s="140" t="s">
        <v>338</v>
      </c>
      <c r="B11" s="141">
        <v>3</v>
      </c>
      <c r="F11" s="137"/>
      <c r="G11" s="140" t="s">
        <v>339</v>
      </c>
      <c r="H11" s="141">
        <v>0.25</v>
      </c>
    </row>
    <row r="12" spans="1:11">
      <c r="A12" s="142" t="s">
        <v>340</v>
      </c>
      <c r="B12" s="143">
        <v>1</v>
      </c>
      <c r="F12" s="137"/>
      <c r="G12" s="142" t="s">
        <v>341</v>
      </c>
      <c r="H12" s="143">
        <v>2</v>
      </c>
    </row>
    <row r="13" spans="1:11" ht="16" thickBot="1">
      <c r="A13" s="142" t="s">
        <v>328</v>
      </c>
      <c r="B13" s="144">
        <v>0.05</v>
      </c>
      <c r="F13" s="137"/>
      <c r="G13" s="145" t="s">
        <v>328</v>
      </c>
      <c r="H13" s="158">
        <v>0.03</v>
      </c>
    </row>
    <row r="14" spans="1:11" ht="16" thickBot="1">
      <c r="A14" s="145" t="s">
        <v>341</v>
      </c>
      <c r="B14" s="146">
        <v>1.96</v>
      </c>
      <c r="F14" s="137"/>
    </row>
    <row r="15" spans="1:11">
      <c r="F15" s="137"/>
    </row>
    <row r="16" spans="1:11" ht="16" thickBot="1">
      <c r="A16" s="147" t="s">
        <v>82</v>
      </c>
      <c r="F16" s="137"/>
      <c r="G16" s="147" t="s">
        <v>82</v>
      </c>
    </row>
    <row r="17" spans="1:12">
      <c r="A17" s="148" t="s">
        <v>87</v>
      </c>
      <c r="B17" s="149">
        <f>IF(ISERR((B14*B12/(B13*B11))^2),"",(B14*B12/(B13*B11))^2)</f>
        <v>170.73777777777772</v>
      </c>
      <c r="F17" s="137"/>
      <c r="G17" s="148" t="s">
        <v>87</v>
      </c>
      <c r="H17" s="149">
        <f>IF(ISERR(H12^2*H11*(1-H11)/(H13^2)),"",H12^2*H11*(1-H11)/(H13^2))</f>
        <v>833.33333333333337</v>
      </c>
    </row>
    <row r="18" spans="1:12" ht="16" thickBot="1">
      <c r="A18" s="150" t="s">
        <v>342</v>
      </c>
      <c r="B18" s="151">
        <f>IF(B14&gt;0,1-2*(1-NORMDIST(B14,0,1,TRUE)),"")</f>
        <v>0.95000420970355903</v>
      </c>
      <c r="F18" s="137"/>
      <c r="G18" s="150" t="s">
        <v>342</v>
      </c>
      <c r="H18" s="151">
        <f>IF(H13&gt;0,1-2*(1-NORMDIST(H13,0,1,TRUE)),"")</f>
        <v>2.3932946828225443E-2</v>
      </c>
    </row>
    <row r="19" spans="1:12">
      <c r="F19" s="137"/>
    </row>
    <row r="20" spans="1:12">
      <c r="F20" s="137"/>
    </row>
    <row r="21" spans="1:12">
      <c r="A21" s="137"/>
      <c r="B21" s="137"/>
      <c r="C21" s="137"/>
      <c r="D21" s="137"/>
      <c r="E21" s="137"/>
      <c r="F21" s="137"/>
      <c r="G21" s="137"/>
      <c r="H21" s="137"/>
      <c r="I21" s="137"/>
      <c r="J21" s="137"/>
      <c r="K21" s="137"/>
      <c r="L21" s="137"/>
    </row>
    <row r="23" spans="1:12">
      <c r="A23" s="152" t="s">
        <v>343</v>
      </c>
      <c r="B23" s="152"/>
    </row>
    <row r="25" spans="1:12">
      <c r="A25" s="154" t="s">
        <v>332</v>
      </c>
      <c r="B25" s="154" t="s">
        <v>333</v>
      </c>
    </row>
    <row r="26" spans="1:12">
      <c r="A26" s="155">
        <v>90</v>
      </c>
      <c r="B26" s="155">
        <v>1.65</v>
      </c>
    </row>
    <row r="27" spans="1:12">
      <c r="A27" s="155">
        <v>95</v>
      </c>
      <c r="B27" s="155">
        <v>1.96</v>
      </c>
    </row>
    <row r="28" spans="1:12">
      <c r="A28" s="155">
        <v>95.45</v>
      </c>
      <c r="B28" s="155">
        <v>2</v>
      </c>
    </row>
    <row r="29" spans="1:12">
      <c r="A29" s="156">
        <v>98</v>
      </c>
      <c r="B29" s="156">
        <v>2.33</v>
      </c>
    </row>
    <row r="30" spans="1:12">
      <c r="A30" s="155">
        <v>99</v>
      </c>
      <c r="B30" s="155">
        <v>2.58</v>
      </c>
    </row>
    <row r="31" spans="1:12">
      <c r="A31" s="155">
        <v>99.73</v>
      </c>
      <c r="B31" s="155">
        <v>3</v>
      </c>
    </row>
  </sheetData>
  <mergeCells count="1">
    <mergeCell ref="A3:K3"/>
  </mergeCells>
  <pageMargins left="0.75" right="0.75" top="1" bottom="1" header="0.5" footer="0.5"/>
  <pageSetup orientation="landscape"/>
  <headerFooter alignWithMargins="0"/>
  <drawing r:id="rId1"/>
  <legacyDrawing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8"/>
  <sheetViews>
    <sheetView workbookViewId="0">
      <selection activeCell="C30" sqref="C30"/>
    </sheetView>
  </sheetViews>
  <sheetFormatPr baseColWidth="10" defaultRowHeight="15" x14ac:dyDescent="0"/>
  <cols>
    <col min="1" max="1" width="10.83203125" style="2" customWidth="1"/>
    <col min="2" max="4" width="10.83203125" style="2"/>
    <col min="5" max="5" width="5.33203125" style="2" customWidth="1"/>
    <col min="6" max="6" width="11.5" style="2" bestFit="1" customWidth="1"/>
    <col min="7" max="12" width="10.83203125" style="2"/>
    <col min="13" max="13" width="12.5" style="2" bestFit="1" customWidth="1"/>
    <col min="14" max="16384" width="10.83203125" style="2"/>
  </cols>
  <sheetData>
    <row r="1" spans="1:17" ht="18">
      <c r="A1" s="39" t="s">
        <v>359</v>
      </c>
    </row>
    <row r="3" spans="1:17" ht="18">
      <c r="A3" s="3" t="s">
        <v>345</v>
      </c>
      <c r="B3" s="3"/>
      <c r="C3" s="3" t="s">
        <v>346</v>
      </c>
      <c r="D3" s="3"/>
      <c r="E3" s="3"/>
      <c r="F3" s="3"/>
      <c r="G3" s="3"/>
      <c r="H3" s="3"/>
      <c r="I3" s="3"/>
    </row>
    <row r="4" spans="1:17">
      <c r="A4" s="1"/>
      <c r="B4" s="1"/>
      <c r="O4" s="115" t="s">
        <v>356</v>
      </c>
      <c r="P4" s="159">
        <v>0.75</v>
      </c>
      <c r="Q4" s="159"/>
    </row>
    <row r="5" spans="1:17">
      <c r="O5" s="115" t="s">
        <v>357</v>
      </c>
      <c r="P5" s="159">
        <v>0.15</v>
      </c>
      <c r="Q5" s="160">
        <f>SUM(P4:P5)</f>
        <v>0.9</v>
      </c>
    </row>
    <row r="6" spans="1:17" ht="16" thickBot="1">
      <c r="B6" s="5" t="s">
        <v>1</v>
      </c>
      <c r="I6" s="87" t="s">
        <v>353</v>
      </c>
    </row>
    <row r="7" spans="1:17" ht="60">
      <c r="A7" s="54" t="s">
        <v>347</v>
      </c>
      <c r="B7" s="52" t="s">
        <v>348</v>
      </c>
      <c r="C7" s="102" t="s">
        <v>349</v>
      </c>
      <c r="D7" s="53" t="s">
        <v>350</v>
      </c>
      <c r="E7" s="54"/>
      <c r="F7" s="54" t="s">
        <v>351</v>
      </c>
      <c r="G7" s="54" t="s">
        <v>352</v>
      </c>
      <c r="H7" s="54"/>
      <c r="I7" s="165" t="s">
        <v>347</v>
      </c>
      <c r="J7" s="169" t="s">
        <v>348</v>
      </c>
      <c r="K7" s="168" t="s">
        <v>349</v>
      </c>
      <c r="L7" s="55" t="s">
        <v>350</v>
      </c>
      <c r="M7" s="55" t="s">
        <v>354</v>
      </c>
      <c r="N7" s="55" t="s">
        <v>352</v>
      </c>
      <c r="O7" s="172" t="s">
        <v>355</v>
      </c>
      <c r="P7" s="169" t="s">
        <v>358</v>
      </c>
    </row>
    <row r="8" spans="1:17">
      <c r="A8" s="69">
        <f>RANK(F8,$F$8:$F$17)</f>
        <v>1</v>
      </c>
      <c r="B8" s="10">
        <v>10286</v>
      </c>
      <c r="C8" s="7">
        <v>1000</v>
      </c>
      <c r="D8" s="11">
        <v>90</v>
      </c>
      <c r="F8" s="161">
        <f>C8*D8+I8/10000</f>
        <v>90000.000100000005</v>
      </c>
      <c r="G8" s="6">
        <f>F8/$M$18</f>
        <v>0.38783574768268142</v>
      </c>
      <c r="H8" s="6"/>
      <c r="I8" s="166">
        <v>1</v>
      </c>
      <c r="J8" s="170">
        <f>VLOOKUP($I8,$A$8:$D$17,2,FALSE)</f>
        <v>10286</v>
      </c>
      <c r="K8" s="16">
        <f>VLOOKUP($I8,$A$8:$D$17,3,FALSE)</f>
        <v>1000</v>
      </c>
      <c r="L8" s="17">
        <f>VLOOKUP($I8,$A$8:$D$17,4,FALSE)</f>
        <v>90</v>
      </c>
      <c r="M8" s="97">
        <f>K8*L8</f>
        <v>90000</v>
      </c>
      <c r="N8" s="162">
        <f>M8/$M$18</f>
        <v>0.38783574725175279</v>
      </c>
      <c r="O8" s="173">
        <f>N8</f>
        <v>0.38783574725175279</v>
      </c>
      <c r="P8" s="175" t="s">
        <v>253</v>
      </c>
    </row>
    <row r="9" spans="1:17">
      <c r="A9" s="69">
        <f t="shared" ref="A9:A17" si="0">RANK(F9,$F$8:$F$17)</f>
        <v>2</v>
      </c>
      <c r="B9" s="10">
        <v>11526</v>
      </c>
      <c r="C9" s="7">
        <v>500</v>
      </c>
      <c r="D9" s="11">
        <v>154</v>
      </c>
      <c r="F9" s="161">
        <f t="shared" ref="F9:F17" si="1">C9*D9+I9/10000</f>
        <v>77000.000199999995</v>
      </c>
      <c r="G9" s="6">
        <f t="shared" ref="G9:G17" si="2">F9/$M$18</f>
        <v>0.33181502906613458</v>
      </c>
      <c r="H9" s="6"/>
      <c r="I9" s="166">
        <v>2</v>
      </c>
      <c r="J9" s="170">
        <f t="shared" ref="J9:J17" si="3">VLOOKUP($I9,$A$8:$D$17,2,FALSE)</f>
        <v>11526</v>
      </c>
      <c r="K9" s="16">
        <f t="shared" ref="K9:K17" si="4">VLOOKUP($I9,$A$8:$D$17,3,FALSE)</f>
        <v>500</v>
      </c>
      <c r="L9" s="17">
        <f t="shared" ref="L9:L17" si="5">VLOOKUP($I9,$A$8:$D$17,4,FALSE)</f>
        <v>154</v>
      </c>
      <c r="M9" s="97">
        <f t="shared" ref="M9:M17" si="6">K9*L9</f>
        <v>77000</v>
      </c>
      <c r="N9" s="162">
        <f t="shared" ref="N9:N17" si="7">M9/$M$18</f>
        <v>0.33181502820427738</v>
      </c>
      <c r="O9" s="173">
        <f>N9+O8</f>
        <v>0.71965077545603018</v>
      </c>
      <c r="P9" s="175" t="str">
        <f>IF(P8="A",IF(O8&lt;$P$4,"A","B"),IF(P8="B",IF(O8&lt;$Q$5,"B","C"),"C"))</f>
        <v>A</v>
      </c>
    </row>
    <row r="10" spans="1:17">
      <c r="A10" s="69">
        <f t="shared" si="0"/>
        <v>3</v>
      </c>
      <c r="B10" s="10">
        <v>12760</v>
      </c>
      <c r="C10" s="7">
        <v>1550</v>
      </c>
      <c r="D10" s="11">
        <v>17</v>
      </c>
      <c r="F10" s="161">
        <f t="shared" si="1"/>
        <v>26350.0003</v>
      </c>
      <c r="G10" s="6">
        <f t="shared" si="2"/>
        <v>0.1135496895159379</v>
      </c>
      <c r="H10" s="6"/>
      <c r="I10" s="166">
        <v>3</v>
      </c>
      <c r="J10" s="170">
        <f t="shared" si="3"/>
        <v>12760</v>
      </c>
      <c r="K10" s="16">
        <f t="shared" si="4"/>
        <v>1550</v>
      </c>
      <c r="L10" s="17">
        <f t="shared" si="5"/>
        <v>17</v>
      </c>
      <c r="M10" s="97">
        <f t="shared" si="6"/>
        <v>26350</v>
      </c>
      <c r="N10" s="162">
        <f t="shared" si="7"/>
        <v>0.11354968822315208</v>
      </c>
      <c r="O10" s="173">
        <f t="shared" ref="O10:O17" si="8">N10+O9</f>
        <v>0.83320046367918221</v>
      </c>
      <c r="P10" s="175" t="str">
        <f t="shared" ref="P10:P17" si="9">IF(P9="A",IF(O9&lt;$P$4,"A","B"),IF(P9="B",IF(O9&lt;$Q$5,"B","C"),"C"))</f>
        <v>A</v>
      </c>
    </row>
    <row r="11" spans="1:17">
      <c r="A11" s="69">
        <f t="shared" si="0"/>
        <v>4</v>
      </c>
      <c r="B11" s="10">
        <v>10867</v>
      </c>
      <c r="C11" s="7">
        <v>350</v>
      </c>
      <c r="D11" s="11">
        <v>42.86</v>
      </c>
      <c r="F11" s="161">
        <f t="shared" si="1"/>
        <v>15001.000400000001</v>
      </c>
      <c r="G11" s="6">
        <f t="shared" si="2"/>
        <v>6.4643602218420484E-2</v>
      </c>
      <c r="H11" s="6"/>
      <c r="I11" s="166">
        <v>4</v>
      </c>
      <c r="J11" s="170">
        <f t="shared" si="3"/>
        <v>10867</v>
      </c>
      <c r="K11" s="16">
        <f t="shared" si="4"/>
        <v>350</v>
      </c>
      <c r="L11" s="17">
        <f t="shared" si="5"/>
        <v>42.86</v>
      </c>
      <c r="M11" s="97">
        <f t="shared" si="6"/>
        <v>15001</v>
      </c>
      <c r="N11" s="162">
        <f t="shared" si="7"/>
        <v>6.4643600494706036E-2</v>
      </c>
      <c r="O11" s="173">
        <f t="shared" si="8"/>
        <v>0.89784406417388829</v>
      </c>
      <c r="P11" s="175" t="str">
        <f t="shared" si="9"/>
        <v>B</v>
      </c>
    </row>
    <row r="12" spans="1:17">
      <c r="A12" s="69">
        <f t="shared" si="0"/>
        <v>5</v>
      </c>
      <c r="B12" s="10">
        <v>10500</v>
      </c>
      <c r="C12" s="7">
        <v>1000</v>
      </c>
      <c r="D12" s="11">
        <v>12.5</v>
      </c>
      <c r="F12" s="161">
        <f>C12*D12+I12/10000</f>
        <v>12500.0005</v>
      </c>
      <c r="G12" s="6">
        <f t="shared" si="2"/>
        <v>5.3866078161830928E-2</v>
      </c>
      <c r="H12" s="6"/>
      <c r="I12" s="166">
        <v>5</v>
      </c>
      <c r="J12" s="170">
        <f t="shared" si="3"/>
        <v>10500</v>
      </c>
      <c r="K12" s="16">
        <f t="shared" si="4"/>
        <v>1000</v>
      </c>
      <c r="L12" s="17">
        <f t="shared" si="5"/>
        <v>12.5</v>
      </c>
      <c r="M12" s="97">
        <f t="shared" si="6"/>
        <v>12500</v>
      </c>
      <c r="N12" s="162">
        <f t="shared" si="7"/>
        <v>5.3866076007187888E-2</v>
      </c>
      <c r="O12" s="173">
        <f t="shared" si="8"/>
        <v>0.95171014018107614</v>
      </c>
      <c r="P12" s="175" t="str">
        <f t="shared" si="9"/>
        <v>B</v>
      </c>
    </row>
    <row r="13" spans="1:17">
      <c r="A13" s="69">
        <f t="shared" si="0"/>
        <v>6</v>
      </c>
      <c r="B13" s="10">
        <v>12572</v>
      </c>
      <c r="C13" s="7">
        <v>600</v>
      </c>
      <c r="D13" s="11">
        <v>14.17</v>
      </c>
      <c r="F13" s="161">
        <f t="shared" si="1"/>
        <v>8502.0005999999994</v>
      </c>
      <c r="G13" s="6">
        <f t="shared" si="2"/>
        <v>3.663755284262056E-2</v>
      </c>
      <c r="H13" s="6"/>
      <c r="I13" s="166">
        <v>6</v>
      </c>
      <c r="J13" s="170">
        <f t="shared" si="3"/>
        <v>12572</v>
      </c>
      <c r="K13" s="16">
        <f t="shared" si="4"/>
        <v>600</v>
      </c>
      <c r="L13" s="17">
        <f t="shared" si="5"/>
        <v>14.17</v>
      </c>
      <c r="M13" s="97">
        <f t="shared" si="6"/>
        <v>8502</v>
      </c>
      <c r="N13" s="162">
        <f t="shared" si="7"/>
        <v>3.6637550257048915E-2</v>
      </c>
      <c r="O13" s="173">
        <f t="shared" si="8"/>
        <v>0.98834769043812509</v>
      </c>
      <c r="P13" s="175" t="str">
        <f t="shared" si="9"/>
        <v>C</v>
      </c>
    </row>
    <row r="14" spans="1:17">
      <c r="A14" s="69">
        <f t="shared" si="0"/>
        <v>7</v>
      </c>
      <c r="B14" s="10">
        <v>14075</v>
      </c>
      <c r="C14" s="7">
        <v>2000</v>
      </c>
      <c r="D14" s="11">
        <v>0.6</v>
      </c>
      <c r="F14" s="161">
        <f t="shared" si="1"/>
        <v>1200.0007000000001</v>
      </c>
      <c r="G14" s="6">
        <f t="shared" si="2"/>
        <v>5.1711463131902937E-3</v>
      </c>
      <c r="H14" s="6"/>
      <c r="I14" s="166">
        <v>7</v>
      </c>
      <c r="J14" s="170">
        <f t="shared" si="3"/>
        <v>14075</v>
      </c>
      <c r="K14" s="16">
        <f t="shared" si="4"/>
        <v>2000</v>
      </c>
      <c r="L14" s="17">
        <f t="shared" si="5"/>
        <v>0.6</v>
      </c>
      <c r="M14" s="97">
        <f t="shared" si="6"/>
        <v>1200</v>
      </c>
      <c r="N14" s="162">
        <f t="shared" si="7"/>
        <v>5.1711432966900376E-3</v>
      </c>
      <c r="O14" s="173">
        <f t="shared" si="8"/>
        <v>0.99351883373481509</v>
      </c>
      <c r="P14" s="175" t="str">
        <f t="shared" si="9"/>
        <v>C</v>
      </c>
    </row>
    <row r="15" spans="1:17">
      <c r="A15" s="69">
        <f t="shared" si="0"/>
        <v>8</v>
      </c>
      <c r="B15" s="10">
        <v>1036</v>
      </c>
      <c r="C15" s="7">
        <v>100</v>
      </c>
      <c r="D15" s="11">
        <v>8.5</v>
      </c>
      <c r="F15" s="161">
        <f t="shared" si="1"/>
        <v>850.00080000000003</v>
      </c>
      <c r="G15" s="6">
        <f t="shared" si="2"/>
        <v>3.6628966159176412E-3</v>
      </c>
      <c r="H15" s="6"/>
      <c r="I15" s="166">
        <v>8</v>
      </c>
      <c r="J15" s="170">
        <f t="shared" si="3"/>
        <v>1036</v>
      </c>
      <c r="K15" s="16">
        <f t="shared" si="4"/>
        <v>100</v>
      </c>
      <c r="L15" s="17">
        <f t="shared" si="5"/>
        <v>8.5</v>
      </c>
      <c r="M15" s="97">
        <f t="shared" si="6"/>
        <v>850</v>
      </c>
      <c r="N15" s="162">
        <f t="shared" si="7"/>
        <v>3.6628931684887763E-3</v>
      </c>
      <c r="O15" s="173">
        <f t="shared" si="8"/>
        <v>0.99718172690330387</v>
      </c>
      <c r="P15" s="175" t="str">
        <f t="shared" si="9"/>
        <v>C</v>
      </c>
    </row>
    <row r="16" spans="1:17">
      <c r="A16" s="69">
        <f t="shared" si="0"/>
        <v>9</v>
      </c>
      <c r="B16" s="10">
        <v>1307</v>
      </c>
      <c r="C16" s="7">
        <v>1200</v>
      </c>
      <c r="D16" s="11">
        <v>0.42</v>
      </c>
      <c r="F16" s="161">
        <f t="shared" si="1"/>
        <v>504.0009</v>
      </c>
      <c r="G16" s="6">
        <f t="shared" si="2"/>
        <v>2.1718840629672883E-3</v>
      </c>
      <c r="H16" s="6"/>
      <c r="I16" s="166">
        <v>9</v>
      </c>
      <c r="J16" s="170">
        <f t="shared" si="3"/>
        <v>1307</v>
      </c>
      <c r="K16" s="16">
        <f t="shared" si="4"/>
        <v>1200</v>
      </c>
      <c r="L16" s="17">
        <f t="shared" si="5"/>
        <v>0.42</v>
      </c>
      <c r="M16" s="97">
        <f t="shared" si="6"/>
        <v>504</v>
      </c>
      <c r="N16" s="162">
        <f t="shared" si="7"/>
        <v>2.1718801846098159E-3</v>
      </c>
      <c r="O16" s="173">
        <f t="shared" si="8"/>
        <v>0.99935360708791365</v>
      </c>
      <c r="P16" s="175" t="str">
        <f t="shared" si="9"/>
        <v>C</v>
      </c>
    </row>
    <row r="17" spans="1:16" ht="16" thickBot="1">
      <c r="A17" s="69">
        <f t="shared" si="0"/>
        <v>10</v>
      </c>
      <c r="B17" s="12">
        <v>10572</v>
      </c>
      <c r="C17" s="40">
        <v>250</v>
      </c>
      <c r="D17" s="13">
        <v>0.6</v>
      </c>
      <c r="F17" s="161">
        <f t="shared" si="1"/>
        <v>150.001</v>
      </c>
      <c r="G17" s="6">
        <f t="shared" si="2"/>
        <v>6.4639722137233523E-4</v>
      </c>
      <c r="H17" s="6"/>
      <c r="I17" s="167">
        <v>10</v>
      </c>
      <c r="J17" s="171">
        <f t="shared" si="3"/>
        <v>10572</v>
      </c>
      <c r="K17" s="101">
        <f t="shared" si="4"/>
        <v>250</v>
      </c>
      <c r="L17" s="98">
        <f t="shared" si="5"/>
        <v>0.6</v>
      </c>
      <c r="M17" s="163">
        <f t="shared" si="6"/>
        <v>150</v>
      </c>
      <c r="N17" s="164">
        <f t="shared" si="7"/>
        <v>6.463929120862547E-4</v>
      </c>
      <c r="O17" s="174">
        <f t="shared" si="8"/>
        <v>0.99999999999999989</v>
      </c>
      <c r="P17" s="176" t="str">
        <f t="shared" si="9"/>
        <v>C</v>
      </c>
    </row>
    <row r="18" spans="1:16">
      <c r="F18" s="93"/>
      <c r="L18" s="2" t="s">
        <v>18</v>
      </c>
      <c r="M18" s="93">
        <f>SUM(M8:M17)</f>
        <v>232057</v>
      </c>
      <c r="P18" s="123"/>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enableFormatConditionsCalculation="0"/>
  <dimension ref="A1:H63"/>
  <sheetViews>
    <sheetView topLeftCell="A15" workbookViewId="0">
      <selection activeCell="M15" sqref="M15"/>
    </sheetView>
  </sheetViews>
  <sheetFormatPr baseColWidth="10" defaultColWidth="8.83203125" defaultRowHeight="15" x14ac:dyDescent="0"/>
  <cols>
    <col min="1" max="1" width="36.83203125" style="135" customWidth="1"/>
    <col min="2" max="2" width="17.6640625" style="135" customWidth="1"/>
    <col min="3" max="3" width="13.1640625" style="135" customWidth="1"/>
    <col min="4" max="16384" width="8.83203125" style="135"/>
  </cols>
  <sheetData>
    <row r="1" spans="1:8" ht="18">
      <c r="A1" s="157" t="s">
        <v>387</v>
      </c>
    </row>
    <row r="3" spans="1:8" ht="16">
      <c r="A3" s="177" t="s">
        <v>345</v>
      </c>
      <c r="B3" s="177" t="s">
        <v>360</v>
      </c>
      <c r="C3" s="177"/>
      <c r="D3" s="177"/>
      <c r="E3" s="177"/>
      <c r="F3" s="177"/>
      <c r="G3" s="177"/>
      <c r="H3" s="204"/>
    </row>
    <row r="4" spans="1:8">
      <c r="A4" s="180"/>
      <c r="B4" s="180"/>
    </row>
    <row r="7" spans="1:8" ht="16" thickBot="1">
      <c r="A7" s="181" t="s">
        <v>361</v>
      </c>
    </row>
    <row r="8" spans="1:8">
      <c r="A8" s="182" t="s">
        <v>362</v>
      </c>
      <c r="B8" s="183">
        <v>1500</v>
      </c>
    </row>
    <row r="9" spans="1:8">
      <c r="A9" s="184" t="s">
        <v>363</v>
      </c>
      <c r="B9" s="185">
        <v>10</v>
      </c>
    </row>
    <row r="10" spans="1:8">
      <c r="A10" s="184" t="s">
        <v>364</v>
      </c>
      <c r="B10" s="178">
        <v>0.5</v>
      </c>
      <c r="C10" s="179" t="s">
        <v>365</v>
      </c>
    </row>
    <row r="11" spans="1:8" ht="16" thickBot="1">
      <c r="A11" s="186" t="s">
        <v>366</v>
      </c>
      <c r="B11" s="187"/>
    </row>
    <row r="12" spans="1:8">
      <c r="A12" s="142"/>
    </row>
    <row r="13" spans="1:8" ht="16" thickBot="1">
      <c r="A13" s="181" t="s">
        <v>367</v>
      </c>
    </row>
    <row r="14" spans="1:8">
      <c r="A14" s="182" t="s">
        <v>368</v>
      </c>
      <c r="B14" s="183"/>
    </row>
    <row r="15" spans="1:8">
      <c r="A15" s="184" t="s">
        <v>369</v>
      </c>
      <c r="B15" s="185" t="str">
        <f>IF(B14&gt;0,B8/B14,"")</f>
        <v/>
      </c>
    </row>
    <row r="16" spans="1:8">
      <c r="A16" s="184" t="s">
        <v>370</v>
      </c>
      <c r="B16" s="185"/>
    </row>
    <row r="17" spans="1:2" ht="16" thickBot="1">
      <c r="A17" s="186" t="s">
        <v>371</v>
      </c>
      <c r="B17" s="187"/>
    </row>
    <row r="18" spans="1:2" ht="16" thickBot="1">
      <c r="A18" s="188" t="s">
        <v>372</v>
      </c>
      <c r="B18" s="189" t="e">
        <f>B15*B16+B17</f>
        <v>#VALUE!</v>
      </c>
    </row>
    <row r="19" spans="1:2">
      <c r="A19" s="190"/>
      <c r="B19" s="191"/>
    </row>
    <row r="20" spans="1:2" ht="16" thickBot="1">
      <c r="A20" s="192" t="s">
        <v>82</v>
      </c>
    </row>
    <row r="21" spans="1:2">
      <c r="A21" s="193" t="s">
        <v>373</v>
      </c>
      <c r="B21" s="194">
        <f>SQRT(2*B8*B9/B10)</f>
        <v>244.94897427831782</v>
      </c>
    </row>
    <row r="22" spans="1:2">
      <c r="A22" s="195" t="s">
        <v>374</v>
      </c>
      <c r="B22" s="196">
        <f>B21 + B17</f>
        <v>244.94897427831782</v>
      </c>
    </row>
    <row r="23" spans="1:2">
      <c r="A23" s="195" t="s">
        <v>375</v>
      </c>
      <c r="B23" s="196">
        <f>B21/2</f>
        <v>122.47448713915891</v>
      </c>
    </row>
    <row r="24" spans="1:2">
      <c r="A24" s="195" t="s">
        <v>376</v>
      </c>
      <c r="B24" s="196">
        <f>B8/B21</f>
        <v>6.1237243569579451</v>
      </c>
    </row>
    <row r="25" spans="1:2">
      <c r="A25" s="195"/>
      <c r="B25" s="197"/>
    </row>
    <row r="26" spans="1:2">
      <c r="A26" s="195" t="s">
        <v>377</v>
      </c>
      <c r="B26" s="198">
        <f>B23*B10</f>
        <v>61.237243569579455</v>
      </c>
    </row>
    <row r="27" spans="1:2">
      <c r="A27" s="195" t="s">
        <v>378</v>
      </c>
      <c r="B27" s="198">
        <f>B24*B9</f>
        <v>61.237243569579448</v>
      </c>
    </row>
    <row r="28" spans="1:2">
      <c r="A28" s="195"/>
      <c r="B28" s="198"/>
    </row>
    <row r="29" spans="1:2">
      <c r="A29" s="195" t="s">
        <v>379</v>
      </c>
      <c r="B29" s="198">
        <f>B11*B8</f>
        <v>0</v>
      </c>
    </row>
    <row r="30" spans="1:2" ht="18" thickBot="1">
      <c r="A30" s="188" t="s">
        <v>386</v>
      </c>
      <c r="B30" s="199">
        <f>B26+B27+B29</f>
        <v>122.4744871391589</v>
      </c>
    </row>
    <row r="32" spans="1:2">
      <c r="A32" s="190"/>
      <c r="B32" s="191"/>
    </row>
    <row r="34" spans="1:5">
      <c r="A34" s="200" t="s">
        <v>380</v>
      </c>
      <c r="B34" s="135" t="s">
        <v>381</v>
      </c>
      <c r="C34" s="201">
        <f>B21/4</f>
        <v>61.237243569579455</v>
      </c>
      <c r="D34" s="135" t="s">
        <v>382</v>
      </c>
      <c r="E34" s="201">
        <f>B21/12</f>
        <v>20.412414523193153</v>
      </c>
    </row>
    <row r="36" spans="1:5" ht="30">
      <c r="B36" s="202" t="s">
        <v>383</v>
      </c>
      <c r="C36" s="202" t="s">
        <v>384</v>
      </c>
      <c r="D36" s="202" t="s">
        <v>385</v>
      </c>
      <c r="E36" s="202" t="s">
        <v>173</v>
      </c>
    </row>
    <row r="37" spans="1:5">
      <c r="B37" s="203">
        <f>C34</f>
        <v>61.237243569579455</v>
      </c>
      <c r="C37" s="203">
        <f>$B$8*$B$9/B37</f>
        <v>244.94897427831779</v>
      </c>
      <c r="D37" s="203">
        <f>$B$10*B37/2</f>
        <v>15.309310892394864</v>
      </c>
      <c r="E37" s="203">
        <f>+C37+D37</f>
        <v>260.25828517071267</v>
      </c>
    </row>
    <row r="38" spans="1:5">
      <c r="B38" s="203">
        <f>B37+$E$34</f>
        <v>81.649658092772611</v>
      </c>
      <c r="C38" s="203">
        <f t="shared" ref="C38:C60" si="0">$B$8*$B$9/B38</f>
        <v>183.71173070873834</v>
      </c>
      <c r="D38" s="203">
        <f t="shared" ref="D38:D60" si="1">$B$10*B38/2</f>
        <v>20.412414523193153</v>
      </c>
      <c r="E38" s="203">
        <f t="shared" ref="E38:E60" si="2">+C38+D38</f>
        <v>204.12414523193149</v>
      </c>
    </row>
    <row r="39" spans="1:5">
      <c r="B39" s="203">
        <f t="shared" ref="B39:B60" si="3">B38+$E$34</f>
        <v>102.06207261596576</v>
      </c>
      <c r="C39" s="203">
        <f t="shared" si="0"/>
        <v>146.96938456699067</v>
      </c>
      <c r="D39" s="203">
        <f t="shared" si="1"/>
        <v>25.51551815399144</v>
      </c>
      <c r="E39" s="203">
        <f t="shared" si="2"/>
        <v>172.48490272098212</v>
      </c>
    </row>
    <row r="40" spans="1:5">
      <c r="B40" s="203">
        <f t="shared" si="3"/>
        <v>122.47448713915891</v>
      </c>
      <c r="C40" s="203">
        <f t="shared" si="0"/>
        <v>122.4744871391589</v>
      </c>
      <c r="D40" s="203">
        <f t="shared" si="1"/>
        <v>30.618621784789728</v>
      </c>
      <c r="E40" s="203">
        <f t="shared" si="2"/>
        <v>153.09310892394862</v>
      </c>
    </row>
    <row r="41" spans="1:5">
      <c r="B41" s="203">
        <f t="shared" si="3"/>
        <v>142.88690166235207</v>
      </c>
      <c r="C41" s="203">
        <f t="shared" si="0"/>
        <v>104.97813183356476</v>
      </c>
      <c r="D41" s="203">
        <f t="shared" si="1"/>
        <v>35.721725415588018</v>
      </c>
      <c r="E41" s="203">
        <f t="shared" si="2"/>
        <v>140.69985724915279</v>
      </c>
    </row>
    <row r="42" spans="1:5">
      <c r="B42" s="203">
        <f t="shared" si="3"/>
        <v>163.29931618554522</v>
      </c>
      <c r="C42" s="203">
        <f t="shared" si="0"/>
        <v>91.855865354369172</v>
      </c>
      <c r="D42" s="203">
        <f t="shared" si="1"/>
        <v>40.824829046386306</v>
      </c>
      <c r="E42" s="203">
        <f t="shared" si="2"/>
        <v>132.68069440075547</v>
      </c>
    </row>
    <row r="43" spans="1:5">
      <c r="B43" s="203">
        <f t="shared" si="3"/>
        <v>183.71173070873837</v>
      </c>
      <c r="C43" s="203">
        <f t="shared" si="0"/>
        <v>81.649658092772597</v>
      </c>
      <c r="D43" s="203">
        <f t="shared" si="1"/>
        <v>45.927932677184593</v>
      </c>
      <c r="E43" s="203">
        <f t="shared" si="2"/>
        <v>127.5775907699572</v>
      </c>
    </row>
    <row r="44" spans="1:5">
      <c r="B44" s="203">
        <f t="shared" si="3"/>
        <v>204.12414523193152</v>
      </c>
      <c r="C44" s="203">
        <f t="shared" si="0"/>
        <v>73.484692283495335</v>
      </c>
      <c r="D44" s="203">
        <f t="shared" si="1"/>
        <v>51.03103630798288</v>
      </c>
      <c r="E44" s="203">
        <f t="shared" si="2"/>
        <v>124.51572859147822</v>
      </c>
    </row>
    <row r="45" spans="1:5">
      <c r="B45" s="203">
        <f t="shared" si="3"/>
        <v>224.53655975512467</v>
      </c>
      <c r="C45" s="203">
        <f t="shared" si="0"/>
        <v>66.804265712268489</v>
      </c>
      <c r="D45" s="203">
        <f t="shared" si="1"/>
        <v>56.134139938781168</v>
      </c>
      <c r="E45" s="203">
        <f t="shared" si="2"/>
        <v>122.93840565104966</v>
      </c>
    </row>
    <row r="46" spans="1:5">
      <c r="B46" s="203">
        <f t="shared" si="3"/>
        <v>244.94897427831782</v>
      </c>
      <c r="C46" s="203">
        <f t="shared" si="0"/>
        <v>61.237243569579448</v>
      </c>
      <c r="D46" s="203">
        <f t="shared" si="1"/>
        <v>61.237243569579455</v>
      </c>
      <c r="E46" s="203">
        <f t="shared" si="2"/>
        <v>122.4744871391589</v>
      </c>
    </row>
    <row r="47" spans="1:5">
      <c r="B47" s="203">
        <f t="shared" si="3"/>
        <v>265.361388801511</v>
      </c>
      <c r="C47" s="203">
        <f t="shared" si="0"/>
        <v>56.526686371919489</v>
      </c>
      <c r="D47" s="203">
        <f t="shared" si="1"/>
        <v>66.340347200377749</v>
      </c>
      <c r="E47" s="203">
        <f t="shared" si="2"/>
        <v>122.86703357229723</v>
      </c>
    </row>
    <row r="48" spans="1:5">
      <c r="B48" s="203">
        <f t="shared" si="3"/>
        <v>285.77380332470415</v>
      </c>
      <c r="C48" s="203">
        <f t="shared" si="0"/>
        <v>52.48906591678238</v>
      </c>
      <c r="D48" s="203">
        <f t="shared" si="1"/>
        <v>71.443450831176037</v>
      </c>
      <c r="E48" s="203">
        <f t="shared" si="2"/>
        <v>123.93251674795842</v>
      </c>
    </row>
    <row r="49" spans="2:5">
      <c r="B49" s="203">
        <f t="shared" si="3"/>
        <v>306.1862178478973</v>
      </c>
      <c r="C49" s="203">
        <f t="shared" si="0"/>
        <v>48.989794855663554</v>
      </c>
      <c r="D49" s="203">
        <f t="shared" si="1"/>
        <v>76.546554461974324</v>
      </c>
      <c r="E49" s="203">
        <f t="shared" si="2"/>
        <v>125.53634931763787</v>
      </c>
    </row>
    <row r="50" spans="2:5">
      <c r="B50" s="203">
        <f t="shared" si="3"/>
        <v>326.59863237109045</v>
      </c>
      <c r="C50" s="203">
        <f t="shared" si="0"/>
        <v>45.927932677184586</v>
      </c>
      <c r="D50" s="203">
        <f t="shared" si="1"/>
        <v>81.649658092772611</v>
      </c>
      <c r="E50" s="203">
        <f t="shared" si="2"/>
        <v>127.5775907699572</v>
      </c>
    </row>
    <row r="51" spans="2:5">
      <c r="B51" s="203">
        <f t="shared" si="3"/>
        <v>347.0110468942836</v>
      </c>
      <c r="C51" s="203">
        <f t="shared" si="0"/>
        <v>43.226289578526668</v>
      </c>
      <c r="D51" s="203">
        <f t="shared" si="1"/>
        <v>86.752761723570899</v>
      </c>
      <c r="E51" s="203">
        <f t="shared" si="2"/>
        <v>129.97905130209756</v>
      </c>
    </row>
    <row r="52" spans="2:5">
      <c r="B52" s="203">
        <f t="shared" si="3"/>
        <v>367.42346141747674</v>
      </c>
      <c r="C52" s="203">
        <f t="shared" si="0"/>
        <v>40.824829046386299</v>
      </c>
      <c r="D52" s="203">
        <f t="shared" si="1"/>
        <v>91.855865354369186</v>
      </c>
      <c r="E52" s="203">
        <f t="shared" si="2"/>
        <v>132.6806944007555</v>
      </c>
    </row>
    <row r="53" spans="2:5">
      <c r="B53" s="203">
        <f t="shared" si="3"/>
        <v>387.83587594066989</v>
      </c>
      <c r="C53" s="203">
        <f t="shared" si="0"/>
        <v>38.676153833418596</v>
      </c>
      <c r="D53" s="203">
        <f t="shared" si="1"/>
        <v>96.958968985167473</v>
      </c>
      <c r="E53" s="203">
        <f t="shared" si="2"/>
        <v>135.63512281858607</v>
      </c>
    </row>
    <row r="54" spans="2:5">
      <c r="B54" s="203">
        <f t="shared" si="3"/>
        <v>408.24829046386304</v>
      </c>
      <c r="C54" s="203">
        <f t="shared" si="0"/>
        <v>36.742346141747667</v>
      </c>
      <c r="D54" s="203">
        <f t="shared" si="1"/>
        <v>102.06207261596576</v>
      </c>
      <c r="E54" s="203">
        <f t="shared" si="2"/>
        <v>138.80441875771342</v>
      </c>
    </row>
    <row r="55" spans="2:5">
      <c r="B55" s="203">
        <f t="shared" si="3"/>
        <v>428.66070498705619</v>
      </c>
      <c r="C55" s="203">
        <f t="shared" si="0"/>
        <v>34.992710611188258</v>
      </c>
      <c r="D55" s="203">
        <f t="shared" si="1"/>
        <v>107.16517624676405</v>
      </c>
      <c r="E55" s="203">
        <f t="shared" si="2"/>
        <v>142.15788685795229</v>
      </c>
    </row>
    <row r="56" spans="2:5">
      <c r="B56" s="203">
        <f t="shared" si="3"/>
        <v>449.07311951024934</v>
      </c>
      <c r="C56" s="203">
        <f t="shared" si="0"/>
        <v>33.402132856134244</v>
      </c>
      <c r="D56" s="203">
        <f t="shared" si="1"/>
        <v>112.26827987756234</v>
      </c>
      <c r="E56" s="203">
        <f t="shared" si="2"/>
        <v>145.67041273369659</v>
      </c>
    </row>
    <row r="57" spans="2:5">
      <c r="B57" s="203">
        <f t="shared" si="3"/>
        <v>469.48553403344249</v>
      </c>
      <c r="C57" s="203">
        <f t="shared" si="0"/>
        <v>31.949866210215365</v>
      </c>
      <c r="D57" s="203">
        <f t="shared" si="1"/>
        <v>117.37138350836062</v>
      </c>
      <c r="E57" s="203">
        <f t="shared" si="2"/>
        <v>149.32124971857598</v>
      </c>
    </row>
    <row r="58" spans="2:5">
      <c r="B58" s="203">
        <f t="shared" si="3"/>
        <v>489.89794855663564</v>
      </c>
      <c r="C58" s="203">
        <f t="shared" si="0"/>
        <v>30.618621784789724</v>
      </c>
      <c r="D58" s="203">
        <f t="shared" si="1"/>
        <v>122.47448713915891</v>
      </c>
      <c r="E58" s="203">
        <f t="shared" si="2"/>
        <v>153.09310892394865</v>
      </c>
    </row>
    <row r="59" spans="2:5">
      <c r="B59" s="203">
        <f t="shared" si="3"/>
        <v>510.31036307982879</v>
      </c>
      <c r="C59" s="203">
        <f t="shared" si="0"/>
        <v>29.393876913398135</v>
      </c>
      <c r="D59" s="203">
        <f t="shared" si="1"/>
        <v>127.5775907699572</v>
      </c>
      <c r="E59" s="203">
        <f t="shared" si="2"/>
        <v>156.97146768335534</v>
      </c>
    </row>
    <row r="60" spans="2:5">
      <c r="B60" s="203">
        <f t="shared" si="3"/>
        <v>530.722777603022</v>
      </c>
      <c r="C60" s="203">
        <f t="shared" si="0"/>
        <v>28.263343185959744</v>
      </c>
      <c r="D60" s="203">
        <f t="shared" si="1"/>
        <v>132.6806944007555</v>
      </c>
      <c r="E60" s="203">
        <f t="shared" si="2"/>
        <v>160.94403758671524</v>
      </c>
    </row>
    <row r="61" spans="2:5">
      <c r="B61" s="203"/>
      <c r="C61" s="203"/>
      <c r="D61" s="203"/>
      <c r="E61" s="203"/>
    </row>
    <row r="62" spans="2:5">
      <c r="B62" s="203">
        <f>B21</f>
        <v>244.94897427831782</v>
      </c>
      <c r="C62" s="203">
        <v>0</v>
      </c>
      <c r="D62" s="203"/>
      <c r="E62" s="203"/>
    </row>
    <row r="63" spans="2:5">
      <c r="B63" s="203">
        <f>B21</f>
        <v>244.94897427831782</v>
      </c>
      <c r="C63" s="203">
        <f>B26+B27</f>
        <v>122.4744871391589</v>
      </c>
      <c r="D63" s="203"/>
      <c r="E63" s="203"/>
    </row>
  </sheetData>
  <conditionalFormatting sqref="E9">
    <cfRule type="expression" dxfId="19" priority="2">
      <formula>ISNUMBER(E8)</formula>
    </cfRule>
  </conditionalFormatting>
  <conditionalFormatting sqref="B15">
    <cfRule type="expression" dxfId="18" priority="1">
      <formula>ISNUMBER(B14)</formula>
    </cfRule>
  </conditionalFormatting>
  <pageMargins left="0.7" right="0.7" top="0.75" bottom="0.75" header="0.3" footer="0.3"/>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enableFormatConditionsCalculation="0"/>
  <dimension ref="A1:H63"/>
  <sheetViews>
    <sheetView topLeftCell="A27" workbookViewId="0">
      <selection activeCell="B15" sqref="B15"/>
    </sheetView>
  </sheetViews>
  <sheetFormatPr baseColWidth="10" defaultColWidth="8.83203125" defaultRowHeight="15" x14ac:dyDescent="0"/>
  <cols>
    <col min="1" max="1" width="36.83203125" style="135" customWidth="1"/>
    <col min="2" max="2" width="17.6640625" style="135" customWidth="1"/>
    <col min="3" max="3" width="13.1640625" style="135" customWidth="1"/>
    <col min="4" max="16384" width="8.83203125" style="135"/>
  </cols>
  <sheetData>
    <row r="1" spans="1:8" ht="18">
      <c r="A1" s="157" t="s">
        <v>937</v>
      </c>
    </row>
    <row r="3" spans="1:8" ht="16">
      <c r="A3" s="177" t="s">
        <v>345</v>
      </c>
      <c r="B3" s="177" t="s">
        <v>360</v>
      </c>
      <c r="C3" s="177"/>
      <c r="D3" s="177"/>
      <c r="E3" s="177"/>
      <c r="F3" s="177"/>
      <c r="G3" s="177"/>
      <c r="H3" s="204"/>
    </row>
    <row r="4" spans="1:8">
      <c r="A4" s="180"/>
      <c r="B4" s="180"/>
    </row>
    <row r="7" spans="1:8" ht="16" thickBot="1">
      <c r="A7" s="181" t="s">
        <v>361</v>
      </c>
    </row>
    <row r="8" spans="1:8">
      <c r="A8" s="182" t="s">
        <v>362</v>
      </c>
      <c r="B8" s="183">
        <v>1500</v>
      </c>
    </row>
    <row r="9" spans="1:8">
      <c r="A9" s="184" t="s">
        <v>363</v>
      </c>
      <c r="B9" s="185">
        <v>10</v>
      </c>
    </row>
    <row r="10" spans="1:8">
      <c r="A10" s="184" t="s">
        <v>364</v>
      </c>
      <c r="B10" s="178">
        <v>0.5</v>
      </c>
      <c r="C10" s="179" t="s">
        <v>365</v>
      </c>
    </row>
    <row r="11" spans="1:8" ht="16" thickBot="1">
      <c r="A11" s="186" t="s">
        <v>366</v>
      </c>
      <c r="B11" s="187"/>
    </row>
    <row r="12" spans="1:8">
      <c r="A12" s="142"/>
    </row>
    <row r="13" spans="1:8" ht="16" thickBot="1">
      <c r="A13" s="192" t="s">
        <v>82</v>
      </c>
    </row>
    <row r="14" spans="1:8">
      <c r="A14" s="193" t="s">
        <v>373</v>
      </c>
      <c r="B14" s="194">
        <v>200</v>
      </c>
    </row>
    <row r="15" spans="1:8">
      <c r="A15" s="195" t="s">
        <v>374</v>
      </c>
      <c r="B15" s="196">
        <f>B14</f>
        <v>200</v>
      </c>
    </row>
    <row r="16" spans="1:8">
      <c r="A16" s="195" t="s">
        <v>375</v>
      </c>
      <c r="B16" s="196">
        <f>B14/2</f>
        <v>100</v>
      </c>
    </row>
    <row r="17" spans="1:2">
      <c r="A17" s="195" t="s">
        <v>376</v>
      </c>
      <c r="B17" s="196">
        <f>B8/B14</f>
        <v>7.5</v>
      </c>
    </row>
    <row r="18" spans="1:2">
      <c r="A18" s="195"/>
      <c r="B18" s="197"/>
    </row>
    <row r="19" spans="1:2">
      <c r="A19" s="195" t="s">
        <v>377</v>
      </c>
      <c r="B19" s="198">
        <f>B16*B10</f>
        <v>50</v>
      </c>
    </row>
    <row r="20" spans="1:2">
      <c r="A20" s="195" t="s">
        <v>378</v>
      </c>
      <c r="B20" s="198">
        <f>B17*B9</f>
        <v>75</v>
      </c>
    </row>
    <row r="21" spans="1:2">
      <c r="A21" s="195"/>
      <c r="B21" s="198"/>
    </row>
    <row r="22" spans="1:2">
      <c r="A22" s="195" t="s">
        <v>379</v>
      </c>
      <c r="B22" s="198">
        <f>B11*B8</f>
        <v>0</v>
      </c>
    </row>
    <row r="23" spans="1:2" ht="18" thickBot="1">
      <c r="A23" s="188" t="s">
        <v>386</v>
      </c>
      <c r="B23" s="199">
        <f>B19+B20+B22</f>
        <v>125</v>
      </c>
    </row>
    <row r="32" spans="1:2">
      <c r="A32" s="190"/>
      <c r="B32" s="191"/>
    </row>
    <row r="34" spans="1:5">
      <c r="A34" s="200" t="s">
        <v>380</v>
      </c>
      <c r="B34" s="135" t="s">
        <v>381</v>
      </c>
      <c r="C34" s="201">
        <f>B14/4</f>
        <v>50</v>
      </c>
      <c r="D34" s="135" t="s">
        <v>382</v>
      </c>
      <c r="E34" s="201">
        <f>B14/12</f>
        <v>16.666666666666668</v>
      </c>
    </row>
    <row r="36" spans="1:5" ht="30">
      <c r="B36" s="202" t="s">
        <v>383</v>
      </c>
      <c r="C36" s="202" t="s">
        <v>384</v>
      </c>
      <c r="D36" s="202" t="s">
        <v>385</v>
      </c>
      <c r="E36" s="202" t="s">
        <v>173</v>
      </c>
    </row>
    <row r="37" spans="1:5">
      <c r="B37" s="203">
        <f>C34</f>
        <v>50</v>
      </c>
      <c r="C37" s="203">
        <f>$B$8*$B$9/B37</f>
        <v>300</v>
      </c>
      <c r="D37" s="203">
        <f>$B$10*B37/2</f>
        <v>12.5</v>
      </c>
      <c r="E37" s="203">
        <f>+C37+D37</f>
        <v>312.5</v>
      </c>
    </row>
    <row r="38" spans="1:5">
      <c r="B38" s="203">
        <f>B37+$E$34</f>
        <v>66.666666666666671</v>
      </c>
      <c r="C38" s="203">
        <f t="shared" ref="C38:C60" si="0">$B$8*$B$9/B38</f>
        <v>224.99999999999997</v>
      </c>
      <c r="D38" s="203">
        <f t="shared" ref="D38:D60" si="1">$B$10*B38/2</f>
        <v>16.666666666666668</v>
      </c>
      <c r="E38" s="203">
        <f t="shared" ref="E38:E60" si="2">+C38+D38</f>
        <v>241.66666666666663</v>
      </c>
    </row>
    <row r="39" spans="1:5">
      <c r="B39" s="203">
        <f t="shared" ref="B39:B60" si="3">B38+$E$34</f>
        <v>83.333333333333343</v>
      </c>
      <c r="C39" s="203">
        <f t="shared" si="0"/>
        <v>179.99999999999997</v>
      </c>
      <c r="D39" s="203">
        <f t="shared" si="1"/>
        <v>20.833333333333336</v>
      </c>
      <c r="E39" s="203">
        <f t="shared" si="2"/>
        <v>200.83333333333331</v>
      </c>
    </row>
    <row r="40" spans="1:5">
      <c r="B40" s="203">
        <f t="shared" si="3"/>
        <v>100.00000000000001</v>
      </c>
      <c r="C40" s="203">
        <f t="shared" si="0"/>
        <v>149.99999999999997</v>
      </c>
      <c r="D40" s="203">
        <f t="shared" si="1"/>
        <v>25.000000000000004</v>
      </c>
      <c r="E40" s="203">
        <f t="shared" si="2"/>
        <v>174.99999999999997</v>
      </c>
    </row>
    <row r="41" spans="1:5">
      <c r="B41" s="203">
        <f t="shared" si="3"/>
        <v>116.66666666666669</v>
      </c>
      <c r="C41" s="203">
        <f t="shared" si="0"/>
        <v>128.57142857142856</v>
      </c>
      <c r="D41" s="203">
        <f t="shared" si="1"/>
        <v>29.166666666666671</v>
      </c>
      <c r="E41" s="203">
        <f t="shared" si="2"/>
        <v>157.73809523809524</v>
      </c>
    </row>
    <row r="42" spans="1:5">
      <c r="B42" s="203">
        <f t="shared" si="3"/>
        <v>133.33333333333334</v>
      </c>
      <c r="C42" s="203">
        <f t="shared" si="0"/>
        <v>112.49999999999999</v>
      </c>
      <c r="D42" s="203">
        <f t="shared" si="1"/>
        <v>33.333333333333336</v>
      </c>
      <c r="E42" s="203">
        <f t="shared" si="2"/>
        <v>145.83333333333331</v>
      </c>
    </row>
    <row r="43" spans="1:5">
      <c r="B43" s="203">
        <f t="shared" si="3"/>
        <v>150</v>
      </c>
      <c r="C43" s="203">
        <f t="shared" si="0"/>
        <v>100</v>
      </c>
      <c r="D43" s="203">
        <f t="shared" si="1"/>
        <v>37.5</v>
      </c>
      <c r="E43" s="203">
        <f t="shared" si="2"/>
        <v>137.5</v>
      </c>
    </row>
    <row r="44" spans="1:5">
      <c r="B44" s="203">
        <f t="shared" si="3"/>
        <v>166.66666666666666</v>
      </c>
      <c r="C44" s="203">
        <f t="shared" si="0"/>
        <v>90</v>
      </c>
      <c r="D44" s="203">
        <f t="shared" si="1"/>
        <v>41.666666666666664</v>
      </c>
      <c r="E44" s="203">
        <f t="shared" si="2"/>
        <v>131.66666666666666</v>
      </c>
    </row>
    <row r="45" spans="1:5">
      <c r="B45" s="203">
        <f t="shared" si="3"/>
        <v>183.33333333333331</v>
      </c>
      <c r="C45" s="203">
        <f t="shared" si="0"/>
        <v>81.818181818181827</v>
      </c>
      <c r="D45" s="203">
        <f t="shared" si="1"/>
        <v>45.833333333333329</v>
      </c>
      <c r="E45" s="203">
        <f t="shared" si="2"/>
        <v>127.65151515151516</v>
      </c>
    </row>
    <row r="46" spans="1:5">
      <c r="B46" s="203">
        <f t="shared" si="3"/>
        <v>199.99999999999997</v>
      </c>
      <c r="C46" s="203">
        <f t="shared" si="0"/>
        <v>75.000000000000014</v>
      </c>
      <c r="D46" s="203">
        <f t="shared" si="1"/>
        <v>49.999999999999993</v>
      </c>
      <c r="E46" s="203">
        <f t="shared" si="2"/>
        <v>125</v>
      </c>
    </row>
    <row r="47" spans="1:5">
      <c r="B47" s="203">
        <f t="shared" si="3"/>
        <v>216.66666666666663</v>
      </c>
      <c r="C47" s="203">
        <f t="shared" si="0"/>
        <v>69.230769230769241</v>
      </c>
      <c r="D47" s="203">
        <f t="shared" si="1"/>
        <v>54.166666666666657</v>
      </c>
      <c r="E47" s="203">
        <f t="shared" si="2"/>
        <v>123.3974358974359</v>
      </c>
    </row>
    <row r="48" spans="1:5">
      <c r="B48" s="203">
        <f t="shared" si="3"/>
        <v>233.33333333333329</v>
      </c>
      <c r="C48" s="203">
        <f t="shared" si="0"/>
        <v>64.285714285714292</v>
      </c>
      <c r="D48" s="203">
        <f t="shared" si="1"/>
        <v>58.333333333333321</v>
      </c>
      <c r="E48" s="203">
        <f t="shared" si="2"/>
        <v>122.61904761904762</v>
      </c>
    </row>
    <row r="49" spans="2:5">
      <c r="B49" s="203">
        <f t="shared" si="3"/>
        <v>249.99999999999994</v>
      </c>
      <c r="C49" s="203">
        <f t="shared" si="0"/>
        <v>60.000000000000014</v>
      </c>
      <c r="D49" s="203">
        <f t="shared" si="1"/>
        <v>62.499999999999986</v>
      </c>
      <c r="E49" s="203">
        <f t="shared" si="2"/>
        <v>122.5</v>
      </c>
    </row>
    <row r="50" spans="2:5">
      <c r="B50" s="203">
        <f t="shared" si="3"/>
        <v>266.66666666666663</v>
      </c>
      <c r="C50" s="203">
        <f t="shared" si="0"/>
        <v>56.250000000000007</v>
      </c>
      <c r="D50" s="203">
        <f t="shared" si="1"/>
        <v>66.666666666666657</v>
      </c>
      <c r="E50" s="203">
        <f t="shared" si="2"/>
        <v>122.91666666666666</v>
      </c>
    </row>
    <row r="51" spans="2:5">
      <c r="B51" s="203">
        <f t="shared" si="3"/>
        <v>283.33333333333331</v>
      </c>
      <c r="C51" s="203">
        <f t="shared" si="0"/>
        <v>52.941176470588239</v>
      </c>
      <c r="D51" s="203">
        <f t="shared" si="1"/>
        <v>70.833333333333329</v>
      </c>
      <c r="E51" s="203">
        <f t="shared" si="2"/>
        <v>123.77450980392157</v>
      </c>
    </row>
    <row r="52" spans="2:5">
      <c r="B52" s="203">
        <f t="shared" si="3"/>
        <v>300</v>
      </c>
      <c r="C52" s="203">
        <f t="shared" si="0"/>
        <v>50</v>
      </c>
      <c r="D52" s="203">
        <f t="shared" si="1"/>
        <v>75</v>
      </c>
      <c r="E52" s="203">
        <f t="shared" si="2"/>
        <v>125</v>
      </c>
    </row>
    <row r="53" spans="2:5">
      <c r="B53" s="203">
        <f t="shared" si="3"/>
        <v>316.66666666666669</v>
      </c>
      <c r="C53" s="203">
        <f t="shared" si="0"/>
        <v>47.368421052631575</v>
      </c>
      <c r="D53" s="203">
        <f t="shared" si="1"/>
        <v>79.166666666666671</v>
      </c>
      <c r="E53" s="203">
        <f t="shared" si="2"/>
        <v>126.53508771929825</v>
      </c>
    </row>
    <row r="54" spans="2:5">
      <c r="B54" s="203">
        <f t="shared" si="3"/>
        <v>333.33333333333337</v>
      </c>
      <c r="C54" s="203">
        <f t="shared" si="0"/>
        <v>44.999999999999993</v>
      </c>
      <c r="D54" s="203">
        <f t="shared" si="1"/>
        <v>83.333333333333343</v>
      </c>
      <c r="E54" s="203">
        <f t="shared" si="2"/>
        <v>128.33333333333334</v>
      </c>
    </row>
    <row r="55" spans="2:5">
      <c r="B55" s="203">
        <f t="shared" si="3"/>
        <v>350.00000000000006</v>
      </c>
      <c r="C55" s="203">
        <f t="shared" si="0"/>
        <v>42.857142857142847</v>
      </c>
      <c r="D55" s="203">
        <f t="shared" si="1"/>
        <v>87.500000000000014</v>
      </c>
      <c r="E55" s="203">
        <f t="shared" si="2"/>
        <v>130.35714285714286</v>
      </c>
    </row>
    <row r="56" spans="2:5">
      <c r="B56" s="203">
        <f t="shared" si="3"/>
        <v>366.66666666666674</v>
      </c>
      <c r="C56" s="203">
        <f t="shared" si="0"/>
        <v>40.909090909090899</v>
      </c>
      <c r="D56" s="203">
        <f t="shared" si="1"/>
        <v>91.666666666666686</v>
      </c>
      <c r="E56" s="203">
        <f t="shared" si="2"/>
        <v>132.57575757575759</v>
      </c>
    </row>
    <row r="57" spans="2:5">
      <c r="B57" s="203">
        <f t="shared" si="3"/>
        <v>383.33333333333343</v>
      </c>
      <c r="C57" s="203">
        <f t="shared" si="0"/>
        <v>39.130434782608688</v>
      </c>
      <c r="D57" s="203">
        <f t="shared" si="1"/>
        <v>95.833333333333357</v>
      </c>
      <c r="E57" s="203">
        <f t="shared" si="2"/>
        <v>134.96376811594206</v>
      </c>
    </row>
    <row r="58" spans="2:5">
      <c r="B58" s="203">
        <f t="shared" si="3"/>
        <v>400.00000000000011</v>
      </c>
      <c r="C58" s="203">
        <f t="shared" si="0"/>
        <v>37.499999999999993</v>
      </c>
      <c r="D58" s="203">
        <f t="shared" si="1"/>
        <v>100.00000000000003</v>
      </c>
      <c r="E58" s="203">
        <f t="shared" si="2"/>
        <v>137.50000000000003</v>
      </c>
    </row>
    <row r="59" spans="2:5">
      <c r="B59" s="203">
        <f t="shared" si="3"/>
        <v>416.6666666666668</v>
      </c>
      <c r="C59" s="203">
        <f t="shared" si="0"/>
        <v>35.999999999999986</v>
      </c>
      <c r="D59" s="203">
        <f t="shared" si="1"/>
        <v>104.1666666666667</v>
      </c>
      <c r="E59" s="203">
        <f t="shared" si="2"/>
        <v>140.16666666666669</v>
      </c>
    </row>
    <row r="60" spans="2:5">
      <c r="B60" s="203">
        <f t="shared" si="3"/>
        <v>433.33333333333348</v>
      </c>
      <c r="C60" s="203">
        <f t="shared" si="0"/>
        <v>34.615384615384606</v>
      </c>
      <c r="D60" s="203">
        <f t="shared" si="1"/>
        <v>108.33333333333337</v>
      </c>
      <c r="E60" s="203">
        <f t="shared" si="2"/>
        <v>142.94871794871798</v>
      </c>
    </row>
    <row r="61" spans="2:5">
      <c r="B61" s="203"/>
      <c r="C61" s="203"/>
      <c r="D61" s="203"/>
      <c r="E61" s="203"/>
    </row>
    <row r="62" spans="2:5">
      <c r="B62" s="203">
        <f>B14</f>
        <v>200</v>
      </c>
      <c r="C62" s="203">
        <v>0</v>
      </c>
      <c r="D62" s="203"/>
      <c r="E62" s="203"/>
    </row>
    <row r="63" spans="2:5">
      <c r="B63" s="203">
        <f>B14</f>
        <v>200</v>
      </c>
      <c r="C63" s="203">
        <f>B19+B20</f>
        <v>125</v>
      </c>
      <c r="D63" s="203"/>
      <c r="E63" s="203"/>
    </row>
  </sheetData>
  <conditionalFormatting sqref="E9">
    <cfRule type="expression" dxfId="17" priority="2">
      <formula>ISNUMBER(E8)</formula>
    </cfRule>
  </conditionalFormatting>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6" enableFormatConditionsCalculation="0"/>
  <dimension ref="A1:H63"/>
  <sheetViews>
    <sheetView topLeftCell="A34" workbookViewId="0">
      <selection activeCell="F80" sqref="F80"/>
    </sheetView>
  </sheetViews>
  <sheetFormatPr baseColWidth="10" defaultColWidth="8.83203125" defaultRowHeight="15" x14ac:dyDescent="0"/>
  <cols>
    <col min="1" max="1" width="30.33203125" style="135" customWidth="1"/>
    <col min="2" max="2" width="14.6640625" style="135" customWidth="1"/>
    <col min="3" max="16384" width="8.83203125" style="135"/>
  </cols>
  <sheetData>
    <row r="1" spans="1:8" ht="18">
      <c r="A1" s="157" t="s">
        <v>402</v>
      </c>
    </row>
    <row r="3" spans="1:8" ht="16">
      <c r="A3" s="177" t="s">
        <v>345</v>
      </c>
      <c r="B3" s="177" t="s">
        <v>388</v>
      </c>
      <c r="C3" s="177"/>
      <c r="D3" s="177"/>
      <c r="E3" s="177"/>
      <c r="F3" s="177"/>
      <c r="G3" s="177"/>
      <c r="H3" s="204"/>
    </row>
    <row r="4" spans="1:8">
      <c r="A4" s="180"/>
      <c r="B4" s="180"/>
    </row>
    <row r="7" spans="1:8" ht="16" thickBot="1">
      <c r="A7" s="181" t="s">
        <v>1</v>
      </c>
    </row>
    <row r="8" spans="1:8">
      <c r="A8" s="140" t="s">
        <v>389</v>
      </c>
      <c r="B8" s="205">
        <v>1000</v>
      </c>
    </row>
    <row r="9" spans="1:8">
      <c r="A9" s="142" t="s">
        <v>390</v>
      </c>
      <c r="B9" s="206">
        <v>10</v>
      </c>
    </row>
    <row r="10" spans="1:8">
      <c r="A10" s="142" t="s">
        <v>391</v>
      </c>
      <c r="B10" s="206">
        <v>0.5</v>
      </c>
      <c r="C10" s="135" t="s">
        <v>365</v>
      </c>
    </row>
    <row r="11" spans="1:8">
      <c r="A11" s="142" t="s">
        <v>392</v>
      </c>
      <c r="B11" s="206">
        <v>8</v>
      </c>
    </row>
    <row r="12" spans="1:8">
      <c r="A12" s="142" t="s">
        <v>368</v>
      </c>
      <c r="B12" s="206"/>
    </row>
    <row r="13" spans="1:8">
      <c r="A13" s="142" t="s">
        <v>393</v>
      </c>
      <c r="B13" s="206">
        <v>4</v>
      </c>
      <c r="C13" s="207">
        <f>IF(B13&gt;0,B13,IF(B12&gt;0,B8/B12,"Enter the days per year or the daily demand rate"))</f>
        <v>4</v>
      </c>
    </row>
    <row r="14" spans="1:8" ht="16" thickBot="1">
      <c r="A14" s="145" t="s">
        <v>366</v>
      </c>
      <c r="B14" s="208"/>
    </row>
    <row r="16" spans="1:8" ht="16" thickBot="1">
      <c r="A16" s="192" t="s">
        <v>82</v>
      </c>
    </row>
    <row r="17" spans="1:2">
      <c r="A17" s="209" t="s">
        <v>394</v>
      </c>
      <c r="B17" s="210">
        <f>SQRT(2*B8*B9/B10)*SQRT(B11/(B11-C13))</f>
        <v>282.84271247461902</v>
      </c>
    </row>
    <row r="18" spans="1:2">
      <c r="A18" s="195" t="s">
        <v>395</v>
      </c>
      <c r="B18" s="197">
        <f>B17*(B11-C13)/B11</f>
        <v>141.42135623730951</v>
      </c>
    </row>
    <row r="19" spans="1:2">
      <c r="A19" s="195" t="s">
        <v>396</v>
      </c>
      <c r="B19" s="197">
        <f>B18/2</f>
        <v>70.710678118654755</v>
      </c>
    </row>
    <row r="20" spans="1:2">
      <c r="A20" s="195" t="s">
        <v>397</v>
      </c>
      <c r="B20" s="197">
        <f>B8/B17</f>
        <v>3.5355339059327373</v>
      </c>
    </row>
    <row r="21" spans="1:2">
      <c r="A21" s="195"/>
      <c r="B21" s="197"/>
    </row>
    <row r="22" spans="1:2">
      <c r="A22" s="195" t="s">
        <v>385</v>
      </c>
      <c r="B22" s="211">
        <f>B19*B10</f>
        <v>35.355339059327378</v>
      </c>
    </row>
    <row r="23" spans="1:2">
      <c r="A23" s="195" t="s">
        <v>398</v>
      </c>
      <c r="B23" s="211">
        <f>B20*B9</f>
        <v>35.35533905932737</v>
      </c>
    </row>
    <row r="24" spans="1:2">
      <c r="A24" s="195"/>
      <c r="B24" s="211"/>
    </row>
    <row r="25" spans="1:2">
      <c r="A25" s="195" t="s">
        <v>399</v>
      </c>
      <c r="B25" s="211">
        <f>B14*B8</f>
        <v>0</v>
      </c>
    </row>
    <row r="26" spans="1:2">
      <c r="A26" s="195"/>
      <c r="B26" s="211"/>
    </row>
    <row r="27" spans="1:2" ht="18" thickBot="1">
      <c r="A27" s="188" t="s">
        <v>401</v>
      </c>
      <c r="B27" s="212">
        <f>B22+B23+B25</f>
        <v>70.710678118654755</v>
      </c>
    </row>
    <row r="34" spans="1:5">
      <c r="A34" s="200" t="s">
        <v>380</v>
      </c>
      <c r="B34" s="135" t="s">
        <v>381</v>
      </c>
      <c r="C34" s="201">
        <f>B17/4</f>
        <v>70.710678118654755</v>
      </c>
      <c r="D34" s="135" t="s">
        <v>382</v>
      </c>
      <c r="E34" s="201">
        <f>B17/12</f>
        <v>23.570226039551585</v>
      </c>
    </row>
    <row r="36" spans="1:5" ht="45">
      <c r="B36" s="202" t="s">
        <v>400</v>
      </c>
      <c r="C36" s="202" t="s">
        <v>384</v>
      </c>
      <c r="D36" s="202" t="s">
        <v>385</v>
      </c>
      <c r="E36" s="202" t="s">
        <v>173</v>
      </c>
    </row>
    <row r="37" spans="1:5">
      <c r="B37" s="203">
        <f>C34</f>
        <v>70.710678118654755</v>
      </c>
      <c r="C37" s="203">
        <f>$B$8*$B$9/B37</f>
        <v>141.42135623730951</v>
      </c>
      <c r="D37" s="203">
        <f>$B$10*B37*($B$11-$C$13)/$B$11/2</f>
        <v>8.8388347648318444</v>
      </c>
      <c r="E37" s="203">
        <f>+C37+D37</f>
        <v>150.26019100214137</v>
      </c>
    </row>
    <row r="38" spans="1:5">
      <c r="B38" s="203">
        <f>B37+$E$34</f>
        <v>94.28090415820634</v>
      </c>
      <c r="C38" s="203">
        <f t="shared" ref="C38:C60" si="0">$B$8*$B$9/B38</f>
        <v>106.06601717798212</v>
      </c>
      <c r="D38" s="203">
        <f t="shared" ref="D38:D60" si="1">$B$10*B38*($B$11-$C$13)/$B$11/2</f>
        <v>11.785113019775793</v>
      </c>
      <c r="E38" s="203">
        <f t="shared" ref="E38:E60" si="2">+C38+D38</f>
        <v>117.85113019775791</v>
      </c>
    </row>
    <row r="39" spans="1:5">
      <c r="B39" s="203">
        <f t="shared" ref="B39:B60" si="3">B38+$E$34</f>
        <v>117.85113019775793</v>
      </c>
      <c r="C39" s="203">
        <f t="shared" si="0"/>
        <v>84.852813742385706</v>
      </c>
      <c r="D39" s="203">
        <f t="shared" si="1"/>
        <v>14.731391274719741</v>
      </c>
      <c r="E39" s="203">
        <f t="shared" si="2"/>
        <v>99.584205017105447</v>
      </c>
    </row>
    <row r="40" spans="1:5">
      <c r="B40" s="203">
        <f t="shared" si="3"/>
        <v>141.42135623730951</v>
      </c>
      <c r="C40" s="203">
        <f t="shared" si="0"/>
        <v>70.710678118654755</v>
      </c>
      <c r="D40" s="203">
        <f t="shared" si="1"/>
        <v>17.677669529663689</v>
      </c>
      <c r="E40" s="203">
        <f t="shared" si="2"/>
        <v>88.388347648318444</v>
      </c>
    </row>
    <row r="41" spans="1:5">
      <c r="B41" s="203">
        <f t="shared" si="3"/>
        <v>164.9915822768611</v>
      </c>
      <c r="C41" s="203">
        <f t="shared" si="0"/>
        <v>60.609152673132641</v>
      </c>
      <c r="D41" s="203">
        <f t="shared" si="1"/>
        <v>20.623947784607637</v>
      </c>
      <c r="E41" s="203">
        <f t="shared" si="2"/>
        <v>81.233100457740278</v>
      </c>
    </row>
    <row r="42" spans="1:5">
      <c r="B42" s="203">
        <f t="shared" si="3"/>
        <v>188.56180831641268</v>
      </c>
      <c r="C42" s="203">
        <f t="shared" si="0"/>
        <v>53.033008588991059</v>
      </c>
      <c r="D42" s="203">
        <f t="shared" si="1"/>
        <v>23.570226039551585</v>
      </c>
      <c r="E42" s="203">
        <f t="shared" si="2"/>
        <v>76.603234628542651</v>
      </c>
    </row>
    <row r="43" spans="1:5">
      <c r="B43" s="203">
        <f t="shared" si="3"/>
        <v>212.13203435596427</v>
      </c>
      <c r="C43" s="203">
        <f t="shared" si="0"/>
        <v>47.14045207910317</v>
      </c>
      <c r="D43" s="203">
        <f t="shared" si="1"/>
        <v>26.516504294495533</v>
      </c>
      <c r="E43" s="203">
        <f t="shared" si="2"/>
        <v>73.656956373598703</v>
      </c>
    </row>
    <row r="44" spans="1:5">
      <c r="B44" s="203">
        <f t="shared" si="3"/>
        <v>235.70226039551585</v>
      </c>
      <c r="C44" s="203">
        <f t="shared" si="0"/>
        <v>42.426406871192853</v>
      </c>
      <c r="D44" s="203">
        <f t="shared" si="1"/>
        <v>29.462782549439481</v>
      </c>
      <c r="E44" s="203">
        <f t="shared" si="2"/>
        <v>71.889189420632334</v>
      </c>
    </row>
    <row r="45" spans="1:5">
      <c r="B45" s="203">
        <f t="shared" si="3"/>
        <v>259.27248643506744</v>
      </c>
      <c r="C45" s="203">
        <f t="shared" si="0"/>
        <v>38.5694607919935</v>
      </c>
      <c r="D45" s="203">
        <f t="shared" si="1"/>
        <v>32.409060804383429</v>
      </c>
      <c r="E45" s="203">
        <f t="shared" si="2"/>
        <v>70.978521596376936</v>
      </c>
    </row>
    <row r="46" spans="1:5">
      <c r="B46" s="203">
        <f t="shared" si="3"/>
        <v>282.84271247461902</v>
      </c>
      <c r="C46" s="203">
        <f t="shared" si="0"/>
        <v>35.355339059327378</v>
      </c>
      <c r="D46" s="203">
        <f t="shared" si="1"/>
        <v>35.355339059327378</v>
      </c>
      <c r="E46" s="203">
        <f t="shared" si="2"/>
        <v>70.710678118654755</v>
      </c>
    </row>
    <row r="47" spans="1:5">
      <c r="B47" s="203">
        <f t="shared" si="3"/>
        <v>306.41293851417061</v>
      </c>
      <c r="C47" s="203">
        <f t="shared" si="0"/>
        <v>32.635697593225267</v>
      </c>
      <c r="D47" s="203">
        <f t="shared" si="1"/>
        <v>38.301617314271326</v>
      </c>
      <c r="E47" s="203">
        <f t="shared" si="2"/>
        <v>70.937314907496585</v>
      </c>
    </row>
    <row r="48" spans="1:5">
      <c r="B48" s="203">
        <f t="shared" si="3"/>
        <v>329.98316455372219</v>
      </c>
      <c r="C48" s="203">
        <f t="shared" si="0"/>
        <v>30.304576336566321</v>
      </c>
      <c r="D48" s="203">
        <f t="shared" si="1"/>
        <v>41.247895569215274</v>
      </c>
      <c r="E48" s="203">
        <f t="shared" si="2"/>
        <v>71.552471905781601</v>
      </c>
    </row>
    <row r="49" spans="2:5">
      <c r="B49" s="203">
        <f t="shared" si="3"/>
        <v>353.55339059327378</v>
      </c>
      <c r="C49" s="203">
        <f t="shared" si="0"/>
        <v>28.284271247461898</v>
      </c>
      <c r="D49" s="203">
        <f t="shared" si="1"/>
        <v>44.194173824159222</v>
      </c>
      <c r="E49" s="203">
        <f t="shared" si="2"/>
        <v>72.478445071621124</v>
      </c>
    </row>
    <row r="50" spans="2:5">
      <c r="B50" s="203">
        <f t="shared" si="3"/>
        <v>377.12361663282536</v>
      </c>
      <c r="C50" s="203">
        <f t="shared" si="0"/>
        <v>26.51650429449553</v>
      </c>
      <c r="D50" s="203">
        <f t="shared" si="1"/>
        <v>47.14045207910317</v>
      </c>
      <c r="E50" s="203">
        <f t="shared" si="2"/>
        <v>73.656956373598703</v>
      </c>
    </row>
    <row r="51" spans="2:5">
      <c r="B51" s="203">
        <f t="shared" si="3"/>
        <v>400.69384267237695</v>
      </c>
      <c r="C51" s="203">
        <f t="shared" si="0"/>
        <v>24.956709924231088</v>
      </c>
      <c r="D51" s="203">
        <f t="shared" si="1"/>
        <v>50.086730334047118</v>
      </c>
      <c r="E51" s="203">
        <f t="shared" si="2"/>
        <v>75.04344025827821</v>
      </c>
    </row>
    <row r="52" spans="2:5">
      <c r="B52" s="203">
        <f t="shared" si="3"/>
        <v>424.26406871192853</v>
      </c>
      <c r="C52" s="203">
        <f t="shared" si="0"/>
        <v>23.570226039551585</v>
      </c>
      <c r="D52" s="203">
        <f t="shared" si="1"/>
        <v>53.033008588991066</v>
      </c>
      <c r="E52" s="203">
        <f t="shared" si="2"/>
        <v>76.603234628542651</v>
      </c>
    </row>
    <row r="53" spans="2:5">
      <c r="B53" s="203">
        <f t="shared" si="3"/>
        <v>447.83429475148012</v>
      </c>
      <c r="C53" s="203">
        <f t="shared" si="0"/>
        <v>22.329687826943605</v>
      </c>
      <c r="D53" s="203">
        <f t="shared" si="1"/>
        <v>55.979286843935014</v>
      </c>
      <c r="E53" s="203">
        <f t="shared" si="2"/>
        <v>78.308974670878627</v>
      </c>
    </row>
    <row r="54" spans="2:5">
      <c r="B54" s="203">
        <f t="shared" si="3"/>
        <v>471.4045207910317</v>
      </c>
      <c r="C54" s="203">
        <f t="shared" si="0"/>
        <v>21.213203435596427</v>
      </c>
      <c r="D54" s="203">
        <f t="shared" si="1"/>
        <v>58.925565098878963</v>
      </c>
      <c r="E54" s="203">
        <f t="shared" si="2"/>
        <v>80.138768534475389</v>
      </c>
    </row>
    <row r="55" spans="2:5">
      <c r="B55" s="203">
        <f t="shared" si="3"/>
        <v>494.97474683058329</v>
      </c>
      <c r="C55" s="203">
        <f t="shared" si="0"/>
        <v>20.203050891044214</v>
      </c>
      <c r="D55" s="203">
        <f t="shared" si="1"/>
        <v>61.871843353822911</v>
      </c>
      <c r="E55" s="203">
        <f t="shared" si="2"/>
        <v>82.074894244867124</v>
      </c>
    </row>
    <row r="56" spans="2:5">
      <c r="B56" s="203">
        <f t="shared" si="3"/>
        <v>518.54497287013487</v>
      </c>
      <c r="C56" s="203">
        <f t="shared" si="0"/>
        <v>19.28473039599675</v>
      </c>
      <c r="D56" s="203">
        <f t="shared" si="1"/>
        <v>64.818121608766859</v>
      </c>
      <c r="E56" s="203">
        <f t="shared" si="2"/>
        <v>84.102852004763605</v>
      </c>
    </row>
    <row r="57" spans="2:5">
      <c r="B57" s="203">
        <f t="shared" si="3"/>
        <v>542.11519890968646</v>
      </c>
      <c r="C57" s="203">
        <f t="shared" si="0"/>
        <v>18.446263857040371</v>
      </c>
      <c r="D57" s="203">
        <f t="shared" si="1"/>
        <v>67.764399863710807</v>
      </c>
      <c r="E57" s="203">
        <f t="shared" si="2"/>
        <v>86.210663720751171</v>
      </c>
    </row>
    <row r="58" spans="2:5">
      <c r="B58" s="203">
        <f t="shared" si="3"/>
        <v>565.68542494923804</v>
      </c>
      <c r="C58" s="203">
        <f t="shared" si="0"/>
        <v>17.677669529663689</v>
      </c>
      <c r="D58" s="203">
        <f t="shared" si="1"/>
        <v>70.710678118654755</v>
      </c>
      <c r="E58" s="203">
        <f t="shared" si="2"/>
        <v>88.388347648318444</v>
      </c>
    </row>
    <row r="59" spans="2:5">
      <c r="B59" s="203">
        <f t="shared" si="3"/>
        <v>589.25565098878963</v>
      </c>
      <c r="C59" s="203">
        <f t="shared" si="0"/>
        <v>16.970562748477139</v>
      </c>
      <c r="D59" s="203">
        <f t="shared" si="1"/>
        <v>73.656956373598703</v>
      </c>
      <c r="E59" s="203">
        <f t="shared" si="2"/>
        <v>90.627519122075839</v>
      </c>
    </row>
    <row r="60" spans="2:5">
      <c r="B60" s="203">
        <f t="shared" si="3"/>
        <v>612.82587702834121</v>
      </c>
      <c r="C60" s="203">
        <f t="shared" si="0"/>
        <v>16.317848796612633</v>
      </c>
      <c r="D60" s="203">
        <f t="shared" si="1"/>
        <v>76.603234628542651</v>
      </c>
      <c r="E60" s="203">
        <f t="shared" si="2"/>
        <v>92.921083425155288</v>
      </c>
    </row>
    <row r="61" spans="2:5">
      <c r="B61" s="203"/>
      <c r="C61" s="203"/>
      <c r="D61" s="203"/>
      <c r="E61" s="203"/>
    </row>
    <row r="62" spans="2:5">
      <c r="B62" s="203">
        <f>B17</f>
        <v>282.84271247461902</v>
      </c>
      <c r="C62" s="203">
        <v>0</v>
      </c>
      <c r="D62" s="203"/>
      <c r="E62" s="203"/>
    </row>
    <row r="63" spans="2:5">
      <c r="B63" s="203">
        <f>B17</f>
        <v>282.84271247461902</v>
      </c>
      <c r="C63" s="203">
        <f>B22+B23</f>
        <v>70.710678118654755</v>
      </c>
      <c r="D63" s="203"/>
      <c r="E63" s="203"/>
    </row>
  </sheetData>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3"/>
  <sheetViews>
    <sheetView workbookViewId="0">
      <selection activeCell="C27" sqref="C27"/>
    </sheetView>
  </sheetViews>
  <sheetFormatPr baseColWidth="10" defaultRowHeight="15" x14ac:dyDescent="0"/>
  <cols>
    <col min="1" max="1" width="22.1640625" style="2" bestFit="1" customWidth="1"/>
    <col min="2" max="6" width="13.5" style="2" customWidth="1"/>
    <col min="7" max="16384" width="10.83203125" style="2"/>
  </cols>
  <sheetData>
    <row r="1" spans="1:8" ht="18">
      <c r="A1" s="39" t="s">
        <v>403</v>
      </c>
    </row>
    <row r="3" spans="1:8" ht="18">
      <c r="A3" s="3" t="s">
        <v>345</v>
      </c>
      <c r="B3" s="3" t="s">
        <v>403</v>
      </c>
      <c r="C3" s="3"/>
      <c r="D3" s="3"/>
      <c r="E3" s="3"/>
      <c r="F3" s="3"/>
      <c r="G3" s="3"/>
      <c r="H3" s="3"/>
    </row>
    <row r="4" spans="1:8">
      <c r="A4" s="1"/>
      <c r="B4" s="1"/>
    </row>
    <row r="7" spans="1:8" ht="16" thickBot="1">
      <c r="A7" s="5" t="s">
        <v>1</v>
      </c>
    </row>
    <row r="8" spans="1:8">
      <c r="A8" s="8" t="s">
        <v>389</v>
      </c>
      <c r="B8" s="90">
        <v>5200</v>
      </c>
      <c r="C8" s="24"/>
      <c r="D8" s="9"/>
    </row>
    <row r="9" spans="1:8">
      <c r="A9" s="10" t="s">
        <v>404</v>
      </c>
      <c r="B9" s="7">
        <v>200</v>
      </c>
      <c r="C9" s="14"/>
      <c r="D9" s="25"/>
    </row>
    <row r="10" spans="1:8">
      <c r="A10" s="10" t="s">
        <v>405</v>
      </c>
      <c r="B10" s="213">
        <v>0.28000000000000003</v>
      </c>
      <c r="C10" s="14" t="s">
        <v>406</v>
      </c>
      <c r="D10" s="25"/>
    </row>
    <row r="11" spans="1:8">
      <c r="A11" s="10"/>
      <c r="B11" s="14"/>
      <c r="C11" s="14"/>
      <c r="D11" s="25"/>
    </row>
    <row r="12" spans="1:8">
      <c r="A12" s="10"/>
      <c r="B12" s="14" t="s">
        <v>407</v>
      </c>
      <c r="C12" s="14" t="s">
        <v>410</v>
      </c>
      <c r="D12" s="25" t="s">
        <v>411</v>
      </c>
    </row>
    <row r="13" spans="1:8">
      <c r="A13" s="10" t="s">
        <v>408</v>
      </c>
      <c r="B13" s="7">
        <v>1</v>
      </c>
      <c r="C13" s="7">
        <v>120</v>
      </c>
      <c r="D13" s="11">
        <v>1500</v>
      </c>
    </row>
    <row r="14" spans="1:8" ht="16" thickBot="1">
      <c r="A14" s="12" t="s">
        <v>409</v>
      </c>
      <c r="B14" s="40">
        <v>100</v>
      </c>
      <c r="C14" s="40">
        <v>98</v>
      </c>
      <c r="D14" s="13">
        <v>96</v>
      </c>
    </row>
    <row r="16" spans="1:8" ht="16" thickBot="1">
      <c r="A16" s="23" t="s">
        <v>82</v>
      </c>
    </row>
    <row r="17" spans="1:7">
      <c r="A17" s="29"/>
      <c r="B17" s="30" t="str">
        <f>B12</f>
        <v>Range 1</v>
      </c>
      <c r="C17" s="30" t="str">
        <f>C12</f>
        <v>Range 2</v>
      </c>
      <c r="D17" s="68" t="str">
        <f>D12</f>
        <v>Range 3</v>
      </c>
    </row>
    <row r="18" spans="1:7">
      <c r="A18" s="28" t="s">
        <v>412</v>
      </c>
      <c r="B18" s="27">
        <f>SQRT(2*$B$8*$B$9/($B$10*B14))</f>
        <v>272.55405754769873</v>
      </c>
      <c r="C18" s="27">
        <f>SQRT(2*$B$8*$B$9/($B$10*C14))</f>
        <v>275.32117475983756</v>
      </c>
      <c r="D18" s="35">
        <f>SQRT(2*$B$8*$B$9/($B$10*D14))</f>
        <v>278.17432013209338</v>
      </c>
    </row>
    <row r="19" spans="1:7">
      <c r="A19" s="28" t="s">
        <v>413</v>
      </c>
      <c r="B19" s="27" t="str">
        <f>IF(B18&gt;=C13,"NA",IF(B18&gt;=B13,B18,B13))</f>
        <v>NA</v>
      </c>
      <c r="C19" s="27">
        <f>IF(C18&gt;=D13,"NA",IF(C18&gt;=C13,C18,C13))</f>
        <v>275.32117475983756</v>
      </c>
      <c r="D19" s="35">
        <f>IF(D18&gt;=D13,D18,D13)</f>
        <v>1500</v>
      </c>
    </row>
    <row r="20" spans="1:7">
      <c r="A20" s="28"/>
      <c r="B20" s="27"/>
      <c r="C20" s="27"/>
      <c r="D20" s="35"/>
    </row>
    <row r="21" spans="1:7">
      <c r="A21" s="28" t="s">
        <v>385</v>
      </c>
      <c r="B21" s="214" t="str">
        <f>IF(B19="NA","NA",B19*$B$10*B14/2)</f>
        <v>NA</v>
      </c>
      <c r="C21" s="214">
        <f>IF(C19="NA","NA",C19*$B$10*C14/2)</f>
        <v>3777.4065177049715</v>
      </c>
      <c r="D21" s="216">
        <f>IF(D19="NA","NA",D19*$B$10*D14/2)</f>
        <v>20160.000000000004</v>
      </c>
    </row>
    <row r="22" spans="1:7">
      <c r="A22" s="28" t="s">
        <v>414</v>
      </c>
      <c r="B22" s="214" t="str">
        <f>IF(B19="NA","NA",$B$9*$B$8/B19)</f>
        <v>NA</v>
      </c>
      <c r="C22" s="214">
        <f>IF(C19="NA","NA",$B$9*$B$8/C19)</f>
        <v>3777.406517704972</v>
      </c>
      <c r="D22" s="216">
        <f>IF(D19="NA","NA",$B$9*$B$8/D19)</f>
        <v>693.33333333333337</v>
      </c>
    </row>
    <row r="23" spans="1:7">
      <c r="A23" s="28"/>
      <c r="B23" s="214"/>
      <c r="C23" s="214"/>
      <c r="D23" s="216"/>
    </row>
    <row r="24" spans="1:7">
      <c r="A24" s="28" t="s">
        <v>399</v>
      </c>
      <c r="B24" s="214" t="str">
        <f>IF(B19="NA","NA",B14*$B$8)</f>
        <v>NA</v>
      </c>
      <c r="C24" s="214">
        <f>IF(C19="NA","NA",C14*$B$8)</f>
        <v>509600</v>
      </c>
      <c r="D24" s="216">
        <f>IF(D19="NA","NA",D14*$B$8)</f>
        <v>499200</v>
      </c>
    </row>
    <row r="25" spans="1:7">
      <c r="A25" s="28"/>
      <c r="B25" s="214"/>
      <c r="C25" s="214"/>
      <c r="D25" s="216"/>
    </row>
    <row r="26" spans="1:7" ht="18" thickBot="1">
      <c r="A26" s="31" t="s">
        <v>415</v>
      </c>
      <c r="B26" s="215" t="str">
        <f>IF(B19="NA","NA",B21+B22+B24)</f>
        <v>NA</v>
      </c>
      <c r="C26" s="215">
        <f>IF(C19="NA","NA",C21+C22+C24)</f>
        <v>517154.81303540996</v>
      </c>
      <c r="D26" s="217">
        <f>IF(D19="NA","NA",D21+D22+D24)</f>
        <v>520053.33333333331</v>
      </c>
    </row>
    <row r="28" spans="1:7">
      <c r="A28" s="2" t="s">
        <v>416</v>
      </c>
      <c r="B28" s="2">
        <f>$D$19/2</f>
        <v>750</v>
      </c>
    </row>
    <row r="29" spans="1:7">
      <c r="A29" s="2" t="s">
        <v>417</v>
      </c>
      <c r="B29" s="2" t="s">
        <v>418</v>
      </c>
      <c r="C29" s="2" t="s">
        <v>419</v>
      </c>
      <c r="D29" s="2" t="s">
        <v>398</v>
      </c>
      <c r="E29" s="2" t="s">
        <v>385</v>
      </c>
      <c r="F29" s="2" t="s">
        <v>420</v>
      </c>
      <c r="G29" s="2" t="s">
        <v>421</v>
      </c>
    </row>
    <row r="30" spans="1:7">
      <c r="A30" s="2">
        <v>1</v>
      </c>
      <c r="B30" s="2">
        <f>$B$28/4+A30*$B$28/12</f>
        <v>250</v>
      </c>
      <c r="C30" s="2">
        <f>HLOOKUP(B30,$B$13:$D$14,2)</f>
        <v>98</v>
      </c>
      <c r="D30" s="2">
        <f>$B$8*$B$9/B30</f>
        <v>4160</v>
      </c>
      <c r="E30" s="2">
        <f>C30*$B$10*B30/2</f>
        <v>3430</v>
      </c>
      <c r="F30" s="2">
        <f>C30*$B$8</f>
        <v>509600</v>
      </c>
      <c r="G30" s="2">
        <f>D30+E30+F30</f>
        <v>517190</v>
      </c>
    </row>
    <row r="31" spans="1:7">
      <c r="A31" s="2">
        <v>2</v>
      </c>
      <c r="B31" s="2">
        <f t="shared" ref="B31:B53" si="0">$B$28/4+A31*$B$28/12</f>
        <v>312.5</v>
      </c>
      <c r="C31" s="2">
        <f t="shared" ref="C31:C53" si="1">HLOOKUP(B31,$B$13:$D$14,2)</f>
        <v>98</v>
      </c>
      <c r="D31" s="2">
        <f t="shared" ref="D31:D53" si="2">$B$8*$B$9/B31</f>
        <v>3328</v>
      </c>
      <c r="E31" s="2">
        <f t="shared" ref="E31:E53" si="3">C31*$B$10*B31/2</f>
        <v>4287.5</v>
      </c>
      <c r="F31" s="2">
        <f t="shared" ref="F31:F53" si="4">C31*$B$8</f>
        <v>509600</v>
      </c>
      <c r="G31" s="2">
        <f t="shared" ref="G31:G53" si="5">D31+E31+F31</f>
        <v>517215.5</v>
      </c>
    </row>
    <row r="32" spans="1:7">
      <c r="A32" s="2">
        <v>3</v>
      </c>
      <c r="B32" s="2">
        <f t="shared" si="0"/>
        <v>375</v>
      </c>
      <c r="C32" s="2">
        <f t="shared" si="1"/>
        <v>98</v>
      </c>
      <c r="D32" s="2">
        <f t="shared" si="2"/>
        <v>2773.3333333333335</v>
      </c>
      <c r="E32" s="2">
        <f t="shared" si="3"/>
        <v>5145</v>
      </c>
      <c r="F32" s="2">
        <f t="shared" si="4"/>
        <v>509600</v>
      </c>
      <c r="G32" s="2">
        <f t="shared" si="5"/>
        <v>517518.33333333331</v>
      </c>
    </row>
    <row r="33" spans="1:7">
      <c r="A33" s="2">
        <v>4</v>
      </c>
      <c r="B33" s="2">
        <f t="shared" si="0"/>
        <v>437.5</v>
      </c>
      <c r="C33" s="2">
        <f t="shared" si="1"/>
        <v>98</v>
      </c>
      <c r="D33" s="2">
        <f t="shared" si="2"/>
        <v>2377.1428571428573</v>
      </c>
      <c r="E33" s="2">
        <f t="shared" si="3"/>
        <v>6002.5</v>
      </c>
      <c r="F33" s="2">
        <f t="shared" si="4"/>
        <v>509600</v>
      </c>
      <c r="G33" s="2">
        <f t="shared" si="5"/>
        <v>517979.64285714284</v>
      </c>
    </row>
    <row r="34" spans="1:7">
      <c r="A34" s="2">
        <v>5</v>
      </c>
      <c r="B34" s="2">
        <f t="shared" si="0"/>
        <v>500</v>
      </c>
      <c r="C34" s="2">
        <f t="shared" si="1"/>
        <v>98</v>
      </c>
      <c r="D34" s="2">
        <f t="shared" si="2"/>
        <v>2080</v>
      </c>
      <c r="E34" s="2">
        <f t="shared" si="3"/>
        <v>6860</v>
      </c>
      <c r="F34" s="2">
        <f t="shared" si="4"/>
        <v>509600</v>
      </c>
      <c r="G34" s="2">
        <f t="shared" si="5"/>
        <v>518540</v>
      </c>
    </row>
    <row r="35" spans="1:7">
      <c r="A35" s="2">
        <v>6</v>
      </c>
      <c r="B35" s="2">
        <f t="shared" si="0"/>
        <v>562.5</v>
      </c>
      <c r="C35" s="2">
        <f t="shared" si="1"/>
        <v>98</v>
      </c>
      <c r="D35" s="2">
        <f t="shared" si="2"/>
        <v>1848.8888888888889</v>
      </c>
      <c r="E35" s="2">
        <f t="shared" si="3"/>
        <v>7717.5</v>
      </c>
      <c r="F35" s="2">
        <f t="shared" si="4"/>
        <v>509600</v>
      </c>
      <c r="G35" s="2">
        <f t="shared" si="5"/>
        <v>519166.38888888888</v>
      </c>
    </row>
    <row r="36" spans="1:7">
      <c r="A36" s="2">
        <v>7</v>
      </c>
      <c r="B36" s="2">
        <f t="shared" si="0"/>
        <v>625</v>
      </c>
      <c r="C36" s="2">
        <f t="shared" si="1"/>
        <v>98</v>
      </c>
      <c r="D36" s="2">
        <f t="shared" si="2"/>
        <v>1664</v>
      </c>
      <c r="E36" s="2">
        <f t="shared" si="3"/>
        <v>8575</v>
      </c>
      <c r="F36" s="2">
        <f t="shared" si="4"/>
        <v>509600</v>
      </c>
      <c r="G36" s="2">
        <f t="shared" si="5"/>
        <v>519839</v>
      </c>
    </row>
    <row r="37" spans="1:7">
      <c r="A37" s="2">
        <v>8</v>
      </c>
      <c r="B37" s="2">
        <f t="shared" si="0"/>
        <v>687.5</v>
      </c>
      <c r="C37" s="2">
        <f t="shared" si="1"/>
        <v>98</v>
      </c>
      <c r="D37" s="2">
        <f t="shared" si="2"/>
        <v>1512.7272727272727</v>
      </c>
      <c r="E37" s="2">
        <f t="shared" si="3"/>
        <v>9432.5</v>
      </c>
      <c r="F37" s="2">
        <f t="shared" si="4"/>
        <v>509600</v>
      </c>
      <c r="G37" s="2">
        <f t="shared" si="5"/>
        <v>520545.22727272729</v>
      </c>
    </row>
    <row r="38" spans="1:7">
      <c r="A38" s="2">
        <v>9</v>
      </c>
      <c r="B38" s="2">
        <f t="shared" si="0"/>
        <v>750</v>
      </c>
      <c r="C38" s="2">
        <f t="shared" si="1"/>
        <v>98</v>
      </c>
      <c r="D38" s="2">
        <f t="shared" si="2"/>
        <v>1386.6666666666667</v>
      </c>
      <c r="E38" s="2">
        <f t="shared" si="3"/>
        <v>10290</v>
      </c>
      <c r="F38" s="2">
        <f t="shared" si="4"/>
        <v>509600</v>
      </c>
      <c r="G38" s="2">
        <f t="shared" si="5"/>
        <v>521276.66666666669</v>
      </c>
    </row>
    <row r="39" spans="1:7">
      <c r="A39" s="2">
        <v>10</v>
      </c>
      <c r="B39" s="2">
        <f t="shared" si="0"/>
        <v>812.5</v>
      </c>
      <c r="C39" s="2">
        <f t="shared" si="1"/>
        <v>98</v>
      </c>
      <c r="D39" s="2">
        <f t="shared" si="2"/>
        <v>1280</v>
      </c>
      <c r="E39" s="2">
        <f t="shared" si="3"/>
        <v>11147.5</v>
      </c>
      <c r="F39" s="2">
        <f t="shared" si="4"/>
        <v>509600</v>
      </c>
      <c r="G39" s="2">
        <f t="shared" si="5"/>
        <v>522027.5</v>
      </c>
    </row>
    <row r="40" spans="1:7">
      <c r="A40" s="2">
        <v>11</v>
      </c>
      <c r="B40" s="2">
        <f t="shared" si="0"/>
        <v>875</v>
      </c>
      <c r="C40" s="2">
        <f t="shared" si="1"/>
        <v>98</v>
      </c>
      <c r="D40" s="2">
        <f t="shared" si="2"/>
        <v>1188.5714285714287</v>
      </c>
      <c r="E40" s="2">
        <f t="shared" si="3"/>
        <v>12005</v>
      </c>
      <c r="F40" s="2">
        <f t="shared" si="4"/>
        <v>509600</v>
      </c>
      <c r="G40" s="2">
        <f t="shared" si="5"/>
        <v>522793.57142857142</v>
      </c>
    </row>
    <row r="41" spans="1:7">
      <c r="A41" s="2">
        <v>12</v>
      </c>
      <c r="B41" s="2">
        <f t="shared" si="0"/>
        <v>937.5</v>
      </c>
      <c r="C41" s="2">
        <f t="shared" si="1"/>
        <v>98</v>
      </c>
      <c r="D41" s="2">
        <f t="shared" si="2"/>
        <v>1109.3333333333333</v>
      </c>
      <c r="E41" s="2">
        <f t="shared" si="3"/>
        <v>12862.5</v>
      </c>
      <c r="F41" s="2">
        <f t="shared" si="4"/>
        <v>509600</v>
      </c>
      <c r="G41" s="2">
        <f t="shared" si="5"/>
        <v>523571.83333333331</v>
      </c>
    </row>
    <row r="42" spans="1:7">
      <c r="A42" s="2">
        <v>13</v>
      </c>
      <c r="B42" s="2">
        <f t="shared" si="0"/>
        <v>1000</v>
      </c>
      <c r="C42" s="2">
        <f t="shared" si="1"/>
        <v>98</v>
      </c>
      <c r="D42" s="2">
        <f t="shared" si="2"/>
        <v>1040</v>
      </c>
      <c r="E42" s="2">
        <f t="shared" si="3"/>
        <v>13720</v>
      </c>
      <c r="F42" s="2">
        <f t="shared" si="4"/>
        <v>509600</v>
      </c>
      <c r="G42" s="2">
        <f t="shared" si="5"/>
        <v>524360</v>
      </c>
    </row>
    <row r="43" spans="1:7">
      <c r="A43" s="2">
        <v>14</v>
      </c>
      <c r="B43" s="2">
        <f t="shared" si="0"/>
        <v>1062.5</v>
      </c>
      <c r="C43" s="2">
        <f t="shared" si="1"/>
        <v>98</v>
      </c>
      <c r="D43" s="2">
        <f t="shared" si="2"/>
        <v>978.82352941176475</v>
      </c>
      <c r="E43" s="2">
        <f t="shared" si="3"/>
        <v>14577.5</v>
      </c>
      <c r="F43" s="2">
        <f t="shared" si="4"/>
        <v>509600</v>
      </c>
      <c r="G43" s="2">
        <f t="shared" si="5"/>
        <v>525156.32352941181</v>
      </c>
    </row>
    <row r="44" spans="1:7">
      <c r="A44" s="2">
        <v>15</v>
      </c>
      <c r="B44" s="2">
        <f t="shared" si="0"/>
        <v>1125</v>
      </c>
      <c r="C44" s="2">
        <f t="shared" si="1"/>
        <v>98</v>
      </c>
      <c r="D44" s="2">
        <f t="shared" si="2"/>
        <v>924.44444444444446</v>
      </c>
      <c r="E44" s="2">
        <f t="shared" si="3"/>
        <v>15435</v>
      </c>
      <c r="F44" s="2">
        <f t="shared" si="4"/>
        <v>509600</v>
      </c>
      <c r="G44" s="2">
        <f t="shared" si="5"/>
        <v>525959.4444444445</v>
      </c>
    </row>
    <row r="45" spans="1:7">
      <c r="A45" s="2">
        <v>16</v>
      </c>
      <c r="B45" s="2">
        <f t="shared" si="0"/>
        <v>1187.5</v>
      </c>
      <c r="C45" s="2">
        <f t="shared" si="1"/>
        <v>98</v>
      </c>
      <c r="D45" s="2">
        <f t="shared" si="2"/>
        <v>875.78947368421052</v>
      </c>
      <c r="E45" s="2">
        <f t="shared" si="3"/>
        <v>16292.5</v>
      </c>
      <c r="F45" s="2">
        <f t="shared" si="4"/>
        <v>509600</v>
      </c>
      <c r="G45" s="2">
        <f t="shared" si="5"/>
        <v>526768.28947368416</v>
      </c>
    </row>
    <row r="46" spans="1:7">
      <c r="A46" s="2">
        <v>17</v>
      </c>
      <c r="B46" s="2">
        <f t="shared" si="0"/>
        <v>1250</v>
      </c>
      <c r="C46" s="2">
        <f t="shared" si="1"/>
        <v>98</v>
      </c>
      <c r="D46" s="2">
        <f t="shared" si="2"/>
        <v>832</v>
      </c>
      <c r="E46" s="2">
        <f t="shared" si="3"/>
        <v>17150</v>
      </c>
      <c r="F46" s="2">
        <f t="shared" si="4"/>
        <v>509600</v>
      </c>
      <c r="G46" s="2">
        <f t="shared" si="5"/>
        <v>527582</v>
      </c>
    </row>
    <row r="47" spans="1:7">
      <c r="A47" s="2">
        <v>18</v>
      </c>
      <c r="B47" s="2">
        <f t="shared" si="0"/>
        <v>1312.5</v>
      </c>
      <c r="C47" s="2">
        <f t="shared" si="1"/>
        <v>98</v>
      </c>
      <c r="D47" s="2">
        <f t="shared" si="2"/>
        <v>792.38095238095241</v>
      </c>
      <c r="E47" s="2">
        <f t="shared" si="3"/>
        <v>18007.5</v>
      </c>
      <c r="F47" s="2">
        <f t="shared" si="4"/>
        <v>509600</v>
      </c>
      <c r="G47" s="2">
        <f t="shared" si="5"/>
        <v>528399.88095238095</v>
      </c>
    </row>
    <row r="48" spans="1:7">
      <c r="A48" s="2">
        <v>19</v>
      </c>
      <c r="B48" s="2">
        <f t="shared" si="0"/>
        <v>1375</v>
      </c>
      <c r="C48" s="2">
        <f t="shared" si="1"/>
        <v>98</v>
      </c>
      <c r="D48" s="2">
        <f t="shared" si="2"/>
        <v>756.36363636363637</v>
      </c>
      <c r="E48" s="2">
        <f t="shared" si="3"/>
        <v>18865</v>
      </c>
      <c r="F48" s="2">
        <f t="shared" si="4"/>
        <v>509600</v>
      </c>
      <c r="G48" s="2">
        <f t="shared" si="5"/>
        <v>529221.36363636365</v>
      </c>
    </row>
    <row r="49" spans="1:7">
      <c r="A49" s="2">
        <v>20</v>
      </c>
      <c r="B49" s="2">
        <f t="shared" si="0"/>
        <v>1437.5</v>
      </c>
      <c r="C49" s="2">
        <f t="shared" si="1"/>
        <v>98</v>
      </c>
      <c r="D49" s="2">
        <f t="shared" si="2"/>
        <v>723.47826086956525</v>
      </c>
      <c r="E49" s="2">
        <f t="shared" si="3"/>
        <v>19722.5</v>
      </c>
      <c r="F49" s="2">
        <f t="shared" si="4"/>
        <v>509600</v>
      </c>
      <c r="G49" s="2">
        <f t="shared" si="5"/>
        <v>530045.97826086951</v>
      </c>
    </row>
    <row r="50" spans="1:7">
      <c r="A50" s="2">
        <v>21</v>
      </c>
      <c r="B50" s="2">
        <f t="shared" si="0"/>
        <v>1500</v>
      </c>
      <c r="C50" s="2">
        <f t="shared" si="1"/>
        <v>96</v>
      </c>
      <c r="D50" s="2">
        <f t="shared" si="2"/>
        <v>693.33333333333337</v>
      </c>
      <c r="E50" s="2">
        <f t="shared" si="3"/>
        <v>20160.000000000004</v>
      </c>
      <c r="F50" s="2">
        <f t="shared" si="4"/>
        <v>499200</v>
      </c>
      <c r="G50" s="2">
        <f t="shared" si="5"/>
        <v>520053.33333333331</v>
      </c>
    </row>
    <row r="51" spans="1:7">
      <c r="A51" s="2">
        <v>22</v>
      </c>
      <c r="B51" s="2">
        <f t="shared" si="0"/>
        <v>1562.5</v>
      </c>
      <c r="C51" s="2">
        <f t="shared" si="1"/>
        <v>96</v>
      </c>
      <c r="D51" s="2">
        <f t="shared" si="2"/>
        <v>665.6</v>
      </c>
      <c r="E51" s="2">
        <f t="shared" si="3"/>
        <v>21000.000000000004</v>
      </c>
      <c r="F51" s="2">
        <f t="shared" si="4"/>
        <v>499200</v>
      </c>
      <c r="G51" s="2">
        <f t="shared" si="5"/>
        <v>520865.6</v>
      </c>
    </row>
    <row r="52" spans="1:7">
      <c r="A52" s="2">
        <v>23</v>
      </c>
      <c r="B52" s="2">
        <f t="shared" si="0"/>
        <v>1625</v>
      </c>
      <c r="C52" s="2">
        <f t="shared" si="1"/>
        <v>96</v>
      </c>
      <c r="D52" s="2">
        <f t="shared" si="2"/>
        <v>640</v>
      </c>
      <c r="E52" s="2">
        <f t="shared" si="3"/>
        <v>21840.000000000004</v>
      </c>
      <c r="F52" s="2">
        <f t="shared" si="4"/>
        <v>499200</v>
      </c>
      <c r="G52" s="2">
        <f t="shared" si="5"/>
        <v>521680</v>
      </c>
    </row>
    <row r="53" spans="1:7">
      <c r="A53" s="2">
        <v>24</v>
      </c>
      <c r="B53" s="2">
        <f t="shared" si="0"/>
        <v>1687.5</v>
      </c>
      <c r="C53" s="2">
        <f t="shared" si="1"/>
        <v>96</v>
      </c>
      <c r="D53" s="2">
        <f t="shared" si="2"/>
        <v>616.2962962962963</v>
      </c>
      <c r="E53" s="2">
        <f t="shared" si="3"/>
        <v>22680.000000000004</v>
      </c>
      <c r="F53" s="2">
        <f t="shared" si="4"/>
        <v>499200</v>
      </c>
      <c r="G53" s="2">
        <f t="shared" si="5"/>
        <v>522496.29629629629</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5"/>
  <sheetViews>
    <sheetView workbookViewId="0">
      <selection activeCell="A16" sqref="A16"/>
    </sheetView>
  </sheetViews>
  <sheetFormatPr baseColWidth="10" defaultRowHeight="15" x14ac:dyDescent="0"/>
  <cols>
    <col min="1" max="1" width="33" style="2" bestFit="1" customWidth="1"/>
    <col min="2" max="6" width="10" style="2" customWidth="1"/>
    <col min="7" max="8" width="10.83203125" style="2"/>
    <col min="9" max="9" width="34.33203125" style="2" bestFit="1" customWidth="1"/>
    <col min="10" max="16384" width="10.83203125" style="2"/>
  </cols>
  <sheetData>
    <row r="1" spans="1:10" ht="18">
      <c r="A1" s="39" t="s">
        <v>461</v>
      </c>
    </row>
    <row r="3" spans="1:10" ht="18">
      <c r="A3" s="3" t="s">
        <v>345</v>
      </c>
      <c r="B3" s="3" t="s">
        <v>422</v>
      </c>
      <c r="C3" s="3"/>
      <c r="D3" s="3"/>
      <c r="E3" s="3"/>
      <c r="F3" s="3"/>
      <c r="G3" s="3"/>
      <c r="H3" s="3"/>
    </row>
    <row r="4" spans="1:10">
      <c r="A4" s="1"/>
      <c r="B4" s="1"/>
    </row>
    <row r="6" spans="1:10">
      <c r="A6" s="5" t="s">
        <v>1</v>
      </c>
    </row>
    <row r="7" spans="1:10">
      <c r="A7" s="2" t="s">
        <v>423</v>
      </c>
      <c r="B7" s="7">
        <v>50</v>
      </c>
    </row>
    <row r="8" spans="1:10">
      <c r="A8" s="2" t="s">
        <v>424</v>
      </c>
      <c r="B8" s="7">
        <v>5</v>
      </c>
    </row>
    <row r="9" spans="1:10">
      <c r="A9" s="2" t="s">
        <v>425</v>
      </c>
      <c r="B9" s="7">
        <v>40</v>
      </c>
    </row>
    <row r="10" spans="1:10">
      <c r="A10" s="2" t="s">
        <v>426</v>
      </c>
      <c r="B10" s="7">
        <v>6</v>
      </c>
    </row>
    <row r="12" spans="1:10" ht="16" thickBot="1">
      <c r="A12" s="23" t="s">
        <v>427</v>
      </c>
      <c r="H12" s="23" t="s">
        <v>82</v>
      </c>
    </row>
    <row r="13" spans="1:10" ht="16" thickBot="1">
      <c r="A13" s="219" t="s">
        <v>428</v>
      </c>
      <c r="B13" s="220">
        <v>0.2</v>
      </c>
      <c r="C13" s="220">
        <v>0.2</v>
      </c>
      <c r="D13" s="220">
        <v>0.3</v>
      </c>
      <c r="E13" s="220">
        <v>0.2</v>
      </c>
      <c r="F13" s="221">
        <v>0.1</v>
      </c>
      <c r="H13" s="19" t="s">
        <v>430</v>
      </c>
      <c r="I13" s="20" t="s">
        <v>260</v>
      </c>
      <c r="J13" s="82" t="s">
        <v>431</v>
      </c>
    </row>
    <row r="14" spans="1:10" ht="16" thickBot="1">
      <c r="A14" s="222" t="s">
        <v>429</v>
      </c>
      <c r="B14" s="218">
        <v>30</v>
      </c>
      <c r="C14" s="218">
        <v>40</v>
      </c>
      <c r="D14" s="218">
        <v>50</v>
      </c>
      <c r="E14" s="218">
        <v>60</v>
      </c>
      <c r="F14" s="223">
        <v>70</v>
      </c>
      <c r="H14" s="18" t="str">
        <f>IF(ABS(SUM($B$13:$F$13)-1)&gt;0.01,"Probabilities do not sum to 1","")</f>
        <v/>
      </c>
      <c r="I14" s="17"/>
      <c r="J14" s="45"/>
    </row>
    <row r="15" spans="1:10" ht="16" thickTop="1">
      <c r="A15" s="224">
        <f>$F$14-F14</f>
        <v>0</v>
      </c>
      <c r="B15" s="91">
        <f>$A15*$B$8+MAX(0,B$14-($A15+$B$7))*$B$9*$B$10</f>
        <v>0</v>
      </c>
      <c r="C15" s="91">
        <f t="shared" ref="C15:F19" si="0">$A15*$B$8+MAX(0,C$14-($A15+$B$7))*$B$9*$B$10</f>
        <v>0</v>
      </c>
      <c r="D15" s="91">
        <f>$A15*$B$8+MAX(0,D$14-($A15+$B$7))*$B$9*$B$10</f>
        <v>0</v>
      </c>
      <c r="E15" s="91">
        <f>$A15*$B$8+MAX(0,E$14-($A15+$B$7))*$B$9*$B$10</f>
        <v>2400</v>
      </c>
      <c r="F15" s="91">
        <f t="shared" si="0"/>
        <v>4800</v>
      </c>
      <c r="H15" s="18">
        <f>SUMPRODUCT($B$13:$F$13,B15:F15)</f>
        <v>960</v>
      </c>
      <c r="I15" s="17">
        <f>MIN(B15:F15)</f>
        <v>0</v>
      </c>
      <c r="J15" s="45">
        <f>MAX(B15:F15)</f>
        <v>4800</v>
      </c>
    </row>
    <row r="16" spans="1:10">
      <c r="A16" s="224">
        <f>$F$14-E14</f>
        <v>10</v>
      </c>
      <c r="B16" s="91">
        <f>$A16*$B$8+MAX(0,B$14-($A16+$B$7))*$B$9*$B$10</f>
        <v>50</v>
      </c>
      <c r="C16" s="91">
        <f t="shared" si="0"/>
        <v>50</v>
      </c>
      <c r="D16" s="91">
        <f t="shared" si="0"/>
        <v>50</v>
      </c>
      <c r="E16" s="91">
        <f>$A16*$B$8+MAX(0,E$14-($A16+$B$7))*$B$9*$B$10</f>
        <v>50</v>
      </c>
      <c r="F16" s="91">
        <f t="shared" si="0"/>
        <v>2450</v>
      </c>
      <c r="H16" s="18">
        <f>SUMPRODUCT($B$13:$F$13,B16:F16)</f>
        <v>290</v>
      </c>
      <c r="I16" s="17">
        <f>MIN(B16:F16)</f>
        <v>50</v>
      </c>
      <c r="J16" s="45">
        <f>MAX(B16:F16)</f>
        <v>2450</v>
      </c>
    </row>
    <row r="17" spans="1:10">
      <c r="A17" s="224">
        <f>$F$14-D14</f>
        <v>20</v>
      </c>
      <c r="B17" s="91">
        <f>$A17*$B$8+MAX(0,B$14-($A17+$B$7))*$B$9*$B$10</f>
        <v>100</v>
      </c>
      <c r="C17" s="91">
        <f t="shared" si="0"/>
        <v>100</v>
      </c>
      <c r="D17" s="91">
        <f t="shared" si="0"/>
        <v>100</v>
      </c>
      <c r="E17" s="91">
        <f>$A17*$B$8+MAX(0,E$14-($A17+$B$7))*$B$9*$B$10</f>
        <v>100</v>
      </c>
      <c r="F17" s="91">
        <f t="shared" si="0"/>
        <v>100</v>
      </c>
      <c r="H17" s="18">
        <f>SUMPRODUCT($B$13:$F$13,B17:F17)</f>
        <v>100</v>
      </c>
      <c r="I17" s="17">
        <f>MIN(B17:F17)</f>
        <v>100</v>
      </c>
      <c r="J17" s="45">
        <f>MAX(B17:F17)</f>
        <v>100</v>
      </c>
    </row>
    <row r="18" spans="1:10">
      <c r="A18" s="224">
        <f>$F$14-C14</f>
        <v>30</v>
      </c>
      <c r="B18" s="91">
        <f>$A18*$B$8+MAX(0,B$14-($A18+$B$7))*$B$9*$B$10</f>
        <v>150</v>
      </c>
      <c r="C18" s="91">
        <f t="shared" si="0"/>
        <v>150</v>
      </c>
      <c r="D18" s="91">
        <f t="shared" si="0"/>
        <v>150</v>
      </c>
      <c r="E18" s="91">
        <f t="shared" si="0"/>
        <v>150</v>
      </c>
      <c r="F18" s="91">
        <f t="shared" si="0"/>
        <v>150</v>
      </c>
      <c r="H18" s="18">
        <f>SUMPRODUCT($B$13:$F$13,B18:F18)</f>
        <v>150</v>
      </c>
      <c r="I18" s="17">
        <f>MIN(B18:F18)</f>
        <v>150</v>
      </c>
      <c r="J18" s="45">
        <f>MAX(B18:F18)</f>
        <v>150</v>
      </c>
    </row>
    <row r="19" spans="1:10" ht="16" thickBot="1">
      <c r="A19" s="225">
        <f>$F$14-B14</f>
        <v>40</v>
      </c>
      <c r="B19" s="91">
        <f>$A19*$B$8+MAX(0,B$14-($A19+$B$7))*$B$9*$B$10</f>
        <v>200</v>
      </c>
      <c r="C19" s="91">
        <f t="shared" si="0"/>
        <v>200</v>
      </c>
      <c r="D19" s="91">
        <f t="shared" si="0"/>
        <v>200</v>
      </c>
      <c r="E19" s="91">
        <f t="shared" si="0"/>
        <v>200</v>
      </c>
      <c r="F19" s="91">
        <f t="shared" si="0"/>
        <v>200</v>
      </c>
      <c r="H19" s="58">
        <f>SUMPRODUCT($B$13:$F$13,B19:F19)</f>
        <v>200</v>
      </c>
      <c r="I19" s="66">
        <f>MIN(B19:F19)</f>
        <v>200</v>
      </c>
      <c r="J19" s="78">
        <f>MAX(B19:F19)</f>
        <v>200</v>
      </c>
    </row>
    <row r="20" spans="1:10" ht="16" thickBot="1">
      <c r="G20" s="23" t="s">
        <v>260</v>
      </c>
      <c r="H20" s="21">
        <f>MIN(H15:H19)</f>
        <v>100</v>
      </c>
      <c r="I20" s="62">
        <f>MIN(I15:I19)</f>
        <v>0</v>
      </c>
      <c r="J20" s="22">
        <f>MIN(J15:J19)</f>
        <v>100</v>
      </c>
    </row>
    <row r="22" spans="1:10" ht="16" thickBot="1">
      <c r="A22" s="23" t="s">
        <v>432</v>
      </c>
    </row>
    <row r="23" spans="1:10">
      <c r="A23" s="2" t="s">
        <v>433</v>
      </c>
      <c r="B23" s="2">
        <f>MIN(B15:B19)</f>
        <v>0</v>
      </c>
      <c r="C23" s="2">
        <f>MIN(C15:C19)</f>
        <v>0</v>
      </c>
      <c r="D23" s="2">
        <f>MIN(D15:D19)</f>
        <v>0</v>
      </c>
      <c r="E23" s="2">
        <f>MIN(E15:E19)</f>
        <v>50</v>
      </c>
      <c r="F23" s="2">
        <f>MIN(F15:F19)</f>
        <v>100</v>
      </c>
      <c r="H23" s="29">
        <f>SUMPRODUCT($B$13:$F$13,B23:F23)</f>
        <v>20</v>
      </c>
      <c r="I23" s="68" t="s">
        <v>434</v>
      </c>
    </row>
    <row r="24" spans="1:10">
      <c r="H24" s="28">
        <f>H20</f>
        <v>100</v>
      </c>
      <c r="I24" s="35" t="s">
        <v>435</v>
      </c>
    </row>
    <row r="25" spans="1:10" ht="16" thickBot="1">
      <c r="H25" s="31">
        <f>H20-H23</f>
        <v>80</v>
      </c>
      <c r="I25" s="36" t="s">
        <v>436</v>
      </c>
    </row>
    <row r="27" spans="1:10" ht="16" thickBot="1">
      <c r="A27" s="23" t="s">
        <v>437</v>
      </c>
    </row>
    <row r="28" spans="1:10" ht="16" thickBot="1">
      <c r="A28" s="229"/>
      <c r="B28" s="227">
        <f t="shared" ref="B28:F29" si="1">B13</f>
        <v>0.2</v>
      </c>
      <c r="C28" s="227">
        <f t="shared" si="1"/>
        <v>0.2</v>
      </c>
      <c r="D28" s="227">
        <f t="shared" si="1"/>
        <v>0.3</v>
      </c>
      <c r="E28" s="227">
        <f t="shared" si="1"/>
        <v>0.2</v>
      </c>
      <c r="F28" s="227">
        <f t="shared" si="1"/>
        <v>0.1</v>
      </c>
      <c r="G28" s="30"/>
      <c r="H28" s="30" t="s">
        <v>438</v>
      </c>
      <c r="I28" s="68" t="s">
        <v>431</v>
      </c>
    </row>
    <row r="29" spans="1:10" ht="16" thickBot="1">
      <c r="A29" s="230" t="str">
        <f t="shared" ref="A29:A34" si="2">A14</f>
        <v>Safety stock\Demand</v>
      </c>
      <c r="B29" s="228">
        <f t="shared" si="1"/>
        <v>30</v>
      </c>
      <c r="C29" s="228">
        <f t="shared" si="1"/>
        <v>40</v>
      </c>
      <c r="D29" s="228">
        <f t="shared" si="1"/>
        <v>50</v>
      </c>
      <c r="E29" s="228">
        <f t="shared" si="1"/>
        <v>60</v>
      </c>
      <c r="F29" s="228">
        <f t="shared" si="1"/>
        <v>70</v>
      </c>
      <c r="G29" s="27"/>
      <c r="H29" s="27"/>
      <c r="I29" s="35"/>
    </row>
    <row r="30" spans="1:10" ht="16" thickTop="1">
      <c r="A30" s="231">
        <f t="shared" si="2"/>
        <v>0</v>
      </c>
      <c r="B30" s="27">
        <f>B15 - B23</f>
        <v>0</v>
      </c>
      <c r="C30" s="27">
        <f>C15 - C23</f>
        <v>0</v>
      </c>
      <c r="D30" s="27">
        <f>D15 - D23</f>
        <v>0</v>
      </c>
      <c r="E30" s="27">
        <f>E15 - E23</f>
        <v>2350</v>
      </c>
      <c r="F30" s="27">
        <f>F15 - F23</f>
        <v>4700</v>
      </c>
      <c r="G30" s="27"/>
      <c r="H30" s="27">
        <f>SUMPRODUCT($B$13:$F$13,B30:F30)</f>
        <v>940</v>
      </c>
      <c r="I30" s="35">
        <f>MAX(B30:F30)</f>
        <v>4700</v>
      </c>
    </row>
    <row r="31" spans="1:10">
      <c r="A31" s="231">
        <f t="shared" si="2"/>
        <v>10</v>
      </c>
      <c r="B31" s="27">
        <f>B16 - B23</f>
        <v>50</v>
      </c>
      <c r="C31" s="27">
        <f>C16 - C23</f>
        <v>50</v>
      </c>
      <c r="D31" s="27">
        <f>D16 - D23</f>
        <v>50</v>
      </c>
      <c r="E31" s="27">
        <f>E16 - E23</f>
        <v>0</v>
      </c>
      <c r="F31" s="27">
        <f>F16 - F23</f>
        <v>2350</v>
      </c>
      <c r="G31" s="27"/>
      <c r="H31" s="27">
        <f>SUMPRODUCT($B$13:$F$13,B31:F31)</f>
        <v>270</v>
      </c>
      <c r="I31" s="35">
        <f>MAX(B31:F31)</f>
        <v>2350</v>
      </c>
    </row>
    <row r="32" spans="1:10">
      <c r="A32" s="231">
        <f t="shared" si="2"/>
        <v>20</v>
      </c>
      <c r="B32" s="27">
        <f>B17 - B23</f>
        <v>100</v>
      </c>
      <c r="C32" s="27">
        <f>C17 - C23</f>
        <v>100</v>
      </c>
      <c r="D32" s="27">
        <f>D17 - D23</f>
        <v>100</v>
      </c>
      <c r="E32" s="27">
        <f>E17 - E23</f>
        <v>50</v>
      </c>
      <c r="F32" s="27">
        <f>F17 - F23</f>
        <v>0</v>
      </c>
      <c r="G32" s="27"/>
      <c r="H32" s="27">
        <f>SUMPRODUCT($B$13:$F$13,B32:F32)</f>
        <v>80</v>
      </c>
      <c r="I32" s="35">
        <f>MAX(B32:F32)</f>
        <v>100</v>
      </c>
    </row>
    <row r="33" spans="1:10">
      <c r="A33" s="231">
        <f t="shared" si="2"/>
        <v>30</v>
      </c>
      <c r="B33" s="27">
        <f>B18 - B23</f>
        <v>150</v>
      </c>
      <c r="C33" s="27">
        <f>C18 - C23</f>
        <v>150</v>
      </c>
      <c r="D33" s="27">
        <f>D18 - D23</f>
        <v>150</v>
      </c>
      <c r="E33" s="27">
        <f>E18 - E23</f>
        <v>100</v>
      </c>
      <c r="F33" s="27">
        <f>F18 - F23</f>
        <v>50</v>
      </c>
      <c r="G33" s="27"/>
      <c r="H33" s="27">
        <f>SUMPRODUCT($B$13:$F$13,B33:F33)</f>
        <v>130</v>
      </c>
      <c r="I33" s="35">
        <f>MAX(B33:F33)</f>
        <v>150</v>
      </c>
    </row>
    <row r="34" spans="1:10" ht="16" thickBot="1">
      <c r="A34" s="232">
        <f t="shared" si="2"/>
        <v>40</v>
      </c>
      <c r="B34" s="32">
        <f>B19 - B23</f>
        <v>200</v>
      </c>
      <c r="C34" s="32">
        <f>C19 - C23</f>
        <v>200</v>
      </c>
      <c r="D34" s="32">
        <f>D19 - D23</f>
        <v>200</v>
      </c>
      <c r="E34" s="32">
        <f>E19 - E23</f>
        <v>150</v>
      </c>
      <c r="F34" s="32">
        <f>F19 - F23</f>
        <v>100</v>
      </c>
      <c r="G34" s="32"/>
      <c r="H34" s="32">
        <f>SUMPRODUCT($B$13:$F$13,B34:F34)</f>
        <v>180</v>
      </c>
      <c r="I34" s="36">
        <f>MAX(B34:F34)</f>
        <v>200</v>
      </c>
    </row>
    <row r="35" spans="1:10">
      <c r="G35" s="23" t="s">
        <v>260</v>
      </c>
      <c r="H35" s="23">
        <f>MIN(H30:H34)</f>
        <v>80</v>
      </c>
      <c r="I35" s="23">
        <f>MIN(I30:I34)</f>
        <v>100</v>
      </c>
      <c r="J35" s="23"/>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2" enableFormatConditionsCalculation="0">
    <pageSetUpPr fitToPage="1"/>
  </sheetPr>
  <dimension ref="A1:I36"/>
  <sheetViews>
    <sheetView tabSelected="1" workbookViewId="0">
      <selection activeCell="B30" sqref="B30"/>
    </sheetView>
  </sheetViews>
  <sheetFormatPr baseColWidth="10" defaultColWidth="8.6640625" defaultRowHeight="15" x14ac:dyDescent="0"/>
  <cols>
    <col min="1" max="1" width="55.5" style="135" bestFit="1" customWidth="1"/>
    <col min="2" max="2" width="13.6640625" style="135" customWidth="1"/>
    <col min="3" max="3" width="8.6640625" style="135" customWidth="1"/>
    <col min="4" max="4" width="2" style="153" customWidth="1"/>
    <col min="5" max="6" width="8.6640625" style="135" hidden="1" customWidth="1"/>
    <col min="7" max="7" width="48.5" style="135" customWidth="1"/>
    <col min="8" max="9" width="8.6640625" style="135"/>
    <col min="10" max="10" width="12.5" style="135" customWidth="1"/>
    <col min="11" max="16384" width="8.6640625" style="135"/>
  </cols>
  <sheetData>
    <row r="1" spans="1:8" ht="18">
      <c r="A1" s="157" t="s">
        <v>460</v>
      </c>
    </row>
    <row r="3" spans="1:8" ht="16">
      <c r="A3" s="250" t="s">
        <v>345</v>
      </c>
      <c r="B3" s="530" t="s">
        <v>439</v>
      </c>
      <c r="C3" s="530"/>
      <c r="D3" s="530"/>
      <c r="E3" s="530"/>
      <c r="F3" s="530"/>
      <c r="G3" s="530"/>
      <c r="H3" s="204"/>
    </row>
    <row r="4" spans="1:8">
      <c r="A4" s="136"/>
      <c r="B4" s="136"/>
      <c r="D4" s="137"/>
    </row>
    <row r="5" spans="1:8">
      <c r="D5" s="137"/>
    </row>
    <row r="6" spans="1:8">
      <c r="A6" s="138" t="s">
        <v>440</v>
      </c>
      <c r="D6" s="137"/>
      <c r="G6" s="138" t="s">
        <v>441</v>
      </c>
    </row>
    <row r="7" spans="1:8">
      <c r="D7" s="137"/>
    </row>
    <row r="8" spans="1:8" ht="16" thickBot="1">
      <c r="A8" s="139" t="s">
        <v>1</v>
      </c>
      <c r="D8" s="137"/>
      <c r="G8" s="139" t="s">
        <v>1</v>
      </c>
    </row>
    <row r="9" spans="1:8">
      <c r="A9" s="233" t="s">
        <v>442</v>
      </c>
      <c r="B9" s="201">
        <v>350</v>
      </c>
      <c r="D9" s="137"/>
      <c r="G9" s="233" t="s">
        <v>443</v>
      </c>
      <c r="H9" s="201">
        <v>15</v>
      </c>
    </row>
    <row r="10" spans="1:8" ht="17">
      <c r="A10" s="234" t="s">
        <v>456</v>
      </c>
      <c r="B10" s="201">
        <v>10</v>
      </c>
      <c r="D10" s="137"/>
      <c r="G10" s="234" t="s">
        <v>457</v>
      </c>
      <c r="H10" s="201">
        <v>5</v>
      </c>
    </row>
    <row r="11" spans="1:8" ht="16" thickBot="1">
      <c r="A11" s="235" t="s">
        <v>444</v>
      </c>
      <c r="B11" s="239">
        <v>0.95</v>
      </c>
      <c r="D11" s="137"/>
      <c r="G11" s="234" t="s">
        <v>445</v>
      </c>
      <c r="H11" s="201">
        <v>2</v>
      </c>
    </row>
    <row r="12" spans="1:8" ht="16" thickBot="1">
      <c r="D12" s="137"/>
      <c r="G12" s="235" t="s">
        <v>444</v>
      </c>
      <c r="H12" s="239">
        <v>0.9</v>
      </c>
    </row>
    <row r="13" spans="1:8">
      <c r="D13" s="137"/>
    </row>
    <row r="14" spans="1:8" ht="16" thickBot="1">
      <c r="A14" s="147" t="s">
        <v>82</v>
      </c>
      <c r="D14" s="137"/>
      <c r="G14" s="147" t="s">
        <v>82</v>
      </c>
    </row>
    <row r="15" spans="1:8">
      <c r="A15" s="240" t="s">
        <v>446</v>
      </c>
      <c r="B15" s="242">
        <f>NORMSINV(B11)</f>
        <v>1.6448536269514715</v>
      </c>
      <c r="D15" s="137"/>
      <c r="G15" s="244" t="s">
        <v>446</v>
      </c>
      <c r="H15" s="242">
        <f>NORMSINV(H12)</f>
        <v>1.2815515655446006</v>
      </c>
    </row>
    <row r="16" spans="1:8" ht="16" thickBot="1">
      <c r="A16" s="241" t="s">
        <v>447</v>
      </c>
      <c r="B16" s="243">
        <f>B15*B10</f>
        <v>16.448536269514715</v>
      </c>
      <c r="D16" s="137"/>
      <c r="G16" s="245" t="s">
        <v>448</v>
      </c>
      <c r="H16" s="247">
        <f>H9*H11</f>
        <v>30</v>
      </c>
    </row>
    <row r="17" spans="1:9" ht="17">
      <c r="A17" s="236"/>
      <c r="B17" s="236"/>
      <c r="D17" s="137"/>
      <c r="G17" s="245" t="s">
        <v>458</v>
      </c>
      <c r="H17" s="248">
        <f>H10*SQRT(H11)</f>
        <v>7.0710678118654755</v>
      </c>
    </row>
    <row r="18" spans="1:9">
      <c r="D18" s="137"/>
      <c r="G18" s="245" t="s">
        <v>447</v>
      </c>
      <c r="H18" s="248">
        <f>H15*H17</f>
        <v>9.0619380243682333</v>
      </c>
    </row>
    <row r="19" spans="1:9" s="153" customFormat="1" ht="16" thickBot="1">
      <c r="D19" s="137"/>
      <c r="G19" s="246" t="s">
        <v>449</v>
      </c>
      <c r="H19" s="243">
        <f>H18+H16</f>
        <v>39.061938024368231</v>
      </c>
      <c r="I19" s="135"/>
    </row>
    <row r="20" spans="1:9">
      <c r="D20" s="137"/>
    </row>
    <row r="21" spans="1:9" s="137" customFormat="1"/>
    <row r="22" spans="1:9">
      <c r="A22" s="138" t="s">
        <v>450</v>
      </c>
      <c r="B22" s="237"/>
    </row>
    <row r="24" spans="1:9">
      <c r="A24" s="139" t="s">
        <v>1</v>
      </c>
    </row>
    <row r="25" spans="1:9">
      <c r="A25" s="155" t="s">
        <v>451</v>
      </c>
      <c r="B25" s="201">
        <v>10</v>
      </c>
    </row>
    <row r="26" spans="1:9">
      <c r="A26" s="155" t="s">
        <v>452</v>
      </c>
      <c r="B26" s="201">
        <v>0</v>
      </c>
      <c r="C26" s="532" t="s">
        <v>453</v>
      </c>
      <c r="D26" s="533"/>
      <c r="E26" s="533"/>
      <c r="F26" s="533"/>
      <c r="G26" s="533"/>
    </row>
    <row r="27" spans="1:9">
      <c r="A27" s="155" t="s">
        <v>454</v>
      </c>
      <c r="B27" s="201">
        <v>6</v>
      </c>
    </row>
    <row r="28" spans="1:9" ht="17">
      <c r="A28" s="155" t="s">
        <v>459</v>
      </c>
      <c r="B28" s="201">
        <v>1</v>
      </c>
      <c r="C28" s="532" t="s">
        <v>455</v>
      </c>
      <c r="D28" s="533"/>
      <c r="E28" s="533"/>
      <c r="F28" s="533"/>
      <c r="G28" s="533"/>
    </row>
    <row r="29" spans="1:9" ht="16" thickBot="1">
      <c r="A29" s="235" t="s">
        <v>444</v>
      </c>
      <c r="B29" s="239">
        <v>0.98</v>
      </c>
    </row>
    <row r="31" spans="1:9" ht="16" thickBot="1">
      <c r="A31" s="147" t="s">
        <v>82</v>
      </c>
    </row>
    <row r="32" spans="1:9">
      <c r="A32" s="240" t="s">
        <v>446</v>
      </c>
      <c r="B32" s="242">
        <f>NORMSINV(B29)</f>
        <v>2.0537489106318221</v>
      </c>
    </row>
    <row r="33" spans="1:2">
      <c r="A33" s="249" t="s">
        <v>448</v>
      </c>
      <c r="B33" s="247">
        <f>B27*B25</f>
        <v>60</v>
      </c>
    </row>
    <row r="34" spans="1:2" ht="17">
      <c r="A34" s="238" t="s">
        <v>458</v>
      </c>
      <c r="B34" s="248">
        <f>SQRT(B27*B26^2+B25^2*B28^2)</f>
        <v>10</v>
      </c>
    </row>
    <row r="35" spans="1:2">
      <c r="A35" s="249" t="s">
        <v>447</v>
      </c>
      <c r="B35" s="248">
        <f>B34*B32</f>
        <v>20.537489106318219</v>
      </c>
    </row>
    <row r="36" spans="1:2" ht="16" thickBot="1">
      <c r="A36" s="246" t="s">
        <v>423</v>
      </c>
      <c r="B36" s="243">
        <f>B33+B35</f>
        <v>80.537489106318219</v>
      </c>
    </row>
  </sheetData>
  <mergeCells count="3">
    <mergeCell ref="B3:G3"/>
    <mergeCell ref="C26:G26"/>
    <mergeCell ref="C28:G28"/>
  </mergeCells>
  <pageMargins left="0.75" right="0.75" top="1" bottom="1" header="0.5" footer="0.5"/>
  <pageSetup scale="89" orientation="landscape"/>
  <headerFooter alignWithMargins="0">
    <oddHeader>&amp;A</oddHeader>
    <oddFooter>&amp;F</oddFooter>
  </headerFooter>
  <drawing r:id="rId1"/>
  <legacyDrawing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enableFormatConditionsCalculation="0"/>
  <dimension ref="A1:H43"/>
  <sheetViews>
    <sheetView zoomScale="90" zoomScaleNormal="90" zoomScalePageLayoutView="90" workbookViewId="0">
      <selection activeCell="E40" sqref="E40"/>
    </sheetView>
  </sheetViews>
  <sheetFormatPr baseColWidth="10" defaultColWidth="8.6640625" defaultRowHeight="15" x14ac:dyDescent="0"/>
  <cols>
    <col min="1" max="1" width="21.1640625" style="253" bestFit="1" customWidth="1"/>
    <col min="2" max="16384" width="8.6640625" style="253"/>
  </cols>
  <sheetData>
    <row r="1" spans="1:8" ht="18">
      <c r="A1" s="290" t="s">
        <v>490</v>
      </c>
    </row>
    <row r="3" spans="1:8" ht="18">
      <c r="A3" s="289" t="s">
        <v>462</v>
      </c>
      <c r="B3" s="288"/>
      <c r="C3" s="288" t="s">
        <v>471</v>
      </c>
      <c r="D3" s="288"/>
      <c r="E3" s="288"/>
      <c r="F3" s="288"/>
      <c r="G3" s="288"/>
      <c r="H3" s="288"/>
    </row>
    <row r="7" spans="1:8" ht="16" thickBot="1">
      <c r="A7" s="256" t="s">
        <v>486</v>
      </c>
    </row>
    <row r="8" spans="1:8">
      <c r="A8" s="284" t="s">
        <v>487</v>
      </c>
      <c r="B8" s="285">
        <v>40</v>
      </c>
    </row>
    <row r="9" spans="1:8">
      <c r="A9" s="286" t="s">
        <v>488</v>
      </c>
      <c r="B9" s="262">
        <v>50</v>
      </c>
      <c r="E9" s="253" t="s">
        <v>471</v>
      </c>
    </row>
    <row r="10" spans="1:8">
      <c r="A10" s="286" t="s">
        <v>489</v>
      </c>
      <c r="B10" s="262">
        <v>70</v>
      </c>
    </row>
    <row r="11" spans="1:8" ht="16" thickBot="1">
      <c r="A11" s="287" t="s">
        <v>385</v>
      </c>
      <c r="B11" s="265">
        <v>2</v>
      </c>
    </row>
    <row r="14" spans="1:8" ht="16" thickBot="1">
      <c r="A14" s="256" t="s">
        <v>1</v>
      </c>
      <c r="B14" s="252" t="str">
        <f>IF(SUM(B26:E26)&gt;SUM(F16:F25),"Demand is greater than supply!","")</f>
        <v/>
      </c>
      <c r="C14" s="252"/>
      <c r="D14" s="252"/>
    </row>
    <row r="15" spans="1:8">
      <c r="A15" s="257" t="s">
        <v>469</v>
      </c>
      <c r="B15" s="258" t="s">
        <v>465</v>
      </c>
      <c r="C15" s="258" t="s">
        <v>466</v>
      </c>
      <c r="D15" s="258" t="s">
        <v>467</v>
      </c>
      <c r="E15" s="258" t="s">
        <v>482</v>
      </c>
      <c r="F15" s="259" t="s">
        <v>483</v>
      </c>
    </row>
    <row r="16" spans="1:8">
      <c r="A16" s="260" t="s">
        <v>472</v>
      </c>
      <c r="B16" s="268">
        <v>0</v>
      </c>
      <c r="C16" s="268">
        <f xml:space="preserve"> 1*$B$11</f>
        <v>2</v>
      </c>
      <c r="D16" s="268">
        <f xml:space="preserve"> 2*$B$11</f>
        <v>4</v>
      </c>
      <c r="E16" s="268">
        <v>0</v>
      </c>
      <c r="F16" s="261">
        <v>100</v>
      </c>
      <c r="G16" s="253" t="s">
        <v>472</v>
      </c>
    </row>
    <row r="17" spans="1:7">
      <c r="A17" s="260" t="s">
        <v>473</v>
      </c>
      <c r="B17" s="268">
        <f>$B$8</f>
        <v>40</v>
      </c>
      <c r="C17" s="268">
        <f>$B$8+ 1*$B$11</f>
        <v>42</v>
      </c>
      <c r="D17" s="268">
        <f>$B$8+ 2*$B$11</f>
        <v>44</v>
      </c>
      <c r="E17" s="268">
        <v>0</v>
      </c>
      <c r="F17" s="262">
        <v>700</v>
      </c>
    </row>
    <row r="18" spans="1:7">
      <c r="A18" s="260" t="s">
        <v>474</v>
      </c>
      <c r="B18" s="268">
        <f>$B$9</f>
        <v>50</v>
      </c>
      <c r="C18" s="268">
        <f>$B$9+ 1*$B$11</f>
        <v>52</v>
      </c>
      <c r="D18" s="268">
        <f>$B$9+ 2*$B$11</f>
        <v>54</v>
      </c>
      <c r="E18" s="268">
        <v>0</v>
      </c>
      <c r="F18" s="262">
        <v>50</v>
      </c>
    </row>
    <row r="19" spans="1:7">
      <c r="A19" s="260" t="s">
        <v>475</v>
      </c>
      <c r="B19" s="268">
        <f>$B$10</f>
        <v>70</v>
      </c>
      <c r="C19" s="268">
        <f>$B$10+ 1*$B$11</f>
        <v>72</v>
      </c>
      <c r="D19" s="268">
        <f>$B$10+ 2*$B$11</f>
        <v>74</v>
      </c>
      <c r="E19" s="268">
        <v>0</v>
      </c>
      <c r="F19" s="262">
        <v>150</v>
      </c>
    </row>
    <row r="20" spans="1:7">
      <c r="A20" s="260" t="s">
        <v>476</v>
      </c>
      <c r="B20" s="268">
        <v>999999</v>
      </c>
      <c r="C20" s="268">
        <f>$B$8</f>
        <v>40</v>
      </c>
      <c r="D20" s="268">
        <f>$B$8+ 1*$B$11</f>
        <v>42</v>
      </c>
      <c r="E20" s="268">
        <v>0</v>
      </c>
      <c r="F20" s="262">
        <v>700</v>
      </c>
    </row>
    <row r="21" spans="1:7">
      <c r="A21" s="260" t="s">
        <v>477</v>
      </c>
      <c r="B21" s="268">
        <v>999999</v>
      </c>
      <c r="C21" s="268">
        <f>$B$9</f>
        <v>50</v>
      </c>
      <c r="D21" s="268">
        <f>$B$9+ 1*$B$11</f>
        <v>52</v>
      </c>
      <c r="E21" s="268">
        <v>0</v>
      </c>
      <c r="F21" s="262">
        <v>50</v>
      </c>
    </row>
    <row r="22" spans="1:7">
      <c r="A22" s="260" t="s">
        <v>478</v>
      </c>
      <c r="B22" s="268">
        <v>999999</v>
      </c>
      <c r="C22" s="268">
        <f>$B$10</f>
        <v>70</v>
      </c>
      <c r="D22" s="268">
        <f>$B$10+ 1*$B$11</f>
        <v>72</v>
      </c>
      <c r="E22" s="268">
        <v>0</v>
      </c>
      <c r="F22" s="262">
        <v>150</v>
      </c>
    </row>
    <row r="23" spans="1:7">
      <c r="A23" s="260" t="s">
        <v>479</v>
      </c>
      <c r="B23" s="268">
        <v>999999</v>
      </c>
      <c r="C23" s="268">
        <v>999999</v>
      </c>
      <c r="D23" s="268">
        <f>$B$8</f>
        <v>40</v>
      </c>
      <c r="E23" s="268">
        <v>0</v>
      </c>
      <c r="F23" s="262">
        <v>700</v>
      </c>
    </row>
    <row r="24" spans="1:7">
      <c r="A24" s="260" t="s">
        <v>480</v>
      </c>
      <c r="B24" s="268">
        <v>999999</v>
      </c>
      <c r="C24" s="268">
        <v>999999</v>
      </c>
      <c r="D24" s="268">
        <f>$B$9</f>
        <v>50</v>
      </c>
      <c r="E24" s="268">
        <v>0</v>
      </c>
      <c r="F24" s="262">
        <v>50</v>
      </c>
    </row>
    <row r="25" spans="1:7">
      <c r="A25" s="260" t="s">
        <v>481</v>
      </c>
      <c r="B25" s="268">
        <v>999999</v>
      </c>
      <c r="C25" s="268">
        <v>999999</v>
      </c>
      <c r="D25" s="268">
        <f>$B$10</f>
        <v>70</v>
      </c>
      <c r="E25" s="268">
        <v>0</v>
      </c>
      <c r="F25" s="262">
        <v>130</v>
      </c>
    </row>
    <row r="26" spans="1:7" ht="16" thickBot="1">
      <c r="A26" s="263" t="s">
        <v>3</v>
      </c>
      <c r="B26" s="264">
        <v>0</v>
      </c>
      <c r="C26" s="264">
        <v>0</v>
      </c>
      <c r="D26" s="264">
        <v>0</v>
      </c>
      <c r="E26" s="267">
        <f>SUM(F16:F25)-SUM(B26:D26)</f>
        <v>2780</v>
      </c>
      <c r="F26" s="266" t="str">
        <f>CONCATENATE(SUM(B26:D26)," \ ",SUM(F16:F25))</f>
        <v>0 \ 2780</v>
      </c>
    </row>
    <row r="28" spans="1:7" ht="16" thickBot="1">
      <c r="A28" s="270" t="s">
        <v>484</v>
      </c>
      <c r="B28" s="271"/>
      <c r="C28" s="271"/>
      <c r="D28" s="271"/>
      <c r="E28" s="271"/>
      <c r="F28" s="271"/>
    </row>
    <row r="29" spans="1:7">
      <c r="A29" s="272"/>
      <c r="B29" s="273" t="str">
        <f>B15</f>
        <v>Month 1</v>
      </c>
      <c r="C29" s="273" t="str">
        <f>C15</f>
        <v>Month 2</v>
      </c>
      <c r="D29" s="273" t="str">
        <f>D15</f>
        <v>Month 3</v>
      </c>
      <c r="E29" s="273" t="str">
        <f>E15</f>
        <v>Excess Capacity</v>
      </c>
      <c r="F29" s="274" t="s">
        <v>485</v>
      </c>
      <c r="G29" s="269" t="s">
        <v>29</v>
      </c>
    </row>
    <row r="30" spans="1:7">
      <c r="A30" s="275" t="str">
        <f t="shared" ref="A30:A39" si="0">A16</f>
        <v>Beginning inventory</v>
      </c>
      <c r="B30" s="276">
        <f>F30</f>
        <v>100</v>
      </c>
      <c r="C30" s="276">
        <v>0</v>
      </c>
      <c r="D30" s="276">
        <v>0</v>
      </c>
      <c r="E30" s="276">
        <v>0</v>
      </c>
      <c r="F30" s="277">
        <f>F16</f>
        <v>100</v>
      </c>
      <c r="G30" s="269"/>
    </row>
    <row r="31" spans="1:7">
      <c r="A31" s="275" t="str">
        <f t="shared" si="0"/>
        <v>Month 1 reg time</v>
      </c>
      <c r="B31" s="276">
        <f>F31</f>
        <v>700</v>
      </c>
      <c r="C31" s="276">
        <v>0</v>
      </c>
      <c r="D31" s="276">
        <v>0</v>
      </c>
      <c r="E31" s="276">
        <v>0</v>
      </c>
      <c r="F31" s="277">
        <f t="shared" ref="F31:F39" si="1">F17</f>
        <v>700</v>
      </c>
      <c r="G31" s="269"/>
    </row>
    <row r="32" spans="1:7">
      <c r="A32" s="275" t="str">
        <f t="shared" si="0"/>
        <v>Month 1 overtime</v>
      </c>
      <c r="B32" s="276">
        <v>0</v>
      </c>
      <c r="C32" s="276">
        <f>F32</f>
        <v>50</v>
      </c>
      <c r="D32" s="276">
        <v>0</v>
      </c>
      <c r="E32" s="276">
        <v>0</v>
      </c>
      <c r="F32" s="277">
        <f t="shared" si="1"/>
        <v>50</v>
      </c>
      <c r="G32" s="269"/>
    </row>
    <row r="33" spans="1:7">
      <c r="A33" s="275" t="str">
        <f t="shared" si="0"/>
        <v>Month 1 subcontracting</v>
      </c>
      <c r="B33" s="276">
        <v>0</v>
      </c>
      <c r="C33" s="276">
        <f>F33</f>
        <v>150</v>
      </c>
      <c r="D33" s="276">
        <v>0</v>
      </c>
      <c r="E33" s="276">
        <v>0</v>
      </c>
      <c r="F33" s="277">
        <f t="shared" si="1"/>
        <v>150</v>
      </c>
      <c r="G33" s="269"/>
    </row>
    <row r="34" spans="1:7">
      <c r="A34" s="275" t="str">
        <f t="shared" si="0"/>
        <v>Month 2 reg time</v>
      </c>
      <c r="B34" s="276">
        <v>0</v>
      </c>
      <c r="C34" s="276">
        <f>F34</f>
        <v>700</v>
      </c>
      <c r="D34" s="276">
        <v>0</v>
      </c>
      <c r="E34" s="276">
        <v>0</v>
      </c>
      <c r="F34" s="277">
        <f t="shared" si="1"/>
        <v>700</v>
      </c>
      <c r="G34" s="269"/>
    </row>
    <row r="35" spans="1:7">
      <c r="A35" s="275" t="str">
        <f t="shared" si="0"/>
        <v>Month 2 overtime</v>
      </c>
      <c r="B35" s="276">
        <v>0</v>
      </c>
      <c r="C35" s="276">
        <f>F35</f>
        <v>50</v>
      </c>
      <c r="D35" s="276">
        <v>0</v>
      </c>
      <c r="E35" s="276">
        <v>0</v>
      </c>
      <c r="F35" s="277">
        <f t="shared" si="1"/>
        <v>50</v>
      </c>
      <c r="G35" s="269"/>
    </row>
    <row r="36" spans="1:7">
      <c r="A36" s="275" t="str">
        <f t="shared" si="0"/>
        <v>Month 2 subcontracting</v>
      </c>
      <c r="B36" s="276">
        <v>0</v>
      </c>
      <c r="C36" s="276">
        <v>50</v>
      </c>
      <c r="D36" s="276">
        <v>0</v>
      </c>
      <c r="E36" s="276">
        <f>F36-C36</f>
        <v>100</v>
      </c>
      <c r="F36" s="277">
        <f t="shared" si="1"/>
        <v>150</v>
      </c>
      <c r="G36" s="269"/>
    </row>
    <row r="37" spans="1:7">
      <c r="A37" s="275" t="str">
        <f t="shared" si="0"/>
        <v>Month 3 reg time</v>
      </c>
      <c r="B37" s="276">
        <v>0</v>
      </c>
      <c r="C37" s="276">
        <v>0</v>
      </c>
      <c r="D37" s="276">
        <f>F37</f>
        <v>700</v>
      </c>
      <c r="E37" s="276">
        <v>0</v>
      </c>
      <c r="F37" s="277">
        <f t="shared" si="1"/>
        <v>700</v>
      </c>
      <c r="G37" s="269"/>
    </row>
    <row r="38" spans="1:7">
      <c r="A38" s="275" t="str">
        <f t="shared" si="0"/>
        <v>Month 3 overtime</v>
      </c>
      <c r="B38" s="276">
        <v>0</v>
      </c>
      <c r="C38" s="276">
        <v>0</v>
      </c>
      <c r="D38" s="276">
        <f>F38</f>
        <v>50</v>
      </c>
      <c r="E38" s="276">
        <v>0</v>
      </c>
      <c r="F38" s="277">
        <f t="shared" si="1"/>
        <v>50</v>
      </c>
      <c r="G38" s="269"/>
    </row>
    <row r="39" spans="1:7">
      <c r="A39" s="275" t="str">
        <f t="shared" si="0"/>
        <v>Month 3 subcontracting</v>
      </c>
      <c r="B39" s="276">
        <v>0</v>
      </c>
      <c r="C39" s="276">
        <v>0</v>
      </c>
      <c r="D39" s="276">
        <v>0</v>
      </c>
      <c r="E39" s="276">
        <v>130</v>
      </c>
      <c r="F39" s="277">
        <f t="shared" si="1"/>
        <v>130</v>
      </c>
      <c r="G39" s="269"/>
    </row>
    <row r="40" spans="1:7" ht="16" thickBot="1">
      <c r="A40" s="278" t="s">
        <v>470</v>
      </c>
      <c r="B40" s="279">
        <f>SUM(B30:B31)</f>
        <v>800</v>
      </c>
      <c r="C40" s="279">
        <f>SUM(C32:C36)</f>
        <v>1000</v>
      </c>
      <c r="D40" s="279">
        <v>750</v>
      </c>
      <c r="E40" s="279">
        <f>SUM(E30:E39)</f>
        <v>230</v>
      </c>
      <c r="F40" s="280">
        <f>SUM(B40:E40)</f>
        <v>2780</v>
      </c>
      <c r="G40" s="269"/>
    </row>
    <row r="41" spans="1:7" ht="16" thickBot="1">
      <c r="A41" s="254" t="s">
        <v>29</v>
      </c>
      <c r="B41" s="254"/>
      <c r="C41" s="254"/>
      <c r="D41" s="254"/>
      <c r="E41" s="254"/>
      <c r="F41" s="254"/>
    </row>
    <row r="42" spans="1:7" ht="16" thickBot="1">
      <c r="A42" s="282" t="s">
        <v>468</v>
      </c>
      <c r="B42" s="283">
        <f>SUMPRODUCT(B16:E25,B30:E39)</f>
        <v>105900</v>
      </c>
      <c r="C42" s="255"/>
      <c r="D42" s="255"/>
      <c r="E42" s="254"/>
      <c r="F42" s="254"/>
    </row>
    <row r="43" spans="1:7">
      <c r="A43" s="281"/>
      <c r="B43" s="281"/>
    </row>
  </sheetData>
  <conditionalFormatting sqref="B30:E30 C31:E31 B32:E39">
    <cfRule type="cellIs" dxfId="16" priority="2" stopIfTrue="1" operator="equal">
      <formula>0</formula>
    </cfRule>
  </conditionalFormatting>
  <conditionalFormatting sqref="B31">
    <cfRule type="cellIs" dxfId="15" priority="1" stopIfTrue="1" operator="equal">
      <formula>0</formula>
    </cfRule>
  </conditionalFormatting>
  <printOptions gridLines="1" gridLinesSet="0"/>
  <pageMargins left="0.75" right="0.75" top="1" bottom="1" header="0.5" footer="0.5"/>
  <headerFooter alignWithMargins="0">
    <oddHeader>&amp;A</oddHeader>
    <oddFooter>Page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314371" r:id="rId3" name="solverButton">
              <controlPr defaultSize="0" print="0" autoFill="0" autoPict="0" macro="[2]!CallSolver">
                <anchor moveWithCells="1" sizeWithCells="1">
                  <from>
                    <xdr:col>0</xdr:col>
                    <xdr:colOff>63500</xdr:colOff>
                    <xdr:row>1</xdr:row>
                    <xdr:rowOff>0</xdr:rowOff>
                  </from>
                  <to>
                    <xdr:col>0</xdr:col>
                    <xdr:colOff>1587500</xdr:colOff>
                    <xdr:row>2</xdr:row>
                    <xdr:rowOff>38100</xdr:rowOff>
                  </to>
                </anchor>
              </controlPr>
            </control>
          </mc:Choice>
          <mc:Fallback/>
        </mc:AlternateContent>
        <mc:AlternateContent xmlns:mc="http://schemas.openxmlformats.org/markup-compatibility/2006">
          <mc:Choice Requires="x14">
            <control shapeId="314372" r:id="rId4" name="solverHelpButton">
              <controlPr defaultSize="0" print="0" autoFill="0" autoPict="0" macro="[2]!SolverHelp">
                <anchor moveWithCells="1" sizeWithCells="1">
                  <from>
                    <xdr:col>1</xdr:col>
                    <xdr:colOff>38100</xdr:colOff>
                    <xdr:row>1</xdr:row>
                    <xdr:rowOff>0</xdr:rowOff>
                  </from>
                  <to>
                    <xdr:col>3</xdr:col>
                    <xdr:colOff>241300</xdr:colOff>
                    <xdr:row>2</xdr:row>
                    <xdr:rowOff>38100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enableFormatConditionsCalculation="0"/>
  <dimension ref="A1:H43"/>
  <sheetViews>
    <sheetView zoomScale="90" zoomScaleNormal="90" zoomScalePageLayoutView="90" workbookViewId="0">
      <selection activeCell="B31" sqref="B31"/>
    </sheetView>
  </sheetViews>
  <sheetFormatPr baseColWidth="10" defaultColWidth="8.6640625" defaultRowHeight="15" x14ac:dyDescent="0"/>
  <cols>
    <col min="1" max="1" width="21.1640625" style="253" bestFit="1" customWidth="1"/>
    <col min="2" max="2" width="8.6640625" style="253"/>
    <col min="3" max="3" width="23.5" style="253" bestFit="1" customWidth="1"/>
    <col min="4" max="4" width="8.6640625" style="253"/>
    <col min="5" max="5" width="20.5" style="253" bestFit="1" customWidth="1"/>
    <col min="6" max="6" width="11.1640625" style="253" bestFit="1" customWidth="1"/>
    <col min="7" max="7" width="17.5" style="253" bestFit="1" customWidth="1"/>
    <col min="8" max="12" width="8.6640625" style="253"/>
    <col min="13" max="13" width="17" style="253" bestFit="1" customWidth="1"/>
    <col min="14" max="16384" width="8.6640625" style="253"/>
  </cols>
  <sheetData>
    <row r="1" spans="1:8" ht="18">
      <c r="A1" s="290" t="s">
        <v>490</v>
      </c>
    </row>
    <row r="3" spans="1:8" ht="18">
      <c r="A3" s="289" t="s">
        <v>462</v>
      </c>
      <c r="B3" s="288"/>
      <c r="C3" s="288" t="s">
        <v>471</v>
      </c>
      <c r="D3" s="288"/>
      <c r="E3" s="288"/>
      <c r="F3" s="288"/>
      <c r="G3" s="288"/>
      <c r="H3" s="288"/>
    </row>
    <row r="7" spans="1:8" ht="16" thickBot="1">
      <c r="A7" s="256" t="s">
        <v>486</v>
      </c>
    </row>
    <row r="8" spans="1:8">
      <c r="A8" s="284" t="s">
        <v>487</v>
      </c>
      <c r="B8" s="285">
        <v>40</v>
      </c>
    </row>
    <row r="9" spans="1:8">
      <c r="A9" s="286" t="s">
        <v>488</v>
      </c>
      <c r="B9" s="262">
        <v>50</v>
      </c>
      <c r="E9" s="253" t="s">
        <v>471</v>
      </c>
    </row>
    <row r="10" spans="1:8">
      <c r="A10" s="286" t="s">
        <v>489</v>
      </c>
      <c r="B10" s="262">
        <v>70</v>
      </c>
    </row>
    <row r="11" spans="1:8" ht="16" thickBot="1">
      <c r="A11" s="287" t="s">
        <v>385</v>
      </c>
      <c r="B11" s="265">
        <v>2</v>
      </c>
    </row>
    <row r="14" spans="1:8" ht="16" thickBot="1">
      <c r="A14" s="256" t="s">
        <v>1</v>
      </c>
      <c r="B14" s="252" t="str">
        <f>IF(SUM(B26:E26)&gt;SUM(F16:F25),"Demand is greater than supply!","")</f>
        <v/>
      </c>
      <c r="C14" s="252"/>
      <c r="D14" s="252"/>
    </row>
    <row r="15" spans="1:8">
      <c r="A15" s="257" t="s">
        <v>469</v>
      </c>
      <c r="B15" s="258" t="s">
        <v>465</v>
      </c>
      <c r="C15" s="258" t="s">
        <v>466</v>
      </c>
      <c r="D15" s="258" t="s">
        <v>467</v>
      </c>
      <c r="E15" s="258" t="s">
        <v>482</v>
      </c>
      <c r="F15" s="259" t="s">
        <v>483</v>
      </c>
    </row>
    <row r="16" spans="1:8">
      <c r="A16" s="260" t="s">
        <v>472</v>
      </c>
      <c r="B16" s="268">
        <v>0</v>
      </c>
      <c r="C16" s="268">
        <f xml:space="preserve"> 1*$B$11</f>
        <v>2</v>
      </c>
      <c r="D16" s="268">
        <f xml:space="preserve"> 2*$B$11</f>
        <v>4</v>
      </c>
      <c r="E16" s="268">
        <v>0</v>
      </c>
      <c r="F16" s="261">
        <v>100</v>
      </c>
      <c r="G16" s="253" t="s">
        <v>472</v>
      </c>
    </row>
    <row r="17" spans="1:7">
      <c r="A17" s="260" t="s">
        <v>473</v>
      </c>
      <c r="B17" s="268">
        <f>$B$8</f>
        <v>40</v>
      </c>
      <c r="C17" s="268">
        <f>$B$8+ 1*$B$11</f>
        <v>42</v>
      </c>
      <c r="D17" s="268">
        <f>$B$8+ 2*$B$11</f>
        <v>44</v>
      </c>
      <c r="E17" s="268">
        <v>0</v>
      </c>
      <c r="F17" s="262">
        <v>700</v>
      </c>
    </row>
    <row r="18" spans="1:7">
      <c r="A18" s="260" t="s">
        <v>474</v>
      </c>
      <c r="B18" s="268">
        <f>$B$9</f>
        <v>50</v>
      </c>
      <c r="C18" s="268">
        <f>$B$9+ 1*$B$11</f>
        <v>52</v>
      </c>
      <c r="D18" s="268">
        <f>$B$9+ 2*$B$11</f>
        <v>54</v>
      </c>
      <c r="E18" s="268">
        <v>0</v>
      </c>
      <c r="F18" s="262">
        <v>50</v>
      </c>
    </row>
    <row r="19" spans="1:7">
      <c r="A19" s="260" t="s">
        <v>475</v>
      </c>
      <c r="B19" s="268">
        <f>$B$10</f>
        <v>70</v>
      </c>
      <c r="C19" s="268">
        <f>$B$10+ 1*$B$11</f>
        <v>72</v>
      </c>
      <c r="D19" s="268">
        <f>$B$10+ 2*$B$11</f>
        <v>74</v>
      </c>
      <c r="E19" s="268">
        <v>0</v>
      </c>
      <c r="F19" s="262">
        <v>150</v>
      </c>
    </row>
    <row r="20" spans="1:7">
      <c r="A20" s="260" t="s">
        <v>476</v>
      </c>
      <c r="B20" s="268">
        <v>999999</v>
      </c>
      <c r="C20" s="268">
        <f>$B$8</f>
        <v>40</v>
      </c>
      <c r="D20" s="268">
        <f>$B$8+ 1*$B$11</f>
        <v>42</v>
      </c>
      <c r="E20" s="268">
        <v>0</v>
      </c>
      <c r="F20" s="262">
        <v>700</v>
      </c>
    </row>
    <row r="21" spans="1:7">
      <c r="A21" s="260" t="s">
        <v>477</v>
      </c>
      <c r="B21" s="268">
        <v>999999</v>
      </c>
      <c r="C21" s="268">
        <f>$B$9</f>
        <v>50</v>
      </c>
      <c r="D21" s="268">
        <f>$B$9+ 1*$B$11</f>
        <v>52</v>
      </c>
      <c r="E21" s="268">
        <v>0</v>
      </c>
      <c r="F21" s="262">
        <v>50</v>
      </c>
    </row>
    <row r="22" spans="1:7">
      <c r="A22" s="260" t="s">
        <v>478</v>
      </c>
      <c r="B22" s="268">
        <v>999999</v>
      </c>
      <c r="C22" s="268">
        <f>$B$10</f>
        <v>70</v>
      </c>
      <c r="D22" s="268">
        <f>$B$10+ 1*$B$11</f>
        <v>72</v>
      </c>
      <c r="E22" s="268">
        <v>0</v>
      </c>
      <c r="F22" s="262">
        <v>150</v>
      </c>
    </row>
    <row r="23" spans="1:7">
      <c r="A23" s="260" t="s">
        <v>479</v>
      </c>
      <c r="B23" s="268">
        <v>999999</v>
      </c>
      <c r="C23" s="268">
        <v>999999</v>
      </c>
      <c r="D23" s="268">
        <f>$B$8</f>
        <v>40</v>
      </c>
      <c r="E23" s="268">
        <v>0</v>
      </c>
      <c r="F23" s="262">
        <v>700</v>
      </c>
    </row>
    <row r="24" spans="1:7">
      <c r="A24" s="260" t="s">
        <v>480</v>
      </c>
      <c r="B24" s="268">
        <v>999999</v>
      </c>
      <c r="C24" s="268">
        <v>999999</v>
      </c>
      <c r="D24" s="268">
        <f>$B$9</f>
        <v>50</v>
      </c>
      <c r="E24" s="268">
        <v>0</v>
      </c>
      <c r="F24" s="262">
        <v>50</v>
      </c>
    </row>
    <row r="25" spans="1:7">
      <c r="A25" s="260" t="s">
        <v>481</v>
      </c>
      <c r="B25" s="268">
        <v>999999</v>
      </c>
      <c r="C25" s="268">
        <v>999999</v>
      </c>
      <c r="D25" s="268">
        <f>$B$10</f>
        <v>70</v>
      </c>
      <c r="E25" s="268">
        <v>0</v>
      </c>
      <c r="F25" s="262">
        <v>130</v>
      </c>
    </row>
    <row r="26" spans="1:7" ht="16" thickBot="1">
      <c r="A26" s="263" t="s">
        <v>3</v>
      </c>
      <c r="B26" s="264">
        <v>800</v>
      </c>
      <c r="C26" s="264">
        <v>1000</v>
      </c>
      <c r="D26" s="264">
        <v>750</v>
      </c>
      <c r="E26" s="267">
        <f>SUM(F16:F25)-SUM(B26:D26)</f>
        <v>230</v>
      </c>
      <c r="F26" s="266" t="str">
        <f>CONCATENATE(SUM(B26:D26)," \ ",SUM(F16:F25))</f>
        <v>2550 \ 2780</v>
      </c>
    </row>
    <row r="28" spans="1:7" ht="16" thickBot="1">
      <c r="A28" s="270" t="s">
        <v>484</v>
      </c>
      <c r="B28" s="271"/>
      <c r="C28" s="271"/>
      <c r="D28" s="271"/>
      <c r="E28" s="271"/>
      <c r="F28" s="271"/>
    </row>
    <row r="29" spans="1:7">
      <c r="A29" s="272"/>
      <c r="B29" s="273" t="str">
        <f>B15</f>
        <v>Month 1</v>
      </c>
      <c r="C29" s="273" t="str">
        <f>C15</f>
        <v>Month 2</v>
      </c>
      <c r="D29" s="273" t="str">
        <f>D15</f>
        <v>Month 3</v>
      </c>
      <c r="E29" s="273" t="str">
        <f>E15</f>
        <v>Excess Capacity</v>
      </c>
      <c r="F29" s="274" t="s">
        <v>485</v>
      </c>
      <c r="G29" s="269" t="s">
        <v>29</v>
      </c>
    </row>
    <row r="30" spans="1:7">
      <c r="A30" s="275" t="str">
        <f t="shared" ref="A30:A39" si="0">A16</f>
        <v>Beginning inventory</v>
      </c>
      <c r="B30" s="276">
        <v>0</v>
      </c>
      <c r="C30" s="276">
        <v>100</v>
      </c>
      <c r="D30" s="276">
        <v>0</v>
      </c>
      <c r="E30" s="276"/>
      <c r="F30" s="277">
        <f>SUM(B30:E30)</f>
        <v>100</v>
      </c>
      <c r="G30" s="269"/>
    </row>
    <row r="31" spans="1:7">
      <c r="A31" s="275" t="str">
        <f t="shared" si="0"/>
        <v>Month 1 reg time</v>
      </c>
      <c r="B31" s="276">
        <f>IF(SUM(F16:F17)&gt;B26,F17-(SUM(F16:F17)-B26),F17)</f>
        <v>700</v>
      </c>
      <c r="C31" s="276">
        <v>0</v>
      </c>
      <c r="D31" s="276">
        <v>0</v>
      </c>
      <c r="E31" s="276">
        <f>F17-B31</f>
        <v>0</v>
      </c>
      <c r="F31" s="277">
        <f t="shared" ref="F31:F40" si="1">SUM(B31:E31)</f>
        <v>700</v>
      </c>
      <c r="G31" s="269"/>
    </row>
    <row r="32" spans="1:7">
      <c r="A32" s="275" t="str">
        <f t="shared" si="0"/>
        <v>Month 1 overtime</v>
      </c>
      <c r="B32" s="276">
        <v>50</v>
      </c>
      <c r="C32" s="276"/>
      <c r="D32" s="276">
        <v>0</v>
      </c>
      <c r="E32" s="276"/>
      <c r="F32" s="277">
        <f t="shared" si="1"/>
        <v>50</v>
      </c>
      <c r="G32" s="269"/>
    </row>
    <row r="33" spans="1:7">
      <c r="A33" s="275" t="str">
        <f t="shared" si="0"/>
        <v>Month 1 subcontracting</v>
      </c>
      <c r="B33" s="276">
        <v>50</v>
      </c>
      <c r="C33" s="276"/>
      <c r="D33" s="276">
        <v>0</v>
      </c>
      <c r="E33" s="276">
        <v>100</v>
      </c>
      <c r="F33" s="277">
        <f t="shared" si="1"/>
        <v>150</v>
      </c>
      <c r="G33" s="269"/>
    </row>
    <row r="34" spans="1:7">
      <c r="A34" s="275" t="str">
        <f t="shared" si="0"/>
        <v>Month 2 reg time</v>
      </c>
      <c r="B34" s="276">
        <v>0</v>
      </c>
      <c r="C34" s="276">
        <f>F20</f>
        <v>700</v>
      </c>
      <c r="D34" s="276">
        <v>0</v>
      </c>
      <c r="E34" s="276">
        <f>F20-C34</f>
        <v>0</v>
      </c>
      <c r="F34" s="277">
        <f t="shared" si="1"/>
        <v>700</v>
      </c>
      <c r="G34" s="269"/>
    </row>
    <row r="35" spans="1:7">
      <c r="A35" s="275" t="str">
        <f t="shared" si="0"/>
        <v>Month 2 overtime</v>
      </c>
      <c r="B35" s="276">
        <v>0</v>
      </c>
      <c r="C35" s="276">
        <f>F21</f>
        <v>50</v>
      </c>
      <c r="D35" s="276">
        <v>0</v>
      </c>
      <c r="E35" s="276">
        <f>F21-C35</f>
        <v>0</v>
      </c>
      <c r="F35" s="277">
        <f t="shared" si="1"/>
        <v>50</v>
      </c>
      <c r="G35" s="269"/>
    </row>
    <row r="36" spans="1:7">
      <c r="A36" s="275" t="str">
        <f t="shared" si="0"/>
        <v>Month 2 subcontracting</v>
      </c>
      <c r="B36" s="276">
        <v>0</v>
      </c>
      <c r="C36" s="276">
        <v>150</v>
      </c>
      <c r="D36" s="276">
        <v>0</v>
      </c>
      <c r="E36" s="276">
        <f>F22-C36</f>
        <v>0</v>
      </c>
      <c r="F36" s="277">
        <f t="shared" si="1"/>
        <v>150</v>
      </c>
      <c r="G36" s="269"/>
    </row>
    <row r="37" spans="1:7">
      <c r="A37" s="275" t="str">
        <f t="shared" si="0"/>
        <v>Month 3 reg time</v>
      </c>
      <c r="B37" s="276">
        <v>0</v>
      </c>
      <c r="C37" s="276">
        <v>0</v>
      </c>
      <c r="D37" s="276">
        <v>700</v>
      </c>
      <c r="E37" s="276"/>
      <c r="F37" s="277">
        <v>700</v>
      </c>
      <c r="G37" s="269"/>
    </row>
    <row r="38" spans="1:7">
      <c r="A38" s="275" t="str">
        <f t="shared" si="0"/>
        <v>Month 3 overtime</v>
      </c>
      <c r="B38" s="276">
        <v>0</v>
      </c>
      <c r="C38" s="276">
        <v>0</v>
      </c>
      <c r="D38" s="276">
        <f>F24</f>
        <v>50</v>
      </c>
      <c r="E38" s="276">
        <f>F24-D38</f>
        <v>0</v>
      </c>
      <c r="F38" s="277">
        <f t="shared" si="1"/>
        <v>50</v>
      </c>
      <c r="G38" s="269"/>
    </row>
    <row r="39" spans="1:7">
      <c r="A39" s="275" t="str">
        <f t="shared" si="0"/>
        <v>Month 3 subcontracting</v>
      </c>
      <c r="B39" s="276">
        <v>0</v>
      </c>
      <c r="C39" s="276">
        <v>0</v>
      </c>
      <c r="D39" s="276">
        <f>IF(SUM(F23:F24) &gt;= D26, 0, F25)</f>
        <v>0</v>
      </c>
      <c r="E39" s="276">
        <f>F25</f>
        <v>130</v>
      </c>
      <c r="F39" s="277">
        <f t="shared" si="1"/>
        <v>130</v>
      </c>
      <c r="G39" s="269"/>
    </row>
    <row r="40" spans="1:7" ht="16" thickBot="1">
      <c r="A40" s="278" t="s">
        <v>470</v>
      </c>
      <c r="B40" s="279">
        <f>SUM(B30:B39)</f>
        <v>800</v>
      </c>
      <c r="C40" s="279">
        <f>SUM(C30:C39)</f>
        <v>1000</v>
      </c>
      <c r="D40" s="279">
        <f>SUM(D30:D39)</f>
        <v>750</v>
      </c>
      <c r="E40" s="279">
        <f>SUM(E30:E39)</f>
        <v>230</v>
      </c>
      <c r="F40" s="280">
        <f t="shared" si="1"/>
        <v>2780</v>
      </c>
      <c r="G40" s="269"/>
    </row>
    <row r="41" spans="1:7" ht="16" thickBot="1">
      <c r="A41" s="254" t="s">
        <v>29</v>
      </c>
      <c r="B41" s="254"/>
      <c r="C41" s="254"/>
      <c r="D41" s="254"/>
      <c r="E41" s="254"/>
      <c r="F41" s="254"/>
    </row>
    <row r="42" spans="1:7" ht="16" thickBot="1">
      <c r="A42" s="282" t="s">
        <v>468</v>
      </c>
      <c r="B42" s="283">
        <f>SUMPRODUCT(B16:E25,B30:E39)</f>
        <v>105700</v>
      </c>
      <c r="C42" s="255"/>
      <c r="D42" s="255"/>
      <c r="E42" s="254"/>
      <c r="F42" s="254"/>
    </row>
    <row r="43" spans="1:7">
      <c r="A43" s="281"/>
      <c r="B43" s="281"/>
    </row>
  </sheetData>
  <conditionalFormatting sqref="B30:E39">
    <cfRule type="cellIs" dxfId="14" priority="1" stopIfTrue="1" operator="equal">
      <formula>0</formula>
    </cfRule>
  </conditionalFormatting>
  <printOptions gridLines="1" gridLinesSet="0"/>
  <pageMargins left="0.75" right="0.75" top="1" bottom="1" header="0.5" footer="0.5"/>
  <pageSetup orientation="portrait" horizontalDpi="4294967292" verticalDpi="4294967292"/>
  <headerFooter alignWithMargins="0">
    <oddHeader>&amp;A</oddHeader>
    <oddFooter>Page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79875" r:id="rId3" name="solverButton">
              <controlPr defaultSize="0" print="0" autoFill="0" autoPict="0" macro="[2]!CallSolver">
                <anchor moveWithCells="1" sizeWithCells="1">
                  <from>
                    <xdr:col>0</xdr:col>
                    <xdr:colOff>63500</xdr:colOff>
                    <xdr:row>1</xdr:row>
                    <xdr:rowOff>0</xdr:rowOff>
                  </from>
                  <to>
                    <xdr:col>0</xdr:col>
                    <xdr:colOff>1587500</xdr:colOff>
                    <xdr:row>2</xdr:row>
                    <xdr:rowOff>38100</xdr:rowOff>
                  </to>
                </anchor>
              </controlPr>
            </control>
          </mc:Choice>
          <mc:Fallback/>
        </mc:AlternateContent>
        <mc:AlternateContent xmlns:mc="http://schemas.openxmlformats.org/markup-compatibility/2006">
          <mc:Choice Requires="x14">
            <control shapeId="79876" r:id="rId4" name="solverHelpButton">
              <controlPr defaultSize="0" print="0" autoFill="0" autoPict="0" macro="[2]!SolverHelp">
                <anchor moveWithCells="1" sizeWithCells="1">
                  <from>
                    <xdr:col>1</xdr:col>
                    <xdr:colOff>38100</xdr:colOff>
                    <xdr:row>1</xdr:row>
                    <xdr:rowOff>0</xdr:rowOff>
                  </from>
                  <to>
                    <xdr:col>3</xdr:col>
                    <xdr:colOff>241300</xdr:colOff>
                    <xdr:row>2</xdr:row>
                    <xdr:rowOff>38100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80"/>
  <sheetViews>
    <sheetView workbookViewId="0">
      <selection activeCell="H62" sqref="H62"/>
    </sheetView>
  </sheetViews>
  <sheetFormatPr baseColWidth="10" defaultRowHeight="15" x14ac:dyDescent="0"/>
  <cols>
    <col min="1" max="1" width="22.83203125" style="2" bestFit="1" customWidth="1"/>
    <col min="2" max="16384" width="10.83203125" style="2"/>
  </cols>
  <sheetData>
    <row r="1" spans="1:8" ht="18">
      <c r="A1" s="39" t="s">
        <v>506</v>
      </c>
    </row>
    <row r="3" spans="1:8" ht="18">
      <c r="A3" s="3" t="s">
        <v>491</v>
      </c>
      <c r="B3" s="3"/>
      <c r="C3" s="3"/>
      <c r="D3" s="3"/>
      <c r="E3" s="3"/>
      <c r="F3" s="3"/>
      <c r="G3" s="3"/>
      <c r="H3" s="3"/>
    </row>
    <row r="4" spans="1:8">
      <c r="A4" s="1"/>
      <c r="B4" s="1"/>
    </row>
    <row r="7" spans="1:8">
      <c r="A7" s="5" t="s">
        <v>492</v>
      </c>
    </row>
    <row r="8" spans="1:8" s="54" customFormat="1" ht="30">
      <c r="A8" s="54" t="s">
        <v>493</v>
      </c>
      <c r="B8" s="54" t="s">
        <v>494</v>
      </c>
      <c r="C8" s="54" t="s">
        <v>495</v>
      </c>
      <c r="D8" s="54" t="s">
        <v>496</v>
      </c>
    </row>
    <row r="9" spans="1:8">
      <c r="A9" s="69" t="s">
        <v>253</v>
      </c>
      <c r="B9" s="2">
        <v>0</v>
      </c>
      <c r="C9" s="7">
        <v>1</v>
      </c>
      <c r="D9" s="2" t="str">
        <f>REPT(" ",3*B9)&amp;A9</f>
        <v>A</v>
      </c>
    </row>
    <row r="10" spans="1:8">
      <c r="A10" s="69" t="s">
        <v>254</v>
      </c>
      <c r="B10" s="2">
        <v>1</v>
      </c>
      <c r="C10" s="7">
        <v>2</v>
      </c>
      <c r="D10" s="2" t="str">
        <f t="shared" ref="D10:D16" si="0">REPT(" ",3*B10)&amp;A10</f>
        <v xml:space="preserve">   B</v>
      </c>
    </row>
    <row r="11" spans="1:8">
      <c r="A11" s="69" t="s">
        <v>255</v>
      </c>
      <c r="B11" s="2">
        <v>1</v>
      </c>
      <c r="C11" s="7">
        <v>3</v>
      </c>
      <c r="D11" s="2" t="str">
        <f t="shared" si="0"/>
        <v xml:space="preserve">   C</v>
      </c>
    </row>
    <row r="12" spans="1:8">
      <c r="A12" s="69" t="s">
        <v>257</v>
      </c>
      <c r="B12" s="2">
        <v>2</v>
      </c>
      <c r="C12" s="7">
        <v>10</v>
      </c>
      <c r="D12" s="2" t="str">
        <f t="shared" si="0"/>
        <v xml:space="preserve">      E</v>
      </c>
    </row>
    <row r="13" spans="1:8">
      <c r="A13" s="69" t="s">
        <v>258</v>
      </c>
      <c r="B13" s="2">
        <v>2</v>
      </c>
      <c r="C13" s="7">
        <v>6</v>
      </c>
      <c r="D13" s="2" t="str">
        <f t="shared" si="0"/>
        <v xml:space="preserve">      F</v>
      </c>
    </row>
    <row r="14" spans="1:8">
      <c r="A14" s="69" t="s">
        <v>256</v>
      </c>
      <c r="B14" s="2">
        <v>3</v>
      </c>
      <c r="C14" s="7">
        <v>16</v>
      </c>
      <c r="D14" s="2" t="str">
        <f t="shared" si="0"/>
        <v xml:space="preserve">         D</v>
      </c>
    </row>
    <row r="15" spans="1:8">
      <c r="A15" s="69" t="s">
        <v>303</v>
      </c>
      <c r="B15" s="2">
        <v>3</v>
      </c>
      <c r="C15" s="7">
        <v>6</v>
      </c>
      <c r="D15" s="2" t="str">
        <f t="shared" si="0"/>
        <v xml:space="preserve">         G</v>
      </c>
    </row>
    <row r="16" spans="1:8">
      <c r="D16" s="2" t="str">
        <f t="shared" si="0"/>
        <v/>
      </c>
    </row>
    <row r="17" spans="1:12">
      <c r="A17" s="2" t="s">
        <v>497</v>
      </c>
      <c r="B17" s="2">
        <v>7</v>
      </c>
    </row>
    <row r="18" spans="1:12">
      <c r="C18" s="293"/>
      <c r="G18" s="293" t="str">
        <f>IF(H19&lt;1,"Lot size must be &gt;=1","")</f>
        <v/>
      </c>
      <c r="K18" s="293"/>
    </row>
    <row r="19" spans="1:12" s="54" customFormat="1" ht="30">
      <c r="A19" s="291" t="s">
        <v>253</v>
      </c>
      <c r="C19" s="54" t="s">
        <v>498</v>
      </c>
      <c r="D19" s="292">
        <v>1</v>
      </c>
      <c r="E19" s="54" t="s">
        <v>499</v>
      </c>
      <c r="F19" s="292">
        <v>0</v>
      </c>
      <c r="G19" s="54" t="s">
        <v>500</v>
      </c>
      <c r="H19" s="292">
        <v>1</v>
      </c>
      <c r="I19" s="54" t="s">
        <v>408</v>
      </c>
      <c r="J19" s="292"/>
    </row>
    <row r="20" spans="1:12">
      <c r="B20" s="2" t="s">
        <v>521</v>
      </c>
      <c r="C20" s="2" t="s">
        <v>522</v>
      </c>
      <c r="D20" s="2" t="s">
        <v>523</v>
      </c>
      <c r="E20" s="2" t="s">
        <v>524</v>
      </c>
      <c r="F20" s="2" t="s">
        <v>525</v>
      </c>
      <c r="G20" s="2" t="s">
        <v>526</v>
      </c>
      <c r="H20" s="2" t="s">
        <v>527</v>
      </c>
      <c r="I20" s="2" t="s">
        <v>528</v>
      </c>
      <c r="J20" s="2" t="s">
        <v>529</v>
      </c>
    </row>
    <row r="21" spans="1:12">
      <c r="A21" s="2" t="s">
        <v>501</v>
      </c>
      <c r="C21" s="7">
        <v>0</v>
      </c>
      <c r="D21" s="7">
        <v>0</v>
      </c>
      <c r="E21" s="7">
        <v>0</v>
      </c>
      <c r="F21" s="7">
        <v>0</v>
      </c>
      <c r="G21" s="7">
        <v>0</v>
      </c>
      <c r="H21" s="7">
        <v>0</v>
      </c>
      <c r="I21" s="7">
        <v>0</v>
      </c>
      <c r="J21" s="7">
        <v>50</v>
      </c>
    </row>
    <row r="22" spans="1:12">
      <c r="A22" s="2" t="s">
        <v>502</v>
      </c>
      <c r="C22" s="294"/>
      <c r="D22" s="294"/>
      <c r="E22" s="294"/>
      <c r="F22" s="294"/>
      <c r="G22" s="294"/>
      <c r="H22" s="294"/>
      <c r="I22" s="294"/>
      <c r="J22" s="294"/>
      <c r="K22" s="294"/>
      <c r="L22" s="294"/>
    </row>
    <row r="23" spans="1:12">
      <c r="A23" s="2" t="s">
        <v>503</v>
      </c>
      <c r="B23" s="7"/>
      <c r="C23" s="2">
        <f>B22+B23+B25-B21</f>
        <v>0</v>
      </c>
      <c r="D23" s="2">
        <f t="shared" ref="D23:J23" si="1">C22+C23+C25-C21</f>
        <v>0</v>
      </c>
      <c r="E23" s="2">
        <f t="shared" si="1"/>
        <v>0</v>
      </c>
      <c r="F23" s="2">
        <f t="shared" si="1"/>
        <v>0</v>
      </c>
      <c r="G23" s="2">
        <f t="shared" si="1"/>
        <v>0</v>
      </c>
      <c r="H23" s="2">
        <f t="shared" si="1"/>
        <v>0</v>
      </c>
      <c r="I23" s="2">
        <f t="shared" si="1"/>
        <v>0</v>
      </c>
      <c r="J23" s="2">
        <f t="shared" si="1"/>
        <v>0</v>
      </c>
    </row>
    <row r="24" spans="1:12">
      <c r="A24" s="2" t="str">
        <f>IF(L19=1,"Net requirements","NET POQ Req")</f>
        <v>NET POQ Req</v>
      </c>
      <c r="C24" s="2">
        <f>MAX(C21-C22-C23+ $F19,0)</f>
        <v>0</v>
      </c>
      <c r="D24" s="2">
        <f t="shared" ref="D24:J24" si="2">MAX(D21-D22-D23+ $F19,0)</f>
        <v>0</v>
      </c>
      <c r="E24" s="2">
        <f t="shared" si="2"/>
        <v>0</v>
      </c>
      <c r="F24" s="2">
        <f t="shared" si="2"/>
        <v>0</v>
      </c>
      <c r="G24" s="2">
        <f t="shared" si="2"/>
        <v>0</v>
      </c>
      <c r="H24" s="2">
        <f t="shared" si="2"/>
        <v>0</v>
      </c>
      <c r="I24" s="2">
        <f t="shared" si="2"/>
        <v>0</v>
      </c>
      <c r="J24" s="2">
        <f t="shared" si="2"/>
        <v>50</v>
      </c>
    </row>
    <row r="25" spans="1:12">
      <c r="A25" s="2" t="s">
        <v>504</v>
      </c>
      <c r="C25" s="2">
        <f>IF(C24&gt;0,IF(ROUNDUP(C24/$H19, 0)*$H19&gt;=$J19,ROUNDUP(C24/$H19, 0),ROUNDUP($J19/$H19, 0))  * $H19,0)</f>
        <v>0</v>
      </c>
      <c r="D25" s="2">
        <f t="shared" ref="D25:J25" si="3">IF(D24&gt;0,IF(ROUNDUP(D24/$H19, 0)*$H19&gt;=$J19,ROUNDUP(D24/$H19, 0),ROUNDUP($J19/$H19, 0))  * $H19,0)</f>
        <v>0</v>
      </c>
      <c r="E25" s="2">
        <f t="shared" si="3"/>
        <v>0</v>
      </c>
      <c r="F25" s="2">
        <f t="shared" si="3"/>
        <v>0</v>
      </c>
      <c r="G25" s="2">
        <f t="shared" si="3"/>
        <v>0</v>
      </c>
      <c r="H25" s="2">
        <f t="shared" si="3"/>
        <v>0</v>
      </c>
      <c r="I25" s="2">
        <f t="shared" si="3"/>
        <v>0</v>
      </c>
      <c r="J25" s="2">
        <f t="shared" si="3"/>
        <v>50</v>
      </c>
    </row>
    <row r="26" spans="1:12">
      <c r="A26" s="2" t="s">
        <v>505</v>
      </c>
      <c r="C26" s="2">
        <f>INDEX(C25:S25,1,$D19+ 1)</f>
        <v>0</v>
      </c>
      <c r="D26" s="2">
        <f t="shared" ref="D26:J26" si="4">INDEX(D25:T25,1,$D19+ 1)</f>
        <v>0</v>
      </c>
      <c r="E26" s="2">
        <f t="shared" si="4"/>
        <v>0</v>
      </c>
      <c r="F26" s="2">
        <f t="shared" si="4"/>
        <v>0</v>
      </c>
      <c r="G26" s="2">
        <f t="shared" si="4"/>
        <v>0</v>
      </c>
      <c r="H26" s="2">
        <f t="shared" si="4"/>
        <v>0</v>
      </c>
      <c r="I26" s="2">
        <f t="shared" si="4"/>
        <v>50</v>
      </c>
      <c r="J26" s="2">
        <f t="shared" si="4"/>
        <v>0</v>
      </c>
    </row>
    <row r="28" spans="1:12" ht="30">
      <c r="A28" s="291" t="s">
        <v>254</v>
      </c>
      <c r="B28" s="54"/>
      <c r="C28" s="54" t="s">
        <v>498</v>
      </c>
      <c r="D28" s="292">
        <v>1</v>
      </c>
      <c r="E28" s="54" t="s">
        <v>499</v>
      </c>
      <c r="F28" s="292">
        <v>0</v>
      </c>
      <c r="G28" s="54" t="s">
        <v>500</v>
      </c>
      <c r="H28" s="292">
        <v>1</v>
      </c>
      <c r="I28" s="54" t="s">
        <v>408</v>
      </c>
      <c r="J28" s="292">
        <v>0</v>
      </c>
      <c r="K28" s="54"/>
      <c r="L28" s="54"/>
    </row>
    <row r="29" spans="1:12">
      <c r="B29" s="2" t="s">
        <v>521</v>
      </c>
      <c r="C29" s="2" t="s">
        <v>522</v>
      </c>
      <c r="D29" s="2" t="s">
        <v>523</v>
      </c>
      <c r="E29" s="2" t="s">
        <v>524</v>
      </c>
      <c r="F29" s="2" t="s">
        <v>525</v>
      </c>
      <c r="G29" s="2" t="s">
        <v>526</v>
      </c>
      <c r="H29" s="2" t="s">
        <v>527</v>
      </c>
      <c r="I29" s="2" t="s">
        <v>528</v>
      </c>
      <c r="J29" s="2" t="s">
        <v>529</v>
      </c>
    </row>
    <row r="30" spans="1:12">
      <c r="A30" s="2" t="s">
        <v>501</v>
      </c>
      <c r="C30" s="295">
        <f>+$C$10*C26</f>
        <v>0</v>
      </c>
      <c r="D30" s="295">
        <f t="shared" ref="D30:J30" si="5">+$C$10*D26</f>
        <v>0</v>
      </c>
      <c r="E30" s="295">
        <f t="shared" si="5"/>
        <v>0</v>
      </c>
      <c r="F30" s="295">
        <f t="shared" si="5"/>
        <v>0</v>
      </c>
      <c r="G30" s="295">
        <f t="shared" si="5"/>
        <v>0</v>
      </c>
      <c r="H30" s="295">
        <f t="shared" si="5"/>
        <v>0</v>
      </c>
      <c r="I30" s="295">
        <f t="shared" si="5"/>
        <v>100</v>
      </c>
      <c r="J30" s="295">
        <f t="shared" si="5"/>
        <v>0</v>
      </c>
      <c r="K30" s="294"/>
      <c r="L30" s="294"/>
    </row>
    <row r="31" spans="1:12">
      <c r="A31" s="2" t="s">
        <v>502</v>
      </c>
      <c r="C31" s="7"/>
      <c r="D31" s="7"/>
      <c r="E31" s="7"/>
      <c r="F31" s="7"/>
      <c r="G31" s="7"/>
      <c r="H31" s="7"/>
      <c r="I31" s="7"/>
      <c r="J31" s="7"/>
      <c r="K31" s="294"/>
      <c r="L31" s="294"/>
    </row>
    <row r="32" spans="1:12">
      <c r="A32" s="2" t="s">
        <v>503</v>
      </c>
      <c r="B32" s="7"/>
      <c r="C32" s="2">
        <f>B31+B32+B34-B30</f>
        <v>0</v>
      </c>
      <c r="D32" s="2">
        <f t="shared" ref="D32:J32" si="6">C31+C32+C34-C30</f>
        <v>0</v>
      </c>
      <c r="E32" s="2">
        <f t="shared" si="6"/>
        <v>0</v>
      </c>
      <c r="F32" s="2">
        <f t="shared" si="6"/>
        <v>0</v>
      </c>
      <c r="G32" s="2">
        <f t="shared" si="6"/>
        <v>0</v>
      </c>
      <c r="H32" s="2">
        <f t="shared" si="6"/>
        <v>0</v>
      </c>
      <c r="I32" s="2">
        <f t="shared" si="6"/>
        <v>0</v>
      </c>
      <c r="J32" s="2">
        <f t="shared" si="6"/>
        <v>0</v>
      </c>
    </row>
    <row r="33" spans="1:12">
      <c r="A33" s="2" t="str">
        <f>IF(L28=1,"Net requirements","NET POQ Req")</f>
        <v>NET POQ Req</v>
      </c>
      <c r="C33" s="2">
        <f t="shared" ref="C33:J33" si="7">MAX(C30-C31-C32+ $F28,0)</f>
        <v>0</v>
      </c>
      <c r="D33" s="2">
        <f t="shared" si="7"/>
        <v>0</v>
      </c>
      <c r="E33" s="2">
        <f t="shared" si="7"/>
        <v>0</v>
      </c>
      <c r="F33" s="2">
        <f t="shared" si="7"/>
        <v>0</v>
      </c>
      <c r="G33" s="2">
        <f t="shared" si="7"/>
        <v>0</v>
      </c>
      <c r="H33" s="2">
        <f t="shared" si="7"/>
        <v>0</v>
      </c>
      <c r="I33" s="2">
        <f t="shared" si="7"/>
        <v>100</v>
      </c>
      <c r="J33" s="2">
        <f t="shared" si="7"/>
        <v>0</v>
      </c>
    </row>
    <row r="34" spans="1:12">
      <c r="A34" s="2" t="s">
        <v>504</v>
      </c>
      <c r="C34" s="2">
        <f t="shared" ref="C34:J34" si="8">IF(C33&gt;0,IF(ROUNDUP(C33/$H28, 0)*$H28&gt;=$J28,ROUNDUP(C33/$H28, 0),ROUNDUP($J28/$H28, 0))  * $H28,0)</f>
        <v>0</v>
      </c>
      <c r="D34" s="2">
        <f t="shared" si="8"/>
        <v>0</v>
      </c>
      <c r="E34" s="2">
        <f t="shared" si="8"/>
        <v>0</v>
      </c>
      <c r="F34" s="2">
        <f t="shared" si="8"/>
        <v>0</v>
      </c>
      <c r="G34" s="2">
        <f t="shared" si="8"/>
        <v>0</v>
      </c>
      <c r="H34" s="2">
        <f t="shared" si="8"/>
        <v>0</v>
      </c>
      <c r="I34" s="2">
        <f t="shared" si="8"/>
        <v>100</v>
      </c>
      <c r="J34" s="2">
        <f t="shared" si="8"/>
        <v>0</v>
      </c>
    </row>
    <row r="35" spans="1:12">
      <c r="A35" s="2" t="s">
        <v>505</v>
      </c>
      <c r="C35" s="2">
        <f t="shared" ref="C35:J35" si="9">INDEX(C34:S34,1,$D28+ 1)</f>
        <v>0</v>
      </c>
      <c r="D35" s="2">
        <f t="shared" si="9"/>
        <v>0</v>
      </c>
      <c r="E35" s="2">
        <f t="shared" si="9"/>
        <v>0</v>
      </c>
      <c r="F35" s="2">
        <f t="shared" si="9"/>
        <v>0</v>
      </c>
      <c r="G35" s="2">
        <f t="shared" si="9"/>
        <v>0</v>
      </c>
      <c r="H35" s="2">
        <f t="shared" si="9"/>
        <v>100</v>
      </c>
      <c r="I35" s="2">
        <f t="shared" si="9"/>
        <v>0</v>
      </c>
      <c r="J35" s="2">
        <f t="shared" si="9"/>
        <v>0</v>
      </c>
    </row>
    <row r="37" spans="1:12" ht="30">
      <c r="A37" s="291" t="s">
        <v>255</v>
      </c>
      <c r="B37" s="54"/>
      <c r="C37" s="54" t="s">
        <v>498</v>
      </c>
      <c r="D37" s="292">
        <v>1</v>
      </c>
      <c r="E37" s="54" t="s">
        <v>499</v>
      </c>
      <c r="F37" s="292">
        <v>0</v>
      </c>
      <c r="G37" s="54" t="s">
        <v>500</v>
      </c>
      <c r="H37" s="292">
        <v>1</v>
      </c>
      <c r="I37" s="54" t="s">
        <v>408</v>
      </c>
      <c r="J37" s="292">
        <v>0</v>
      </c>
      <c r="K37" s="54"/>
      <c r="L37" s="54"/>
    </row>
    <row r="38" spans="1:12">
      <c r="B38" s="2" t="s">
        <v>521</v>
      </c>
      <c r="C38" s="2" t="s">
        <v>522</v>
      </c>
      <c r="D38" s="2" t="s">
        <v>523</v>
      </c>
      <c r="E38" s="2" t="s">
        <v>524</v>
      </c>
      <c r="F38" s="2" t="s">
        <v>525</v>
      </c>
      <c r="G38" s="2" t="s">
        <v>526</v>
      </c>
      <c r="H38" s="2" t="s">
        <v>527</v>
      </c>
      <c r="I38" s="2" t="s">
        <v>528</v>
      </c>
      <c r="J38" s="2" t="s">
        <v>529</v>
      </c>
    </row>
    <row r="39" spans="1:12">
      <c r="A39" s="2" t="s">
        <v>501</v>
      </c>
      <c r="C39" s="295">
        <f>+$C$11*C26</f>
        <v>0</v>
      </c>
      <c r="D39" s="295">
        <f t="shared" ref="D39:J39" si="10">+$C$11*D26</f>
        <v>0</v>
      </c>
      <c r="E39" s="295">
        <f t="shared" si="10"/>
        <v>0</v>
      </c>
      <c r="F39" s="295">
        <f t="shared" si="10"/>
        <v>0</v>
      </c>
      <c r="G39" s="295">
        <f t="shared" si="10"/>
        <v>0</v>
      </c>
      <c r="H39" s="295">
        <f t="shared" si="10"/>
        <v>0</v>
      </c>
      <c r="I39" s="295">
        <f t="shared" si="10"/>
        <v>150</v>
      </c>
      <c r="J39" s="295">
        <f t="shared" si="10"/>
        <v>0</v>
      </c>
      <c r="K39" s="294"/>
      <c r="L39" s="294"/>
    </row>
    <row r="40" spans="1:12">
      <c r="A40" s="2" t="s">
        <v>502</v>
      </c>
      <c r="C40" s="7"/>
      <c r="D40" s="7"/>
      <c r="E40" s="7"/>
      <c r="F40" s="7"/>
      <c r="G40" s="7"/>
      <c r="H40" s="7"/>
      <c r="I40" s="7"/>
      <c r="J40" s="7"/>
      <c r="K40" s="294"/>
      <c r="L40" s="294"/>
    </row>
    <row r="41" spans="1:12">
      <c r="A41" s="2" t="s">
        <v>503</v>
      </c>
      <c r="B41" s="7"/>
      <c r="C41" s="2">
        <f>B40+B41+B43-B39</f>
        <v>0</v>
      </c>
      <c r="D41" s="2">
        <f t="shared" ref="D41:J41" si="11">C40+C41+C43-C39</f>
        <v>0</v>
      </c>
      <c r="E41" s="2">
        <f t="shared" si="11"/>
        <v>0</v>
      </c>
      <c r="F41" s="2">
        <f t="shared" si="11"/>
        <v>0</v>
      </c>
      <c r="G41" s="2">
        <f t="shared" si="11"/>
        <v>0</v>
      </c>
      <c r="H41" s="2">
        <f t="shared" si="11"/>
        <v>0</v>
      </c>
      <c r="I41" s="2">
        <f t="shared" si="11"/>
        <v>0</v>
      </c>
      <c r="J41" s="2">
        <f t="shared" si="11"/>
        <v>0</v>
      </c>
    </row>
    <row r="42" spans="1:12">
      <c r="A42" s="2" t="str">
        <f>IF(L37=1,"Net requirements","NET POQ Req")</f>
        <v>NET POQ Req</v>
      </c>
      <c r="C42" s="2">
        <f t="shared" ref="C42:J42" si="12">MAX(C39-C40-C41+ $F37,0)</f>
        <v>0</v>
      </c>
      <c r="D42" s="2">
        <f t="shared" si="12"/>
        <v>0</v>
      </c>
      <c r="E42" s="2">
        <f t="shared" si="12"/>
        <v>0</v>
      </c>
      <c r="F42" s="2">
        <f t="shared" si="12"/>
        <v>0</v>
      </c>
      <c r="G42" s="2">
        <f t="shared" si="12"/>
        <v>0</v>
      </c>
      <c r="H42" s="2">
        <f t="shared" si="12"/>
        <v>0</v>
      </c>
      <c r="I42" s="2">
        <f t="shared" si="12"/>
        <v>150</v>
      </c>
      <c r="J42" s="2">
        <f t="shared" si="12"/>
        <v>0</v>
      </c>
    </row>
    <row r="43" spans="1:12">
      <c r="A43" s="2" t="s">
        <v>504</v>
      </c>
      <c r="C43" s="2">
        <f t="shared" ref="C43:J43" si="13">IF(C42&gt;0,IF(ROUNDUP(C42/$H37, 0)*$H37&gt;=$J37,ROUNDUP(C42/$H37, 0),ROUNDUP($J37/$H37, 0))  * $H37,0)</f>
        <v>0</v>
      </c>
      <c r="D43" s="2">
        <f t="shared" si="13"/>
        <v>0</v>
      </c>
      <c r="E43" s="2">
        <f t="shared" si="13"/>
        <v>0</v>
      </c>
      <c r="F43" s="2">
        <f t="shared" si="13"/>
        <v>0</v>
      </c>
      <c r="G43" s="2">
        <f t="shared" si="13"/>
        <v>0</v>
      </c>
      <c r="H43" s="2">
        <f t="shared" si="13"/>
        <v>0</v>
      </c>
      <c r="I43" s="2">
        <f t="shared" si="13"/>
        <v>150</v>
      </c>
      <c r="J43" s="2">
        <f t="shared" si="13"/>
        <v>0</v>
      </c>
    </row>
    <row r="44" spans="1:12">
      <c r="A44" s="2" t="s">
        <v>505</v>
      </c>
      <c r="C44" s="2">
        <f t="shared" ref="C44:J44" si="14">INDEX(C43:S43,1,$D37+ 1)</f>
        <v>0</v>
      </c>
      <c r="D44" s="2">
        <f t="shared" si="14"/>
        <v>0</v>
      </c>
      <c r="E44" s="2">
        <f t="shared" si="14"/>
        <v>0</v>
      </c>
      <c r="F44" s="2">
        <f t="shared" si="14"/>
        <v>0</v>
      </c>
      <c r="G44" s="2">
        <f t="shared" si="14"/>
        <v>0</v>
      </c>
      <c r="H44" s="2">
        <f t="shared" si="14"/>
        <v>150</v>
      </c>
      <c r="I44" s="2">
        <f t="shared" si="14"/>
        <v>0</v>
      </c>
      <c r="J44" s="2">
        <f t="shared" si="14"/>
        <v>0</v>
      </c>
    </row>
    <row r="46" spans="1:12" ht="30">
      <c r="A46" s="291" t="s">
        <v>257</v>
      </c>
      <c r="B46" s="54"/>
      <c r="C46" s="54" t="s">
        <v>498</v>
      </c>
      <c r="D46" s="292">
        <v>1</v>
      </c>
      <c r="E46" s="54" t="s">
        <v>499</v>
      </c>
      <c r="F46" s="292">
        <v>0</v>
      </c>
      <c r="G46" s="54" t="s">
        <v>500</v>
      </c>
      <c r="H46" s="292">
        <v>1</v>
      </c>
      <c r="I46" s="54" t="s">
        <v>408</v>
      </c>
      <c r="J46" s="292">
        <v>0</v>
      </c>
      <c r="K46" s="54"/>
      <c r="L46" s="54"/>
    </row>
    <row r="47" spans="1:12">
      <c r="B47" s="2" t="s">
        <v>521</v>
      </c>
      <c r="C47" s="2" t="s">
        <v>522</v>
      </c>
      <c r="D47" s="2" t="s">
        <v>523</v>
      </c>
      <c r="E47" s="2" t="s">
        <v>524</v>
      </c>
      <c r="F47" s="2" t="s">
        <v>525</v>
      </c>
      <c r="G47" s="2" t="s">
        <v>526</v>
      </c>
      <c r="H47" s="2" t="s">
        <v>527</v>
      </c>
      <c r="I47" s="2" t="s">
        <v>528</v>
      </c>
      <c r="J47" s="2" t="s">
        <v>529</v>
      </c>
    </row>
    <row r="48" spans="1:12">
      <c r="A48" s="2" t="s">
        <v>501</v>
      </c>
      <c r="C48" s="295">
        <f>+$C$12*C26</f>
        <v>0</v>
      </c>
      <c r="D48" s="295">
        <f t="shared" ref="D48:J48" si="15">+$C$12*D26</f>
        <v>0</v>
      </c>
      <c r="E48" s="295">
        <f t="shared" si="15"/>
        <v>0</v>
      </c>
      <c r="F48" s="295">
        <f t="shared" si="15"/>
        <v>0</v>
      </c>
      <c r="G48" s="295">
        <f t="shared" si="15"/>
        <v>0</v>
      </c>
      <c r="H48" s="295">
        <f t="shared" si="15"/>
        <v>0</v>
      </c>
      <c r="I48" s="295">
        <f t="shared" si="15"/>
        <v>500</v>
      </c>
      <c r="J48" s="295">
        <f t="shared" si="15"/>
        <v>0</v>
      </c>
      <c r="K48" s="294"/>
      <c r="L48" s="294"/>
    </row>
    <row r="49" spans="1:12">
      <c r="A49" s="2" t="s">
        <v>502</v>
      </c>
      <c r="C49" s="7"/>
      <c r="D49" s="7"/>
      <c r="E49" s="7"/>
      <c r="F49" s="7"/>
      <c r="G49" s="7"/>
      <c r="H49" s="7"/>
      <c r="I49" s="7"/>
      <c r="J49" s="7"/>
      <c r="K49" s="294"/>
      <c r="L49" s="294"/>
    </row>
    <row r="50" spans="1:12">
      <c r="A50" s="2" t="s">
        <v>503</v>
      </c>
      <c r="B50" s="7"/>
      <c r="C50" s="2">
        <f>B49+B50+B52-B48</f>
        <v>0</v>
      </c>
      <c r="D50" s="2">
        <f t="shared" ref="D50:J50" si="16">C49+C50+C52-C48</f>
        <v>0</v>
      </c>
      <c r="E50" s="2">
        <f t="shared" si="16"/>
        <v>0</v>
      </c>
      <c r="F50" s="2">
        <f t="shared" si="16"/>
        <v>0</v>
      </c>
      <c r="G50" s="2">
        <f t="shared" si="16"/>
        <v>0</v>
      </c>
      <c r="H50" s="2">
        <f t="shared" si="16"/>
        <v>0</v>
      </c>
      <c r="I50" s="2">
        <f t="shared" si="16"/>
        <v>0</v>
      </c>
      <c r="J50" s="2">
        <f t="shared" si="16"/>
        <v>0</v>
      </c>
    </row>
    <row r="51" spans="1:12">
      <c r="A51" s="2" t="str">
        <f>IF(L46=1,"Net requirements","NET POQ Req")</f>
        <v>NET POQ Req</v>
      </c>
      <c r="C51" s="2">
        <f t="shared" ref="C51:J51" si="17">MAX(C48-C49-C50+ $F46,0)</f>
        <v>0</v>
      </c>
      <c r="D51" s="2">
        <f t="shared" si="17"/>
        <v>0</v>
      </c>
      <c r="E51" s="2">
        <f t="shared" si="17"/>
        <v>0</v>
      </c>
      <c r="F51" s="2">
        <f t="shared" si="17"/>
        <v>0</v>
      </c>
      <c r="G51" s="2">
        <f t="shared" si="17"/>
        <v>0</v>
      </c>
      <c r="H51" s="2">
        <f t="shared" si="17"/>
        <v>0</v>
      </c>
      <c r="I51" s="2">
        <f t="shared" si="17"/>
        <v>500</v>
      </c>
      <c r="J51" s="2">
        <f t="shared" si="17"/>
        <v>0</v>
      </c>
    </row>
    <row r="52" spans="1:12">
      <c r="A52" s="2" t="s">
        <v>504</v>
      </c>
      <c r="C52" s="2">
        <f t="shared" ref="C52:J52" si="18">IF(C51&gt;0,IF(ROUNDUP(C51/$H46, 0)*$H46&gt;=$J46,ROUNDUP(C51/$H46, 0),ROUNDUP($J46/$H46, 0))  * $H46,0)</f>
        <v>0</v>
      </c>
      <c r="D52" s="2">
        <f t="shared" si="18"/>
        <v>0</v>
      </c>
      <c r="E52" s="2">
        <f t="shared" si="18"/>
        <v>0</v>
      </c>
      <c r="F52" s="2">
        <f t="shared" si="18"/>
        <v>0</v>
      </c>
      <c r="G52" s="2">
        <f t="shared" si="18"/>
        <v>0</v>
      </c>
      <c r="H52" s="2">
        <f t="shared" si="18"/>
        <v>0</v>
      </c>
      <c r="I52" s="2">
        <f t="shared" si="18"/>
        <v>500</v>
      </c>
      <c r="J52" s="2">
        <f t="shared" si="18"/>
        <v>0</v>
      </c>
    </row>
    <row r="53" spans="1:12">
      <c r="A53" s="2" t="s">
        <v>505</v>
      </c>
      <c r="C53" s="2">
        <f t="shared" ref="C53:J53" si="19">INDEX(C52:S52,1,$D46+ 1)</f>
        <v>0</v>
      </c>
      <c r="D53" s="2">
        <f t="shared" si="19"/>
        <v>0</v>
      </c>
      <c r="E53" s="2">
        <f t="shared" si="19"/>
        <v>0</v>
      </c>
      <c r="F53" s="2">
        <f t="shared" si="19"/>
        <v>0</v>
      </c>
      <c r="G53" s="2">
        <f t="shared" si="19"/>
        <v>0</v>
      </c>
      <c r="H53" s="2">
        <f t="shared" si="19"/>
        <v>500</v>
      </c>
      <c r="I53" s="2">
        <f t="shared" si="19"/>
        <v>0</v>
      </c>
      <c r="J53" s="2">
        <f t="shared" si="19"/>
        <v>0</v>
      </c>
    </row>
    <row r="55" spans="1:12" ht="30">
      <c r="A55" s="291" t="s">
        <v>258</v>
      </c>
      <c r="B55" s="54"/>
      <c r="C55" s="54" t="s">
        <v>498</v>
      </c>
      <c r="D55" s="292">
        <v>1</v>
      </c>
      <c r="E55" s="54" t="s">
        <v>499</v>
      </c>
      <c r="F55" s="292">
        <v>0</v>
      </c>
      <c r="G55" s="54" t="s">
        <v>500</v>
      </c>
      <c r="H55" s="292">
        <v>1</v>
      </c>
      <c r="I55" s="54" t="s">
        <v>408</v>
      </c>
      <c r="J55" s="292">
        <v>0</v>
      </c>
      <c r="K55" s="54"/>
      <c r="L55" s="54"/>
    </row>
    <row r="56" spans="1:12">
      <c r="B56" s="2" t="s">
        <v>521</v>
      </c>
      <c r="C56" s="2" t="s">
        <v>522</v>
      </c>
      <c r="D56" s="2" t="s">
        <v>523</v>
      </c>
      <c r="E56" s="2" t="s">
        <v>524</v>
      </c>
      <c r="F56" s="2" t="s">
        <v>525</v>
      </c>
      <c r="G56" s="2" t="s">
        <v>526</v>
      </c>
      <c r="H56" s="2" t="s">
        <v>527</v>
      </c>
      <c r="I56" s="2" t="s">
        <v>528</v>
      </c>
      <c r="J56" s="2" t="s">
        <v>529</v>
      </c>
    </row>
    <row r="57" spans="1:12">
      <c r="A57" s="2" t="s">
        <v>501</v>
      </c>
      <c r="C57" s="295">
        <f>+$C$13*C26</f>
        <v>0</v>
      </c>
      <c r="D57" s="295">
        <f t="shared" ref="D57:J57" si="20">+$C$13*D26</f>
        <v>0</v>
      </c>
      <c r="E57" s="295">
        <f t="shared" si="20"/>
        <v>0</v>
      </c>
      <c r="F57" s="295">
        <f t="shared" si="20"/>
        <v>0</v>
      </c>
      <c r="G57" s="295">
        <f t="shared" si="20"/>
        <v>0</v>
      </c>
      <c r="H57" s="295">
        <f t="shared" si="20"/>
        <v>0</v>
      </c>
      <c r="I57" s="295">
        <f t="shared" si="20"/>
        <v>300</v>
      </c>
      <c r="J57" s="295">
        <f t="shared" si="20"/>
        <v>0</v>
      </c>
      <c r="K57" s="294"/>
      <c r="L57" s="294"/>
    </row>
    <row r="58" spans="1:12">
      <c r="A58" s="2" t="s">
        <v>502</v>
      </c>
      <c r="C58" s="7"/>
      <c r="D58" s="7"/>
      <c r="E58" s="7"/>
      <c r="F58" s="7"/>
      <c r="G58" s="7"/>
      <c r="H58" s="7"/>
      <c r="I58" s="7"/>
      <c r="J58" s="7"/>
      <c r="K58" s="294"/>
      <c r="L58" s="294"/>
    </row>
    <row r="59" spans="1:12">
      <c r="A59" s="2" t="s">
        <v>503</v>
      </c>
      <c r="B59" s="7"/>
      <c r="C59" s="2">
        <f>B58+B59+B61-B57</f>
        <v>0</v>
      </c>
      <c r="D59" s="2">
        <f t="shared" ref="D59:J59" si="21">C58+C59+C61-C57</f>
        <v>0</v>
      </c>
      <c r="E59" s="2">
        <f t="shared" si="21"/>
        <v>0</v>
      </c>
      <c r="F59" s="2">
        <f t="shared" si="21"/>
        <v>0</v>
      </c>
      <c r="G59" s="2">
        <f t="shared" si="21"/>
        <v>0</v>
      </c>
      <c r="H59" s="2">
        <f t="shared" si="21"/>
        <v>0</v>
      </c>
      <c r="I59" s="2">
        <f t="shared" si="21"/>
        <v>0</v>
      </c>
      <c r="J59" s="2">
        <f t="shared" si="21"/>
        <v>0</v>
      </c>
    </row>
    <row r="60" spans="1:12">
      <c r="A60" s="2" t="str">
        <f>IF(L55=1,"Net requirements","NET POQ Req")</f>
        <v>NET POQ Req</v>
      </c>
      <c r="C60" s="2">
        <f t="shared" ref="C60:J60" si="22">MAX(C57-C58-C59+ $F55,0)</f>
        <v>0</v>
      </c>
      <c r="D60" s="2">
        <f t="shared" si="22"/>
        <v>0</v>
      </c>
      <c r="E60" s="2">
        <f t="shared" si="22"/>
        <v>0</v>
      </c>
      <c r="F60" s="2">
        <f t="shared" si="22"/>
        <v>0</v>
      </c>
      <c r="G60" s="2">
        <f t="shared" si="22"/>
        <v>0</v>
      </c>
      <c r="H60" s="2">
        <f t="shared" si="22"/>
        <v>0</v>
      </c>
      <c r="I60" s="2">
        <f t="shared" si="22"/>
        <v>300</v>
      </c>
      <c r="J60" s="2">
        <f t="shared" si="22"/>
        <v>0</v>
      </c>
    </row>
    <row r="61" spans="1:12">
      <c r="A61" s="2" t="s">
        <v>504</v>
      </c>
      <c r="C61" s="2">
        <f t="shared" ref="C61:J61" si="23">IF(C60&gt;0,IF(ROUNDUP(C60/$H55, 0)*$H55&gt;=$J55,ROUNDUP(C60/$H55, 0),ROUNDUP($J55/$H55, 0))  * $H55,0)</f>
        <v>0</v>
      </c>
      <c r="D61" s="2">
        <f t="shared" si="23"/>
        <v>0</v>
      </c>
      <c r="E61" s="2">
        <f t="shared" si="23"/>
        <v>0</v>
      </c>
      <c r="F61" s="2">
        <f t="shared" si="23"/>
        <v>0</v>
      </c>
      <c r="G61" s="2">
        <f t="shared" si="23"/>
        <v>0</v>
      </c>
      <c r="H61" s="2">
        <f t="shared" si="23"/>
        <v>0</v>
      </c>
      <c r="I61" s="2">
        <f t="shared" si="23"/>
        <v>300</v>
      </c>
      <c r="J61" s="2">
        <f t="shared" si="23"/>
        <v>0</v>
      </c>
    </row>
    <row r="62" spans="1:12">
      <c r="A62" s="2" t="s">
        <v>505</v>
      </c>
      <c r="C62" s="2">
        <f t="shared" ref="C62:J62" si="24">INDEX(C61:S61,1,$D55+ 1)</f>
        <v>0</v>
      </c>
      <c r="D62" s="2">
        <f t="shared" si="24"/>
        <v>0</v>
      </c>
      <c r="E62" s="2">
        <f t="shared" si="24"/>
        <v>0</v>
      </c>
      <c r="F62" s="2">
        <f t="shared" si="24"/>
        <v>0</v>
      </c>
      <c r="G62" s="2">
        <f t="shared" si="24"/>
        <v>0</v>
      </c>
      <c r="H62" s="2">
        <f t="shared" si="24"/>
        <v>300</v>
      </c>
      <c r="I62" s="2">
        <f t="shared" si="24"/>
        <v>0</v>
      </c>
      <c r="J62" s="2">
        <f t="shared" si="24"/>
        <v>0</v>
      </c>
    </row>
    <row r="64" spans="1:12" ht="30">
      <c r="A64" s="291" t="s">
        <v>256</v>
      </c>
      <c r="B64" s="54"/>
      <c r="C64" s="54" t="s">
        <v>498</v>
      </c>
      <c r="D64" s="292">
        <v>1</v>
      </c>
      <c r="E64" s="54" t="s">
        <v>499</v>
      </c>
      <c r="F64" s="292">
        <v>0</v>
      </c>
      <c r="G64" s="54" t="s">
        <v>500</v>
      </c>
      <c r="H64" s="292">
        <v>1</v>
      </c>
      <c r="I64" s="54" t="s">
        <v>408</v>
      </c>
      <c r="J64" s="292">
        <v>0</v>
      </c>
      <c r="K64" s="54"/>
      <c r="L64" s="54"/>
    </row>
    <row r="65" spans="1:12">
      <c r="B65" s="2" t="s">
        <v>521</v>
      </c>
      <c r="C65" s="2" t="s">
        <v>522</v>
      </c>
      <c r="D65" s="2" t="s">
        <v>523</v>
      </c>
      <c r="E65" s="2" t="s">
        <v>524</v>
      </c>
      <c r="F65" s="2" t="s">
        <v>525</v>
      </c>
      <c r="G65" s="2" t="s">
        <v>526</v>
      </c>
      <c r="H65" s="2" t="s">
        <v>527</v>
      </c>
      <c r="I65" s="2" t="s">
        <v>528</v>
      </c>
      <c r="J65" s="2" t="s">
        <v>529</v>
      </c>
    </row>
    <row r="66" spans="1:12">
      <c r="A66" s="2" t="s">
        <v>501</v>
      </c>
      <c r="C66" s="295">
        <f>+$C$14*C26</f>
        <v>0</v>
      </c>
      <c r="D66" s="295">
        <f t="shared" ref="D66:J66" si="25">+$C$14*D26</f>
        <v>0</v>
      </c>
      <c r="E66" s="295">
        <f t="shared" si="25"/>
        <v>0</v>
      </c>
      <c r="F66" s="295">
        <f t="shared" si="25"/>
        <v>0</v>
      </c>
      <c r="G66" s="295">
        <f t="shared" si="25"/>
        <v>0</v>
      </c>
      <c r="H66" s="295">
        <f t="shared" si="25"/>
        <v>0</v>
      </c>
      <c r="I66" s="295">
        <f t="shared" si="25"/>
        <v>800</v>
      </c>
      <c r="J66" s="295">
        <f t="shared" si="25"/>
        <v>0</v>
      </c>
      <c r="K66" s="294"/>
      <c r="L66" s="294"/>
    </row>
    <row r="67" spans="1:12">
      <c r="A67" s="2" t="s">
        <v>502</v>
      </c>
      <c r="C67" s="7"/>
      <c r="D67" s="7"/>
      <c r="E67" s="7"/>
      <c r="F67" s="7"/>
      <c r="G67" s="7"/>
      <c r="H67" s="7"/>
      <c r="I67" s="7"/>
      <c r="J67" s="7"/>
      <c r="K67" s="294"/>
      <c r="L67" s="294"/>
    </row>
    <row r="68" spans="1:12">
      <c r="A68" s="2" t="s">
        <v>503</v>
      </c>
      <c r="B68" s="7"/>
      <c r="C68" s="2">
        <f>B67+B68+B70-B66</f>
        <v>0</v>
      </c>
      <c r="D68" s="2">
        <f t="shared" ref="D68:J68" si="26">C67+C68+C70-C66</f>
        <v>0</v>
      </c>
      <c r="E68" s="2">
        <f t="shared" si="26"/>
        <v>0</v>
      </c>
      <c r="F68" s="2">
        <f t="shared" si="26"/>
        <v>0</v>
      </c>
      <c r="G68" s="2">
        <f t="shared" si="26"/>
        <v>0</v>
      </c>
      <c r="H68" s="2">
        <f t="shared" si="26"/>
        <v>0</v>
      </c>
      <c r="I68" s="2">
        <f t="shared" si="26"/>
        <v>0</v>
      </c>
      <c r="J68" s="2">
        <f t="shared" si="26"/>
        <v>0</v>
      </c>
    </row>
    <row r="69" spans="1:12">
      <c r="A69" s="2" t="str">
        <f>IF(L64=1,"Net requirements","NET POQ Req")</f>
        <v>NET POQ Req</v>
      </c>
      <c r="C69" s="2">
        <f t="shared" ref="C69:J69" si="27">MAX(C66-C67-C68+ $F64,0)</f>
        <v>0</v>
      </c>
      <c r="D69" s="2">
        <f t="shared" si="27"/>
        <v>0</v>
      </c>
      <c r="E69" s="2">
        <f t="shared" si="27"/>
        <v>0</v>
      </c>
      <c r="F69" s="2">
        <f t="shared" si="27"/>
        <v>0</v>
      </c>
      <c r="G69" s="2">
        <f t="shared" si="27"/>
        <v>0</v>
      </c>
      <c r="H69" s="2">
        <f t="shared" si="27"/>
        <v>0</v>
      </c>
      <c r="I69" s="2">
        <f t="shared" si="27"/>
        <v>800</v>
      </c>
      <c r="J69" s="2">
        <f t="shared" si="27"/>
        <v>0</v>
      </c>
    </row>
    <row r="70" spans="1:12">
      <c r="A70" s="2" t="s">
        <v>504</v>
      </c>
      <c r="C70" s="2">
        <f t="shared" ref="C70:J70" si="28">IF(C69&gt;0,IF(ROUNDUP(C69/$H64, 0)*$H64&gt;=$J64,ROUNDUP(C69/$H64, 0),ROUNDUP($J64/$H64, 0))  * $H64,0)</f>
        <v>0</v>
      </c>
      <c r="D70" s="2">
        <f t="shared" si="28"/>
        <v>0</v>
      </c>
      <c r="E70" s="2">
        <f t="shared" si="28"/>
        <v>0</v>
      </c>
      <c r="F70" s="2">
        <f t="shared" si="28"/>
        <v>0</v>
      </c>
      <c r="G70" s="2">
        <f t="shared" si="28"/>
        <v>0</v>
      </c>
      <c r="H70" s="2">
        <f t="shared" si="28"/>
        <v>0</v>
      </c>
      <c r="I70" s="2">
        <f t="shared" si="28"/>
        <v>800</v>
      </c>
      <c r="J70" s="2">
        <f t="shared" si="28"/>
        <v>0</v>
      </c>
    </row>
    <row r="71" spans="1:12">
      <c r="A71" s="2" t="s">
        <v>505</v>
      </c>
      <c r="C71" s="2">
        <f t="shared" ref="C71:J71" si="29">INDEX(C70:S70,1,$D64+ 1)</f>
        <v>0</v>
      </c>
      <c r="D71" s="2">
        <f t="shared" si="29"/>
        <v>0</v>
      </c>
      <c r="E71" s="2">
        <f t="shared" si="29"/>
        <v>0</v>
      </c>
      <c r="F71" s="2">
        <f t="shared" si="29"/>
        <v>0</v>
      </c>
      <c r="G71" s="2">
        <f t="shared" si="29"/>
        <v>0</v>
      </c>
      <c r="H71" s="2">
        <f t="shared" si="29"/>
        <v>800</v>
      </c>
      <c r="I71" s="2">
        <f t="shared" si="29"/>
        <v>0</v>
      </c>
      <c r="J71" s="2">
        <f t="shared" si="29"/>
        <v>0</v>
      </c>
    </row>
    <row r="73" spans="1:12" ht="30">
      <c r="A73" s="291" t="s">
        <v>303</v>
      </c>
      <c r="B73" s="54"/>
      <c r="C73" s="54" t="s">
        <v>498</v>
      </c>
      <c r="D73" s="292">
        <v>1</v>
      </c>
      <c r="E73" s="54" t="s">
        <v>499</v>
      </c>
      <c r="F73" s="292">
        <v>0</v>
      </c>
      <c r="G73" s="54" t="s">
        <v>500</v>
      </c>
      <c r="H73" s="292">
        <v>1</v>
      </c>
      <c r="I73" s="54" t="s">
        <v>408</v>
      </c>
      <c r="J73" s="292">
        <v>0</v>
      </c>
      <c r="K73" s="54"/>
      <c r="L73" s="54"/>
    </row>
    <row r="74" spans="1:12">
      <c r="B74" s="2" t="s">
        <v>521</v>
      </c>
      <c r="C74" s="2" t="s">
        <v>522</v>
      </c>
      <c r="D74" s="2" t="s">
        <v>523</v>
      </c>
      <c r="E74" s="2" t="s">
        <v>524</v>
      </c>
      <c r="F74" s="2" t="s">
        <v>525</v>
      </c>
      <c r="G74" s="2" t="s">
        <v>526</v>
      </c>
      <c r="H74" s="2" t="s">
        <v>527</v>
      </c>
      <c r="I74" s="2" t="s">
        <v>528</v>
      </c>
      <c r="J74" s="2" t="s">
        <v>529</v>
      </c>
    </row>
    <row r="75" spans="1:12">
      <c r="A75" s="2" t="s">
        <v>501</v>
      </c>
      <c r="C75" s="295">
        <f>+$C$15*C26</f>
        <v>0</v>
      </c>
      <c r="D75" s="295">
        <f t="shared" ref="D75:J75" si="30">+$C$15*D26</f>
        <v>0</v>
      </c>
      <c r="E75" s="295">
        <f t="shared" si="30"/>
        <v>0</v>
      </c>
      <c r="F75" s="295">
        <f t="shared" si="30"/>
        <v>0</v>
      </c>
      <c r="G75" s="295">
        <f t="shared" si="30"/>
        <v>0</v>
      </c>
      <c r="H75" s="295">
        <f t="shared" si="30"/>
        <v>0</v>
      </c>
      <c r="I75" s="295">
        <f t="shared" si="30"/>
        <v>300</v>
      </c>
      <c r="J75" s="295">
        <f t="shared" si="30"/>
        <v>0</v>
      </c>
      <c r="K75" s="294"/>
      <c r="L75" s="294"/>
    </row>
    <row r="76" spans="1:12">
      <c r="A76" s="2" t="s">
        <v>502</v>
      </c>
      <c r="C76" s="7"/>
      <c r="D76" s="7"/>
      <c r="E76" s="7"/>
      <c r="F76" s="7"/>
      <c r="G76" s="7"/>
      <c r="H76" s="7"/>
      <c r="I76" s="7"/>
      <c r="J76" s="7"/>
      <c r="K76" s="294"/>
      <c r="L76" s="294"/>
    </row>
    <row r="77" spans="1:12">
      <c r="A77" s="2" t="s">
        <v>503</v>
      </c>
      <c r="B77" s="7"/>
      <c r="C77" s="2">
        <f>B76+B77+B79-B75</f>
        <v>0</v>
      </c>
      <c r="D77" s="2">
        <f t="shared" ref="D77:J77" si="31">C76+C77+C79-C75</f>
        <v>0</v>
      </c>
      <c r="E77" s="2">
        <f t="shared" si="31"/>
        <v>0</v>
      </c>
      <c r="F77" s="2">
        <f t="shared" si="31"/>
        <v>0</v>
      </c>
      <c r="G77" s="2">
        <f t="shared" si="31"/>
        <v>0</v>
      </c>
      <c r="H77" s="2">
        <f t="shared" si="31"/>
        <v>0</v>
      </c>
      <c r="I77" s="2">
        <f t="shared" si="31"/>
        <v>0</v>
      </c>
      <c r="J77" s="2">
        <f t="shared" si="31"/>
        <v>0</v>
      </c>
    </row>
    <row r="78" spans="1:12">
      <c r="A78" s="2" t="str">
        <f>IF(L73=1,"Net requirements","NET POQ Req")</f>
        <v>NET POQ Req</v>
      </c>
      <c r="C78" s="2">
        <f t="shared" ref="C78:J78" si="32">MAX(C75-C76-C77+ $F73,0)</f>
        <v>0</v>
      </c>
      <c r="D78" s="2">
        <f t="shared" si="32"/>
        <v>0</v>
      </c>
      <c r="E78" s="2">
        <f t="shared" si="32"/>
        <v>0</v>
      </c>
      <c r="F78" s="2">
        <f t="shared" si="32"/>
        <v>0</v>
      </c>
      <c r="G78" s="2">
        <f t="shared" si="32"/>
        <v>0</v>
      </c>
      <c r="H78" s="2">
        <f t="shared" si="32"/>
        <v>0</v>
      </c>
      <c r="I78" s="2">
        <f t="shared" si="32"/>
        <v>300</v>
      </c>
      <c r="J78" s="2">
        <f t="shared" si="32"/>
        <v>0</v>
      </c>
    </row>
    <row r="79" spans="1:12">
      <c r="A79" s="2" t="s">
        <v>504</v>
      </c>
      <c r="C79" s="2">
        <f t="shared" ref="C79:J79" si="33">IF(C78&gt;0,IF(ROUNDUP(C78/$H73, 0)*$H73&gt;=$J73,ROUNDUP(C78/$H73, 0),ROUNDUP($J73/$H73, 0))  * $H73,0)</f>
        <v>0</v>
      </c>
      <c r="D79" s="2">
        <f t="shared" si="33"/>
        <v>0</v>
      </c>
      <c r="E79" s="2">
        <f t="shared" si="33"/>
        <v>0</v>
      </c>
      <c r="F79" s="2">
        <f t="shared" si="33"/>
        <v>0</v>
      </c>
      <c r="G79" s="2">
        <f t="shared" si="33"/>
        <v>0</v>
      </c>
      <c r="H79" s="2">
        <f t="shared" si="33"/>
        <v>0</v>
      </c>
      <c r="I79" s="2">
        <f t="shared" si="33"/>
        <v>300</v>
      </c>
      <c r="J79" s="2">
        <f t="shared" si="33"/>
        <v>0</v>
      </c>
    </row>
    <row r="80" spans="1:12">
      <c r="A80" s="2" t="s">
        <v>505</v>
      </c>
      <c r="C80" s="2">
        <f t="shared" ref="C80:J80" si="34">INDEX(C79:S79,1,$D73+ 1)</f>
        <v>0</v>
      </c>
      <c r="D80" s="2">
        <f t="shared" si="34"/>
        <v>0</v>
      </c>
      <c r="E80" s="2">
        <f t="shared" si="34"/>
        <v>0</v>
      </c>
      <c r="F80" s="2">
        <f t="shared" si="34"/>
        <v>0</v>
      </c>
      <c r="G80" s="2">
        <f t="shared" si="34"/>
        <v>0</v>
      </c>
      <c r="H80" s="2">
        <f t="shared" si="34"/>
        <v>300</v>
      </c>
      <c r="I80" s="2">
        <f t="shared" si="34"/>
        <v>0</v>
      </c>
      <c r="J80" s="2">
        <f t="shared" si="34"/>
        <v>0</v>
      </c>
    </row>
  </sheetData>
  <conditionalFormatting sqref="C23:L27">
    <cfRule type="cellIs" dxfId="13" priority="7" stopIfTrue="1" operator="lessThanOrEqual">
      <formula>0</formula>
    </cfRule>
  </conditionalFormatting>
  <conditionalFormatting sqref="C32:L36">
    <cfRule type="cellIs" dxfId="12" priority="8" stopIfTrue="1" operator="lessThanOrEqual">
      <formula>0</formula>
    </cfRule>
  </conditionalFormatting>
  <conditionalFormatting sqref="C41:L45">
    <cfRule type="cellIs" dxfId="11" priority="9" stopIfTrue="1" operator="lessThanOrEqual">
      <formula>0</formula>
    </cfRule>
  </conditionalFormatting>
  <conditionalFormatting sqref="C50:L54">
    <cfRule type="cellIs" dxfId="10" priority="10" stopIfTrue="1" operator="lessThanOrEqual">
      <formula>0</formula>
    </cfRule>
  </conditionalFormatting>
  <conditionalFormatting sqref="C59:L63">
    <cfRule type="cellIs" dxfId="9" priority="11" stopIfTrue="1" operator="lessThanOrEqual">
      <formula>0</formula>
    </cfRule>
  </conditionalFormatting>
  <conditionalFormatting sqref="C68:L72">
    <cfRule type="cellIs" dxfId="8" priority="12" stopIfTrue="1" operator="lessThanOrEqual">
      <formula>0</formula>
    </cfRule>
  </conditionalFormatting>
  <conditionalFormatting sqref="C77:L154">
    <cfRule type="cellIs" dxfId="7" priority="13" stopIfTrue="1" operator="lessThanOrEqual">
      <formula>0</formula>
    </cfRule>
  </conditionalFormatting>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5"/>
  <sheetViews>
    <sheetView workbookViewId="0">
      <selection activeCell="A2" sqref="A2"/>
    </sheetView>
  </sheetViews>
  <sheetFormatPr baseColWidth="10" defaultRowHeight="15" x14ac:dyDescent="0"/>
  <cols>
    <col min="1" max="1" width="22.6640625" style="2" bestFit="1" customWidth="1"/>
    <col min="2" max="2" width="18.83203125" style="2" customWidth="1"/>
    <col min="3" max="4" width="10.83203125" style="2"/>
    <col min="5" max="5" width="14.83203125" style="2" bestFit="1" customWidth="1"/>
    <col min="6" max="6" width="10.83203125" style="2"/>
    <col min="7" max="7" width="9.83203125" style="2" customWidth="1"/>
    <col min="8" max="16384" width="10.83203125" style="2"/>
  </cols>
  <sheetData>
    <row r="1" spans="1:9" ht="18">
      <c r="A1" s="39" t="s">
        <v>536</v>
      </c>
      <c r="C1" s="2" t="s">
        <v>530</v>
      </c>
      <c r="F1" s="2" t="s">
        <v>531</v>
      </c>
    </row>
    <row r="3" spans="1:9" ht="18">
      <c r="A3" s="3" t="s">
        <v>507</v>
      </c>
      <c r="B3" s="3"/>
      <c r="C3" s="3"/>
      <c r="D3" s="3"/>
      <c r="E3" s="3" t="s">
        <v>537</v>
      </c>
      <c r="F3" s="3" t="s">
        <v>173</v>
      </c>
      <c r="G3" s="3"/>
      <c r="H3" s="3"/>
    </row>
    <row r="4" spans="1:9">
      <c r="A4" s="1"/>
      <c r="B4" s="1"/>
      <c r="E4" s="2" t="s">
        <v>534</v>
      </c>
      <c r="F4" s="296">
        <v>535</v>
      </c>
    </row>
    <row r="5" spans="1:9">
      <c r="E5" s="2" t="s">
        <v>535</v>
      </c>
      <c r="F5" s="296">
        <v>800</v>
      </c>
    </row>
    <row r="6" spans="1:9" ht="16" thickBot="1">
      <c r="B6" s="5" t="s">
        <v>179</v>
      </c>
      <c r="E6" s="2" t="s">
        <v>538</v>
      </c>
      <c r="F6" s="296">
        <v>717</v>
      </c>
    </row>
    <row r="7" spans="1:9">
      <c r="B7" s="8" t="s">
        <v>385</v>
      </c>
      <c r="C7" s="85">
        <v>1</v>
      </c>
      <c r="E7" s="2" t="s">
        <v>539</v>
      </c>
      <c r="F7" s="296">
        <v>565</v>
      </c>
    </row>
    <row r="8" spans="1:9">
      <c r="B8" s="10" t="s">
        <v>398</v>
      </c>
      <c r="C8" s="11">
        <v>100</v>
      </c>
      <c r="E8" s="2" t="s">
        <v>540</v>
      </c>
      <c r="F8" s="296">
        <v>565</v>
      </c>
    </row>
    <row r="9" spans="1:9">
      <c r="B9" s="10" t="s">
        <v>464</v>
      </c>
      <c r="C9" s="11"/>
    </row>
    <row r="10" spans="1:9" ht="16" thickBot="1">
      <c r="B10" s="12" t="s">
        <v>498</v>
      </c>
      <c r="C10" s="13">
        <v>1</v>
      </c>
    </row>
    <row r="12" spans="1:9" ht="16" thickBot="1">
      <c r="B12" s="5" t="s">
        <v>1</v>
      </c>
      <c r="E12" s="23"/>
      <c r="F12" s="23" t="s">
        <v>82</v>
      </c>
    </row>
    <row r="13" spans="1:9" s="54" customFormat="1" ht="45">
      <c r="A13" s="54" t="s">
        <v>508</v>
      </c>
      <c r="B13" s="52" t="s">
        <v>2</v>
      </c>
      <c r="C13" s="102" t="s">
        <v>509</v>
      </c>
      <c r="D13" s="53" t="s">
        <v>510</v>
      </c>
      <c r="F13" s="297" t="s">
        <v>511</v>
      </c>
      <c r="G13" s="251" t="s">
        <v>512</v>
      </c>
      <c r="H13" s="303" t="s">
        <v>463</v>
      </c>
      <c r="I13" s="305" t="s">
        <v>513</v>
      </c>
    </row>
    <row r="14" spans="1:9">
      <c r="A14" s="69">
        <v>1</v>
      </c>
      <c r="B14" s="10" t="s">
        <v>522</v>
      </c>
      <c r="C14" s="7">
        <v>35</v>
      </c>
      <c r="D14" s="11">
        <v>73</v>
      </c>
      <c r="F14" s="298">
        <f>IF(ISERR(INDEX($D$14:$D$23,A14+$C$10)),"",INDEX($D$14:$D$23,A14+$C$10))</f>
        <v>0</v>
      </c>
      <c r="G14" s="18">
        <f>C9+D14-C14</f>
        <v>38</v>
      </c>
      <c r="H14" s="302">
        <f t="shared" ref="H14:H23" si="0">G14*$C$7</f>
        <v>38</v>
      </c>
      <c r="I14" s="306">
        <f t="shared" ref="I14:I23" si="1">IF(D14&gt;0,$C$8,"")</f>
        <v>100</v>
      </c>
    </row>
    <row r="15" spans="1:9">
      <c r="A15" s="69">
        <v>2</v>
      </c>
      <c r="B15" s="10" t="s">
        <v>523</v>
      </c>
      <c r="C15" s="7">
        <v>30</v>
      </c>
      <c r="D15" s="11">
        <v>0</v>
      </c>
      <c r="F15" s="298">
        <f t="shared" ref="F15:F23" si="2">IF(ISERR(INDEX($D$14:$D$23,A15+$C$10)),"",INDEX($D$14:$D$23,A15+$C$10))</f>
        <v>73</v>
      </c>
      <c r="G15" s="18">
        <f t="shared" ref="G15:G23" si="3">G14+D15-C15</f>
        <v>8</v>
      </c>
      <c r="H15" s="302">
        <f t="shared" si="0"/>
        <v>8</v>
      </c>
      <c r="I15" s="306" t="str">
        <f t="shared" si="1"/>
        <v/>
      </c>
    </row>
    <row r="16" spans="1:9">
      <c r="A16" s="69">
        <v>3</v>
      </c>
      <c r="B16" s="10" t="s">
        <v>524</v>
      </c>
      <c r="C16" s="7">
        <v>40</v>
      </c>
      <c r="D16" s="11">
        <v>73</v>
      </c>
      <c r="F16" s="298">
        <f t="shared" si="2"/>
        <v>0</v>
      </c>
      <c r="G16" s="18">
        <f t="shared" si="3"/>
        <v>41</v>
      </c>
      <c r="H16" s="302">
        <f t="shared" si="0"/>
        <v>41</v>
      </c>
      <c r="I16" s="306">
        <f t="shared" si="1"/>
        <v>100</v>
      </c>
    </row>
    <row r="17" spans="1:12">
      <c r="A17" s="69">
        <v>4</v>
      </c>
      <c r="B17" s="10" t="s">
        <v>525</v>
      </c>
      <c r="C17" s="7">
        <v>0</v>
      </c>
      <c r="D17" s="11">
        <v>0</v>
      </c>
      <c r="F17" s="298">
        <f t="shared" si="2"/>
        <v>0</v>
      </c>
      <c r="G17" s="18">
        <f t="shared" si="3"/>
        <v>41</v>
      </c>
      <c r="H17" s="302">
        <f t="shared" si="0"/>
        <v>41</v>
      </c>
      <c r="I17" s="306" t="str">
        <f t="shared" si="1"/>
        <v/>
      </c>
    </row>
    <row r="18" spans="1:12">
      <c r="A18" s="69">
        <v>5</v>
      </c>
      <c r="B18" s="10" t="s">
        <v>526</v>
      </c>
      <c r="C18" s="7">
        <v>10</v>
      </c>
      <c r="D18" s="11">
        <v>0</v>
      </c>
      <c r="F18" s="298">
        <f t="shared" si="2"/>
        <v>73</v>
      </c>
      <c r="G18" s="18">
        <f t="shared" si="3"/>
        <v>31</v>
      </c>
      <c r="H18" s="302">
        <f t="shared" si="0"/>
        <v>31</v>
      </c>
      <c r="I18" s="306" t="str">
        <f t="shared" si="1"/>
        <v/>
      </c>
    </row>
    <row r="19" spans="1:12">
      <c r="A19" s="69">
        <v>6</v>
      </c>
      <c r="B19" s="10" t="s">
        <v>527</v>
      </c>
      <c r="C19" s="7">
        <v>40</v>
      </c>
      <c r="D19" s="11">
        <v>73</v>
      </c>
      <c r="F19" s="298">
        <f t="shared" si="2"/>
        <v>0</v>
      </c>
      <c r="G19" s="18">
        <f t="shared" si="3"/>
        <v>64</v>
      </c>
      <c r="H19" s="302">
        <f t="shared" si="0"/>
        <v>64</v>
      </c>
      <c r="I19" s="306">
        <f t="shared" si="1"/>
        <v>100</v>
      </c>
    </row>
    <row r="20" spans="1:12">
      <c r="A20" s="69">
        <v>7</v>
      </c>
      <c r="B20" s="10" t="s">
        <v>528</v>
      </c>
      <c r="C20" s="7">
        <v>30</v>
      </c>
      <c r="D20" s="11">
        <v>0</v>
      </c>
      <c r="F20" s="298">
        <f t="shared" si="2"/>
        <v>0</v>
      </c>
      <c r="G20" s="18">
        <f t="shared" si="3"/>
        <v>34</v>
      </c>
      <c r="H20" s="302">
        <f t="shared" si="0"/>
        <v>34</v>
      </c>
      <c r="I20" s="306" t="str">
        <f t="shared" si="1"/>
        <v/>
      </c>
    </row>
    <row r="21" spans="1:12">
      <c r="A21" s="69">
        <v>8</v>
      </c>
      <c r="B21" s="10" t="s">
        <v>529</v>
      </c>
      <c r="C21" s="7">
        <v>0</v>
      </c>
      <c r="D21" s="11">
        <v>0</v>
      </c>
      <c r="F21" s="298">
        <f t="shared" si="2"/>
        <v>0</v>
      </c>
      <c r="G21" s="18">
        <f t="shared" si="3"/>
        <v>34</v>
      </c>
      <c r="H21" s="302">
        <f t="shared" si="0"/>
        <v>34</v>
      </c>
      <c r="I21" s="306" t="str">
        <f t="shared" si="1"/>
        <v/>
      </c>
    </row>
    <row r="22" spans="1:12">
      <c r="A22" s="69">
        <v>9</v>
      </c>
      <c r="B22" s="10" t="s">
        <v>532</v>
      </c>
      <c r="C22" s="7">
        <v>30</v>
      </c>
      <c r="D22" s="11">
        <v>0</v>
      </c>
      <c r="F22" s="298">
        <f t="shared" si="2"/>
        <v>73</v>
      </c>
      <c r="G22" s="18">
        <f t="shared" si="3"/>
        <v>4</v>
      </c>
      <c r="H22" s="302">
        <f t="shared" si="0"/>
        <v>4</v>
      </c>
      <c r="I22" s="306" t="str">
        <f t="shared" si="1"/>
        <v/>
      </c>
    </row>
    <row r="23" spans="1:12" ht="16" thickBot="1">
      <c r="A23" s="69">
        <v>10</v>
      </c>
      <c r="B23" s="12" t="s">
        <v>533</v>
      </c>
      <c r="C23" s="40">
        <v>55</v>
      </c>
      <c r="D23" s="13">
        <v>73</v>
      </c>
      <c r="F23" s="299" t="str">
        <f t="shared" si="2"/>
        <v/>
      </c>
      <c r="G23" s="226">
        <f t="shared" si="3"/>
        <v>22</v>
      </c>
      <c r="H23" s="304">
        <f t="shared" si="0"/>
        <v>22</v>
      </c>
      <c r="I23" s="307">
        <f t="shared" si="1"/>
        <v>100</v>
      </c>
    </row>
    <row r="24" spans="1:12">
      <c r="B24" s="2" t="s">
        <v>514</v>
      </c>
      <c r="C24" s="2">
        <f>SUM(C14:C23)</f>
        <v>270</v>
      </c>
      <c r="D24" s="2">
        <f>SUM(D14:D23)</f>
        <v>292</v>
      </c>
      <c r="F24" s="2">
        <f>SUM(F14:F23)</f>
        <v>219</v>
      </c>
      <c r="G24" s="2">
        <f>SUM(G14:G23)</f>
        <v>317</v>
      </c>
      <c r="H24" s="300">
        <f>SUM(H14:H23)</f>
        <v>317</v>
      </c>
      <c r="I24" s="300">
        <f>SUM(I14:I23)</f>
        <v>400</v>
      </c>
    </row>
    <row r="25" spans="1:12" ht="16" thickBot="1">
      <c r="H25" s="300"/>
      <c r="I25" s="300"/>
    </row>
    <row r="26" spans="1:12" ht="16" thickBot="1">
      <c r="F26" s="21" t="s">
        <v>173</v>
      </c>
      <c r="G26" s="301">
        <f>H24+I24</f>
        <v>717</v>
      </c>
      <c r="H26" s="300"/>
      <c r="I26" s="300"/>
    </row>
    <row r="28" spans="1:12">
      <c r="A28" s="2" t="s">
        <v>515</v>
      </c>
    </row>
    <row r="29" spans="1:12">
      <c r="A29" s="2" t="s">
        <v>2</v>
      </c>
      <c r="B29" s="2">
        <v>0</v>
      </c>
      <c r="C29" s="2">
        <v>1</v>
      </c>
      <c r="D29" s="2">
        <v>2</v>
      </c>
      <c r="E29" s="2">
        <v>3</v>
      </c>
      <c r="F29" s="2">
        <v>4</v>
      </c>
      <c r="G29" s="2">
        <v>5</v>
      </c>
      <c r="H29" s="2">
        <v>6</v>
      </c>
      <c r="I29" s="2">
        <v>7</v>
      </c>
      <c r="J29" s="2">
        <v>8</v>
      </c>
      <c r="K29" s="2">
        <v>9</v>
      </c>
      <c r="L29" s="2">
        <v>10</v>
      </c>
    </row>
    <row r="30" spans="1:12">
      <c r="A30" s="2" t="s">
        <v>501</v>
      </c>
      <c r="C30" s="2">
        <f>C14</f>
        <v>35</v>
      </c>
      <c r="D30" s="2">
        <f>C15</f>
        <v>30</v>
      </c>
      <c r="E30" s="2">
        <f>C16</f>
        <v>40</v>
      </c>
      <c r="F30" s="2">
        <f>C17</f>
        <v>0</v>
      </c>
      <c r="G30" s="2">
        <f>C18</f>
        <v>10</v>
      </c>
      <c r="H30" s="2">
        <f>C19</f>
        <v>40</v>
      </c>
      <c r="I30" s="2">
        <f>C20</f>
        <v>30</v>
      </c>
      <c r="J30" s="2">
        <f>C21</f>
        <v>0</v>
      </c>
      <c r="K30" s="2">
        <f>C22</f>
        <v>30</v>
      </c>
      <c r="L30" s="2">
        <f>C23</f>
        <v>55</v>
      </c>
    </row>
    <row r="31" spans="1:12">
      <c r="A31" s="2" t="s">
        <v>516</v>
      </c>
      <c r="B31" s="2">
        <v>35</v>
      </c>
      <c r="C31" s="2">
        <f t="shared" ref="C31:L31" si="4">B32</f>
        <v>35</v>
      </c>
      <c r="D31" s="2">
        <f t="shared" si="4"/>
        <v>38</v>
      </c>
      <c r="E31" s="2">
        <f t="shared" si="4"/>
        <v>8</v>
      </c>
      <c r="F31" s="2">
        <f t="shared" si="4"/>
        <v>41</v>
      </c>
      <c r="G31" s="2">
        <f t="shared" si="4"/>
        <v>41</v>
      </c>
      <c r="H31" s="2">
        <f t="shared" si="4"/>
        <v>31</v>
      </c>
      <c r="I31" s="2">
        <f t="shared" si="4"/>
        <v>64</v>
      </c>
      <c r="J31" s="2">
        <f t="shared" si="4"/>
        <v>34</v>
      </c>
      <c r="K31" s="2">
        <f t="shared" si="4"/>
        <v>34</v>
      </c>
      <c r="L31" s="2">
        <f t="shared" si="4"/>
        <v>4</v>
      </c>
    </row>
    <row r="32" spans="1:12">
      <c r="A32" s="2" t="s">
        <v>517</v>
      </c>
      <c r="B32" s="2">
        <v>35</v>
      </c>
      <c r="C32" s="2">
        <f>G14</f>
        <v>38</v>
      </c>
      <c r="D32" s="2">
        <f>G15</f>
        <v>8</v>
      </c>
      <c r="E32" s="2">
        <f>G16</f>
        <v>41</v>
      </c>
      <c r="F32" s="2">
        <f>G17</f>
        <v>41</v>
      </c>
      <c r="G32" s="2">
        <f>G18</f>
        <v>31</v>
      </c>
      <c r="H32" s="2">
        <f>G19</f>
        <v>64</v>
      </c>
      <c r="I32" s="2">
        <f>G20</f>
        <v>34</v>
      </c>
      <c r="J32" s="2">
        <f>G21</f>
        <v>34</v>
      </c>
      <c r="K32" s="2">
        <f>G22</f>
        <v>4</v>
      </c>
      <c r="L32" s="2">
        <f>G23</f>
        <v>22</v>
      </c>
    </row>
    <row r="33" spans="1:12">
      <c r="A33" s="2" t="s">
        <v>518</v>
      </c>
      <c r="C33" s="2">
        <f t="shared" ref="C33:L33" si="5">MAX(0,C30-C31)</f>
        <v>0</v>
      </c>
      <c r="D33" s="2">
        <f t="shared" si="5"/>
        <v>0</v>
      </c>
      <c r="E33" s="2">
        <f t="shared" si="5"/>
        <v>32</v>
      </c>
      <c r="F33" s="2">
        <f t="shared" si="5"/>
        <v>0</v>
      </c>
      <c r="G33" s="2">
        <f t="shared" si="5"/>
        <v>0</v>
      </c>
      <c r="H33" s="2">
        <f t="shared" si="5"/>
        <v>9</v>
      </c>
      <c r="I33" s="2">
        <f t="shared" si="5"/>
        <v>0</v>
      </c>
      <c r="J33" s="2">
        <f t="shared" si="5"/>
        <v>0</v>
      </c>
      <c r="K33" s="2">
        <f t="shared" si="5"/>
        <v>0</v>
      </c>
      <c r="L33" s="2">
        <f t="shared" si="5"/>
        <v>51</v>
      </c>
    </row>
    <row r="34" spans="1:12">
      <c r="A34" s="2" t="s">
        <v>519</v>
      </c>
      <c r="C34" s="2">
        <f>D14</f>
        <v>73</v>
      </c>
      <c r="D34" s="2">
        <f>D15</f>
        <v>0</v>
      </c>
      <c r="E34" s="2">
        <f>D16</f>
        <v>73</v>
      </c>
      <c r="F34" s="2">
        <f>D17</f>
        <v>0</v>
      </c>
      <c r="G34" s="2">
        <f>D18</f>
        <v>0</v>
      </c>
      <c r="H34" s="2">
        <f>D19</f>
        <v>73</v>
      </c>
      <c r="I34" s="2">
        <f>D20</f>
        <v>0</v>
      </c>
      <c r="J34" s="2">
        <f>D21</f>
        <v>0</v>
      </c>
      <c r="K34" s="2">
        <f>D22</f>
        <v>0</v>
      </c>
      <c r="L34" s="2">
        <f>D23</f>
        <v>73</v>
      </c>
    </row>
    <row r="35" spans="1:12">
      <c r="A35" s="2" t="s">
        <v>520</v>
      </c>
      <c r="C35" s="2">
        <f>F14</f>
        <v>0</v>
      </c>
      <c r="D35" s="2">
        <f>F15</f>
        <v>73</v>
      </c>
      <c r="E35" s="2">
        <f>F16</f>
        <v>0</v>
      </c>
      <c r="F35" s="2">
        <f>F17</f>
        <v>0</v>
      </c>
      <c r="G35" s="2">
        <f>F18</f>
        <v>73</v>
      </c>
      <c r="H35" s="2">
        <f>F19</f>
        <v>0</v>
      </c>
      <c r="I35" s="2">
        <f>F20</f>
        <v>0</v>
      </c>
      <c r="J35" s="2">
        <f>F21</f>
        <v>0</v>
      </c>
      <c r="K35" s="2">
        <f>F22</f>
        <v>73</v>
      </c>
      <c r="L35" s="2" t="str">
        <f>F23</f>
        <v/>
      </c>
    </row>
  </sheetData>
  <pageMargins left="0.75" right="0.75" top="1" bottom="1" header="0.5" footer="0.5"/>
  <drawing r:id="rId1"/>
  <legacyDrawing r:id="rId2"/>
  <mc:AlternateContent xmlns:mc="http://schemas.openxmlformats.org/markup-compatibility/2006">
    <mc:Choice Requires="x14">
      <controls>
        <mc:AlternateContent xmlns:mc="http://schemas.openxmlformats.org/markup-compatibility/2006">
          <mc:Choice Requires="x14">
            <control shapeId="98306" r:id="rId3" name="Button 2">
              <controlPr defaultSize="0" print="0" autoFill="0" autoPict="0" macro="[2]!lotSizeSummary">
                <anchor moveWithCells="1" sizeWithCells="1">
                  <from>
                    <xdr:col>0</xdr:col>
                    <xdr:colOff>762000</xdr:colOff>
                    <xdr:row>3</xdr:row>
                    <xdr:rowOff>0</xdr:rowOff>
                  </from>
                  <to>
                    <xdr:col>2</xdr:col>
                    <xdr:colOff>88900</xdr:colOff>
                    <xdr:row>4</xdr:row>
                    <xdr:rowOff>139700</xdr:rowOff>
                  </to>
                </anchor>
              </controlPr>
            </control>
          </mc:Choice>
          <mc:Fallback/>
        </mc:AlternateContent>
        <mc:AlternateContent xmlns:mc="http://schemas.openxmlformats.org/markup-compatibility/2006">
          <mc:Choice Requires="x14">
            <control shapeId="98307" r:id="rId4" name="Button 3">
              <controlPr defaultSize="0" print="0" autoFill="0" autoPict="0" macro="[2]!wagnerWhitin">
                <anchor moveWithCells="1" sizeWithCells="1">
                  <from>
                    <xdr:col>0</xdr:col>
                    <xdr:colOff>0</xdr:colOff>
                    <xdr:row>3</xdr:row>
                    <xdr:rowOff>0</xdr:rowOff>
                  </from>
                  <to>
                    <xdr:col>0</xdr:col>
                    <xdr:colOff>609600</xdr:colOff>
                    <xdr:row>4</xdr:row>
                    <xdr:rowOff>139700</xdr:rowOff>
                  </to>
                </anchor>
              </controlPr>
            </control>
          </mc:Choice>
          <mc:Fallback/>
        </mc:AlternateContent>
        <mc:AlternateContent xmlns:mc="http://schemas.openxmlformats.org/markup-compatibility/2006">
          <mc:Choice Requires="x14">
            <control shapeId="98308" r:id="rId5" name="Button 4">
              <controlPr defaultSize="0" print="0" autoFill="0" autoPict="0" macro="[2]!lotforlot">
                <anchor moveWithCells="1" sizeWithCells="1">
                  <from>
                    <xdr:col>0</xdr:col>
                    <xdr:colOff>0</xdr:colOff>
                    <xdr:row>4</xdr:row>
                    <xdr:rowOff>152400</xdr:rowOff>
                  </from>
                  <to>
                    <xdr:col>0</xdr:col>
                    <xdr:colOff>609600</xdr:colOff>
                    <xdr:row>6</xdr:row>
                    <xdr:rowOff>88900</xdr:rowOff>
                  </to>
                </anchor>
              </controlPr>
            </control>
          </mc:Choice>
          <mc:Fallback/>
        </mc:AlternateContent>
        <mc:AlternateContent xmlns:mc="http://schemas.openxmlformats.org/markup-compatibility/2006">
          <mc:Choice Requires="x14">
            <control shapeId="98309" r:id="rId6" name="Button 5">
              <controlPr defaultSize="0" print="0" autoFill="0" autoPict="0" macro="[2]!lotsizeEOQ">
                <anchor moveWithCells="1" sizeWithCells="1">
                  <from>
                    <xdr:col>0</xdr:col>
                    <xdr:colOff>0</xdr:colOff>
                    <xdr:row>6</xdr:row>
                    <xdr:rowOff>101600</xdr:rowOff>
                  </from>
                  <to>
                    <xdr:col>0</xdr:col>
                    <xdr:colOff>609600</xdr:colOff>
                    <xdr:row>8</xdr:row>
                    <xdr:rowOff>50800</xdr:rowOff>
                  </to>
                </anchor>
              </controlPr>
            </control>
          </mc:Choice>
          <mc:Fallback/>
        </mc:AlternateContent>
        <mc:AlternateContent xmlns:mc="http://schemas.openxmlformats.org/markup-compatibility/2006">
          <mc:Choice Requires="x14">
            <control shapeId="98310" r:id="rId7" name="Button 6">
              <controlPr defaultSize="0" print="0" autoFill="0" autoPict="0" macro="[2]!lotsizePOQ">
                <anchor moveWithCells="1" sizeWithCells="1">
                  <from>
                    <xdr:col>0</xdr:col>
                    <xdr:colOff>0</xdr:colOff>
                    <xdr:row>8</xdr:row>
                    <xdr:rowOff>63500</xdr:rowOff>
                  </from>
                  <to>
                    <xdr:col>0</xdr:col>
                    <xdr:colOff>609600</xdr:colOff>
                    <xdr:row>10</xdr:row>
                    <xdr:rowOff>0</xdr:rowOff>
                  </to>
                </anchor>
              </controlPr>
            </control>
          </mc:Choice>
          <mc:Fallback/>
        </mc:AlternateContent>
        <mc:AlternateContent xmlns:mc="http://schemas.openxmlformats.org/markup-compatibility/2006">
          <mc:Choice Requires="x14">
            <control shapeId="98311" r:id="rId8" name="Button 7">
              <controlPr defaultSize="0" print="0" autoFill="0" autoPict="0" macro="[2]!lotsizePPB">
                <anchor moveWithCells="1" sizeWithCells="1">
                  <from>
                    <xdr:col>0</xdr:col>
                    <xdr:colOff>0</xdr:colOff>
                    <xdr:row>10</xdr:row>
                    <xdr:rowOff>12700</xdr:rowOff>
                  </from>
                  <to>
                    <xdr:col>0</xdr:col>
                    <xdr:colOff>609600</xdr:colOff>
                    <xdr:row>11</xdr:row>
                    <xdr:rowOff>152400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enableFormatConditionsCalculation="0"/>
  <dimension ref="A1:I27"/>
  <sheetViews>
    <sheetView workbookViewId="0">
      <selection activeCell="D25" sqref="D25"/>
    </sheetView>
  </sheetViews>
  <sheetFormatPr baseColWidth="10" defaultColWidth="8.6640625" defaultRowHeight="15" x14ac:dyDescent="0"/>
  <cols>
    <col min="1" max="1" width="15.6640625" style="308" bestFit="1" customWidth="1"/>
    <col min="2" max="4" width="10" style="308" bestFit="1" customWidth="1"/>
    <col min="5" max="5" width="9.6640625" style="308" bestFit="1" customWidth="1"/>
    <col min="6" max="16384" width="8.6640625" style="308"/>
  </cols>
  <sheetData>
    <row r="1" spans="1:9" ht="18">
      <c r="A1" s="355" t="s">
        <v>542</v>
      </c>
    </row>
    <row r="3" spans="1:9" ht="18">
      <c r="A3" s="354" t="s">
        <v>542</v>
      </c>
      <c r="B3" s="310"/>
      <c r="C3" s="310"/>
      <c r="D3" s="310"/>
      <c r="E3" s="310"/>
      <c r="F3" s="310"/>
      <c r="G3" s="310"/>
      <c r="H3" s="310"/>
      <c r="I3" s="310"/>
    </row>
    <row r="4" spans="1:9">
      <c r="A4" s="311"/>
      <c r="B4" s="311"/>
      <c r="C4" s="311"/>
    </row>
    <row r="8" spans="1:9" ht="16" thickBot="1">
      <c r="A8" s="312" t="s">
        <v>1</v>
      </c>
    </row>
    <row r="9" spans="1:9">
      <c r="A9" s="314" t="s">
        <v>469</v>
      </c>
      <c r="B9" s="315" t="s">
        <v>546</v>
      </c>
      <c r="C9" s="315" t="s">
        <v>547</v>
      </c>
      <c r="D9" s="316" t="s">
        <v>548</v>
      </c>
      <c r="E9" s="309"/>
    </row>
    <row r="10" spans="1:9">
      <c r="A10" s="317" t="s">
        <v>543</v>
      </c>
      <c r="B10" s="313">
        <v>11</v>
      </c>
      <c r="C10" s="313">
        <v>14</v>
      </c>
      <c r="D10" s="318">
        <v>6</v>
      </c>
      <c r="E10" s="309"/>
    </row>
    <row r="11" spans="1:9">
      <c r="A11" s="317" t="s">
        <v>544</v>
      </c>
      <c r="B11" s="313">
        <v>8</v>
      </c>
      <c r="C11" s="313">
        <v>10</v>
      </c>
      <c r="D11" s="318">
        <v>11</v>
      </c>
      <c r="E11" s="309"/>
    </row>
    <row r="12" spans="1:9" ht="16" thickBot="1">
      <c r="A12" s="319" t="s">
        <v>545</v>
      </c>
      <c r="B12" s="320">
        <v>9</v>
      </c>
      <c r="C12" s="320">
        <v>12</v>
      </c>
      <c r="D12" s="321">
        <v>7</v>
      </c>
      <c r="E12" s="309"/>
    </row>
    <row r="13" spans="1:9">
      <c r="A13" s="309"/>
      <c r="B13" s="309"/>
      <c r="C13" s="309"/>
      <c r="D13" s="309"/>
      <c r="E13" s="309"/>
    </row>
    <row r="14" spans="1:9" ht="16" thickBot="1">
      <c r="A14" s="322"/>
      <c r="B14" s="322"/>
      <c r="C14" s="322"/>
      <c r="D14" s="322"/>
      <c r="E14" s="322"/>
    </row>
    <row r="15" spans="1:9" ht="16" thickBot="1">
      <c r="A15" s="325" t="s">
        <v>549</v>
      </c>
      <c r="B15" s="343" t="str">
        <f>B9</f>
        <v>Machine 1</v>
      </c>
      <c r="C15" s="343" t="str">
        <f>C9</f>
        <v>Machine 2</v>
      </c>
      <c r="D15" s="343" t="str">
        <f>D9</f>
        <v>Machine 3</v>
      </c>
      <c r="E15" s="339" t="s">
        <v>485</v>
      </c>
      <c r="F15" s="333" t="s">
        <v>29</v>
      </c>
    </row>
    <row r="16" spans="1:9">
      <c r="A16" s="332" t="str">
        <f>A10</f>
        <v>Job 1</v>
      </c>
      <c r="B16" s="325">
        <v>0</v>
      </c>
      <c r="C16" s="326">
        <v>0</v>
      </c>
      <c r="D16" s="327">
        <v>1</v>
      </c>
      <c r="E16" s="342">
        <f>SUM(B16:D16)</f>
        <v>1</v>
      </c>
      <c r="F16" s="333"/>
    </row>
    <row r="17" spans="1:6">
      <c r="A17" s="332" t="str">
        <f>A11</f>
        <v>Job 2</v>
      </c>
      <c r="B17" s="324">
        <v>0</v>
      </c>
      <c r="C17" s="323">
        <v>1</v>
      </c>
      <c r="D17" s="328">
        <v>0</v>
      </c>
      <c r="E17" s="342">
        <f>SUM(B17:D17)</f>
        <v>1</v>
      </c>
      <c r="F17" s="333"/>
    </row>
    <row r="18" spans="1:6" ht="16" thickBot="1">
      <c r="A18" s="332" t="str">
        <f>A12</f>
        <v>Job 3</v>
      </c>
      <c r="B18" s="329">
        <v>1</v>
      </c>
      <c r="C18" s="330">
        <v>0</v>
      </c>
      <c r="D18" s="331">
        <v>0</v>
      </c>
      <c r="E18" s="342">
        <f>SUM(B18:D18)</f>
        <v>1</v>
      </c>
      <c r="F18" s="333"/>
    </row>
    <row r="19" spans="1:6" ht="16" thickBot="1">
      <c r="A19" s="337" t="s">
        <v>470</v>
      </c>
      <c r="B19" s="344">
        <f>SUM(B16:B18)</f>
        <v>1</v>
      </c>
      <c r="C19" s="344">
        <f>SUM(C16:C18)</f>
        <v>1</v>
      </c>
      <c r="D19" s="344">
        <f>SUM(D16:D18)</f>
        <v>1</v>
      </c>
      <c r="E19" s="341">
        <f>SUM(B19:D19)</f>
        <v>3</v>
      </c>
      <c r="F19" s="333"/>
    </row>
    <row r="20" spans="1:6" ht="16" thickBot="1">
      <c r="A20" s="309" t="s">
        <v>29</v>
      </c>
      <c r="B20" s="309"/>
      <c r="C20" s="309"/>
      <c r="D20" s="309"/>
      <c r="E20" s="309"/>
    </row>
    <row r="21" spans="1:6" ht="16" thickBot="1">
      <c r="A21" s="347" t="s">
        <v>468</v>
      </c>
      <c r="B21" s="348">
        <f>SUMPRODUCT(B10:D12,B16:D18)</f>
        <v>25</v>
      </c>
      <c r="C21" s="309"/>
      <c r="D21" s="309"/>
      <c r="E21" s="309"/>
    </row>
    <row r="22" spans="1:6" ht="16" thickBot="1">
      <c r="A22" s="349"/>
      <c r="B22" s="349"/>
      <c r="C22" s="322"/>
      <c r="D22" s="322"/>
    </row>
    <row r="23" spans="1:6" ht="16" thickBot="1">
      <c r="A23" s="346" t="s">
        <v>541</v>
      </c>
      <c r="B23" s="352" t="str">
        <f>B9</f>
        <v>Machine 1</v>
      </c>
      <c r="C23" s="352" t="str">
        <f>C9</f>
        <v>Machine 2</v>
      </c>
      <c r="D23" s="353" t="str">
        <f>D9</f>
        <v>Machine 3</v>
      </c>
      <c r="E23" s="333"/>
    </row>
    <row r="24" spans="1:6">
      <c r="A24" s="350" t="str">
        <f>A10</f>
        <v>Job 1</v>
      </c>
      <c r="B24" s="346">
        <f t="shared" ref="B24:D26" si="0">IF(B10="","",IF(B16=1,"Assign " &amp;B10,B10))</f>
        <v>11</v>
      </c>
      <c r="C24" s="336">
        <f t="shared" si="0"/>
        <v>14</v>
      </c>
      <c r="D24" s="339" t="str">
        <f t="shared" si="0"/>
        <v>Assign 6</v>
      </c>
      <c r="E24" s="333"/>
    </row>
    <row r="25" spans="1:6">
      <c r="A25" s="350" t="str">
        <f>A11</f>
        <v>Job 2</v>
      </c>
      <c r="B25" s="335">
        <f t="shared" si="0"/>
        <v>8</v>
      </c>
      <c r="C25" s="334" t="str">
        <f t="shared" si="0"/>
        <v>Assign 10</v>
      </c>
      <c r="D25" s="340">
        <f t="shared" si="0"/>
        <v>11</v>
      </c>
      <c r="E25" s="333"/>
    </row>
    <row r="26" spans="1:6" ht="16" thickBot="1">
      <c r="A26" s="351" t="str">
        <f>A12</f>
        <v>Job 3</v>
      </c>
      <c r="B26" s="337" t="str">
        <f t="shared" si="0"/>
        <v>Assign 9</v>
      </c>
      <c r="C26" s="338">
        <f t="shared" si="0"/>
        <v>12</v>
      </c>
      <c r="D26" s="341">
        <f t="shared" si="0"/>
        <v>7</v>
      </c>
      <c r="E26" s="333"/>
    </row>
    <row r="27" spans="1:6">
      <c r="A27" s="345"/>
      <c r="B27" s="345"/>
      <c r="C27" s="345"/>
      <c r="D27" s="345"/>
    </row>
  </sheetData>
  <conditionalFormatting sqref="B24:D26">
    <cfRule type="expression" dxfId="6" priority="1">
      <formula>ISTEXT(B24)</formula>
    </cfRule>
  </conditionalFormatting>
  <printOptions headings="1" gridLines="1" gridLinesSet="0"/>
  <pageMargins left="0.75" right="0.75" top="1" bottom="1" header="0.5" footer="0.5"/>
  <pageSetup orientation="portrait" horizontalDpi="4294967292" verticalDpi="300"/>
  <headerFooter alignWithMargins="0">
    <oddHeader>&amp;A</oddHeader>
    <oddFooter>Page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02403" r:id="rId3" name="solverButton">
              <controlPr defaultSize="0" print="0" autoFill="0" autoPict="0" macro="[2]!CallSolver">
                <anchor moveWithCells="1" sizeWithCells="1">
                  <from>
                    <xdr:col>0</xdr:col>
                    <xdr:colOff>63500</xdr:colOff>
                    <xdr:row>1</xdr:row>
                    <xdr:rowOff>0</xdr:rowOff>
                  </from>
                  <to>
                    <xdr:col>1</xdr:col>
                    <xdr:colOff>393700</xdr:colOff>
                    <xdr:row>2</xdr:row>
                    <xdr:rowOff>38100</xdr:rowOff>
                  </to>
                </anchor>
              </controlPr>
            </control>
          </mc:Choice>
          <mc:Fallback/>
        </mc:AlternateContent>
        <mc:AlternateContent xmlns:mc="http://schemas.openxmlformats.org/markup-compatibility/2006">
          <mc:Choice Requires="x14">
            <control shapeId="102404" r:id="rId4" name="solverHelpButton">
              <controlPr defaultSize="0" print="0" autoFill="0" autoPict="0" macro="[2]!SolverHelp">
                <anchor moveWithCells="1" sizeWithCells="1">
                  <from>
                    <xdr:col>1</xdr:col>
                    <xdr:colOff>457200</xdr:colOff>
                    <xdr:row>1</xdr:row>
                    <xdr:rowOff>0</xdr:rowOff>
                  </from>
                  <to>
                    <xdr:col>3</xdr:col>
                    <xdr:colOff>457200</xdr:colOff>
                    <xdr:row>2</xdr:row>
                    <xdr:rowOff>38100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showGridLines="0" topLeftCell="A4" workbookViewId="0"/>
  </sheetViews>
  <sheetFormatPr baseColWidth="10" defaultRowHeight="15" x14ac:dyDescent="0"/>
  <cols>
    <col min="1" max="1" width="2.33203125" customWidth="1"/>
    <col min="2" max="2" width="6.5" customWidth="1"/>
    <col min="3" max="3" width="21.1640625" customWidth="1"/>
    <col min="4" max="4" width="13" bestFit="1" customWidth="1"/>
    <col min="5" max="5" width="10.33203125" bestFit="1" customWidth="1"/>
    <col min="6" max="6" width="7.33203125" customWidth="1"/>
    <col min="7" max="7" width="5.5" customWidth="1"/>
  </cols>
  <sheetData>
    <row r="1" spans="1:5">
      <c r="A1" s="87" t="s">
        <v>551</v>
      </c>
    </row>
    <row r="2" spans="1:5">
      <c r="A2" s="87" t="s">
        <v>552</v>
      </c>
    </row>
    <row r="3" spans="1:5">
      <c r="A3" s="87" t="s">
        <v>553</v>
      </c>
    </row>
    <row r="4" spans="1:5">
      <c r="A4" s="87" t="s">
        <v>554</v>
      </c>
    </row>
    <row r="5" spans="1:5">
      <c r="A5" s="87" t="s">
        <v>555</v>
      </c>
    </row>
    <row r="6" spans="1:5">
      <c r="A6" s="87"/>
      <c r="B6" t="s">
        <v>556</v>
      </c>
    </row>
    <row r="7" spans="1:5">
      <c r="A7" s="87"/>
      <c r="B7" t="s">
        <v>557</v>
      </c>
    </row>
    <row r="8" spans="1:5">
      <c r="A8" s="87"/>
      <c r="B8" t="s">
        <v>558</v>
      </c>
    </row>
    <row r="9" spans="1:5">
      <c r="A9" s="87" t="s">
        <v>559</v>
      </c>
    </row>
    <row r="10" spans="1:5">
      <c r="B10" t="s">
        <v>560</v>
      </c>
    </row>
    <row r="11" spans="1:5">
      <c r="B11" t="s">
        <v>561</v>
      </c>
    </row>
    <row r="14" spans="1:5" ht="16" thickBot="1">
      <c r="A14" t="s">
        <v>562</v>
      </c>
    </row>
    <row r="15" spans="1:5" ht="16" thickBot="1">
      <c r="B15" s="357" t="s">
        <v>563</v>
      </c>
      <c r="C15" s="357" t="s">
        <v>564</v>
      </c>
      <c r="D15" s="357" t="s">
        <v>565</v>
      </c>
      <c r="E15" s="357" t="s">
        <v>566</v>
      </c>
    </row>
    <row r="16" spans="1:5" ht="16" thickBot="1">
      <c r="B16" s="356" t="s">
        <v>574</v>
      </c>
      <c r="C16" s="356" t="s">
        <v>575</v>
      </c>
      <c r="D16" s="359">
        <v>0</v>
      </c>
      <c r="E16" s="359">
        <v>25</v>
      </c>
    </row>
    <row r="19" spans="1:6" ht="16" thickBot="1">
      <c r="A19" t="s">
        <v>567</v>
      </c>
    </row>
    <row r="20" spans="1:6" ht="16" thickBot="1">
      <c r="B20" s="357" t="s">
        <v>563</v>
      </c>
      <c r="C20" s="357" t="s">
        <v>564</v>
      </c>
      <c r="D20" s="357" t="s">
        <v>565</v>
      </c>
      <c r="E20" s="357" t="s">
        <v>566</v>
      </c>
      <c r="F20" s="357" t="s">
        <v>568</v>
      </c>
    </row>
    <row r="21" spans="1:6">
      <c r="B21" s="358" t="s">
        <v>576</v>
      </c>
      <c r="C21" s="358" t="s">
        <v>577</v>
      </c>
      <c r="D21" s="360">
        <v>0</v>
      </c>
      <c r="E21" s="360">
        <v>0</v>
      </c>
      <c r="F21" s="358" t="s">
        <v>578</v>
      </c>
    </row>
    <row r="22" spans="1:6">
      <c r="B22" s="358" t="s">
        <v>579</v>
      </c>
      <c r="C22" s="358" t="s">
        <v>580</v>
      </c>
      <c r="D22" s="360">
        <v>0</v>
      </c>
      <c r="E22" s="360">
        <v>0</v>
      </c>
      <c r="F22" s="358" t="s">
        <v>578</v>
      </c>
    </row>
    <row r="23" spans="1:6">
      <c r="B23" s="358" t="s">
        <v>581</v>
      </c>
      <c r="C23" s="358" t="s">
        <v>582</v>
      </c>
      <c r="D23" s="360">
        <v>0</v>
      </c>
      <c r="E23" s="360">
        <v>1</v>
      </c>
      <c r="F23" s="358" t="s">
        <v>578</v>
      </c>
    </row>
    <row r="24" spans="1:6">
      <c r="B24" s="358" t="s">
        <v>583</v>
      </c>
      <c r="C24" s="358" t="s">
        <v>584</v>
      </c>
      <c r="D24" s="360">
        <v>0</v>
      </c>
      <c r="E24" s="360">
        <v>0</v>
      </c>
      <c r="F24" s="358" t="s">
        <v>578</v>
      </c>
    </row>
    <row r="25" spans="1:6">
      <c r="B25" s="358" t="s">
        <v>585</v>
      </c>
      <c r="C25" s="358" t="s">
        <v>586</v>
      </c>
      <c r="D25" s="360">
        <v>0</v>
      </c>
      <c r="E25" s="360">
        <v>1</v>
      </c>
      <c r="F25" s="358" t="s">
        <v>578</v>
      </c>
    </row>
    <row r="26" spans="1:6">
      <c r="B26" s="358" t="s">
        <v>587</v>
      </c>
      <c r="C26" s="358" t="s">
        <v>588</v>
      </c>
      <c r="D26" s="360">
        <v>0</v>
      </c>
      <c r="E26" s="360">
        <v>0</v>
      </c>
      <c r="F26" s="358" t="s">
        <v>578</v>
      </c>
    </row>
    <row r="27" spans="1:6">
      <c r="B27" s="358" t="s">
        <v>589</v>
      </c>
      <c r="C27" s="358" t="s">
        <v>590</v>
      </c>
      <c r="D27" s="360">
        <v>0</v>
      </c>
      <c r="E27" s="360">
        <v>1</v>
      </c>
      <c r="F27" s="358" t="s">
        <v>578</v>
      </c>
    </row>
    <row r="28" spans="1:6">
      <c r="B28" s="358" t="s">
        <v>591</v>
      </c>
      <c r="C28" s="358" t="s">
        <v>592</v>
      </c>
      <c r="D28" s="360">
        <v>0</v>
      </c>
      <c r="E28" s="360">
        <v>0</v>
      </c>
      <c r="F28" s="358" t="s">
        <v>578</v>
      </c>
    </row>
    <row r="29" spans="1:6" ht="16" thickBot="1">
      <c r="B29" s="356" t="s">
        <v>593</v>
      </c>
      <c r="C29" s="356" t="s">
        <v>594</v>
      </c>
      <c r="D29" s="361">
        <v>0</v>
      </c>
      <c r="E29" s="361">
        <v>0</v>
      </c>
      <c r="F29" s="356" t="s">
        <v>578</v>
      </c>
    </row>
    <row r="32" spans="1:6" ht="16" thickBot="1">
      <c r="A32" t="s">
        <v>569</v>
      </c>
    </row>
    <row r="33" spans="2:7" ht="16" thickBot="1">
      <c r="B33" s="357" t="s">
        <v>563</v>
      </c>
      <c r="C33" s="357" t="s">
        <v>564</v>
      </c>
      <c r="D33" s="357" t="s">
        <v>570</v>
      </c>
      <c r="E33" s="357" t="s">
        <v>571</v>
      </c>
      <c r="F33" s="357" t="s">
        <v>572</v>
      </c>
      <c r="G33" s="357" t="s">
        <v>573</v>
      </c>
    </row>
    <row r="34" spans="2:7">
      <c r="B34" s="358" t="s">
        <v>595</v>
      </c>
      <c r="C34" s="358" t="s">
        <v>596</v>
      </c>
      <c r="D34" s="362">
        <v>1</v>
      </c>
      <c r="E34" s="358" t="s">
        <v>597</v>
      </c>
      <c r="F34" s="358" t="s">
        <v>598</v>
      </c>
      <c r="G34" s="358">
        <v>0</v>
      </c>
    </row>
    <row r="35" spans="2:7">
      <c r="B35" s="358" t="s">
        <v>599</v>
      </c>
      <c r="C35" s="358" t="s">
        <v>600</v>
      </c>
      <c r="D35" s="362">
        <v>1</v>
      </c>
      <c r="E35" s="358" t="s">
        <v>601</v>
      </c>
      <c r="F35" s="358" t="s">
        <v>598</v>
      </c>
      <c r="G35" s="358">
        <v>0</v>
      </c>
    </row>
    <row r="36" spans="2:7">
      <c r="B36" s="358" t="s">
        <v>602</v>
      </c>
      <c r="C36" s="358" t="s">
        <v>603</v>
      </c>
      <c r="D36" s="362">
        <v>1</v>
      </c>
      <c r="E36" s="358" t="s">
        <v>604</v>
      </c>
      <c r="F36" s="358" t="s">
        <v>598</v>
      </c>
      <c r="G36" s="358">
        <v>0</v>
      </c>
    </row>
    <row r="37" spans="2:7">
      <c r="B37" s="358" t="s">
        <v>605</v>
      </c>
      <c r="C37" s="358" t="s">
        <v>606</v>
      </c>
      <c r="D37" s="362">
        <v>1</v>
      </c>
      <c r="E37" s="358" t="s">
        <v>607</v>
      </c>
      <c r="F37" s="358" t="s">
        <v>598</v>
      </c>
      <c r="G37" s="358">
        <v>0</v>
      </c>
    </row>
    <row r="38" spans="2:7">
      <c r="B38" s="358" t="s">
        <v>608</v>
      </c>
      <c r="C38" s="358" t="s">
        <v>609</v>
      </c>
      <c r="D38" s="362">
        <v>1</v>
      </c>
      <c r="E38" s="358" t="s">
        <v>610</v>
      </c>
      <c r="F38" s="358" t="s">
        <v>598</v>
      </c>
      <c r="G38" s="358">
        <v>0</v>
      </c>
    </row>
    <row r="39" spans="2:7" ht="16" thickBot="1">
      <c r="B39" s="356" t="s">
        <v>611</v>
      </c>
      <c r="C39" s="356" t="s">
        <v>612</v>
      </c>
      <c r="D39" s="359">
        <v>1</v>
      </c>
      <c r="E39" s="356" t="s">
        <v>613</v>
      </c>
      <c r="F39" s="356" t="s">
        <v>598</v>
      </c>
      <c r="G39" s="356">
        <v>0</v>
      </c>
    </row>
  </sheetData>
  <pageMargins left="0.75" right="0.75" top="1" bottom="1" header="0.5" footer="0.5"/>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workbookViewId="0">
      <selection sqref="A1:A3"/>
    </sheetView>
  </sheetViews>
  <sheetFormatPr baseColWidth="10" defaultRowHeight="15" x14ac:dyDescent="0"/>
  <cols>
    <col min="1" max="1" width="2.33203125" customWidth="1"/>
    <col min="2" max="2" width="6.5" bestFit="1" customWidth="1"/>
    <col min="3" max="3" width="21.1640625" bestFit="1" customWidth="1"/>
    <col min="4" max="4" width="6" customWidth="1"/>
    <col min="5" max="5" width="8.5" bestFit="1" customWidth="1"/>
    <col min="6" max="6" width="10.1640625" bestFit="1" customWidth="1"/>
    <col min="7" max="8" width="9.5" customWidth="1"/>
  </cols>
  <sheetData>
    <row r="1" spans="1:8">
      <c r="A1" s="87" t="s">
        <v>614</v>
      </c>
    </row>
    <row r="2" spans="1:8">
      <c r="A2" s="87" t="s">
        <v>552</v>
      </c>
    </row>
    <row r="3" spans="1:8">
      <c r="A3" s="87" t="s">
        <v>553</v>
      </c>
    </row>
    <row r="6" spans="1:8" ht="16" thickBot="1">
      <c r="A6" t="s">
        <v>567</v>
      </c>
    </row>
    <row r="7" spans="1:8">
      <c r="B7" s="363"/>
      <c r="C7" s="363"/>
      <c r="D7" s="363" t="s">
        <v>615</v>
      </c>
      <c r="E7" s="363" t="s">
        <v>617</v>
      </c>
      <c r="F7" s="363" t="s">
        <v>619</v>
      </c>
      <c r="G7" s="363" t="s">
        <v>621</v>
      </c>
      <c r="H7" s="363" t="s">
        <v>621</v>
      </c>
    </row>
    <row r="8" spans="1:8" ht="16" thickBot="1">
      <c r="B8" s="364" t="s">
        <v>563</v>
      </c>
      <c r="C8" s="364" t="s">
        <v>564</v>
      </c>
      <c r="D8" s="364" t="s">
        <v>616</v>
      </c>
      <c r="E8" s="364" t="s">
        <v>618</v>
      </c>
      <c r="F8" s="364" t="s">
        <v>620</v>
      </c>
      <c r="G8" s="364" t="s">
        <v>622</v>
      </c>
      <c r="H8" s="364" t="s">
        <v>623</v>
      </c>
    </row>
    <row r="9" spans="1:8">
      <c r="B9" s="358" t="s">
        <v>576</v>
      </c>
      <c r="C9" s="358" t="s">
        <v>577</v>
      </c>
      <c r="D9" s="358">
        <v>0</v>
      </c>
      <c r="E9" s="358">
        <v>0</v>
      </c>
      <c r="F9" s="358">
        <v>11</v>
      </c>
      <c r="G9" s="358">
        <v>0</v>
      </c>
      <c r="H9" s="358">
        <v>3</v>
      </c>
    </row>
    <row r="10" spans="1:8">
      <c r="B10" s="358" t="s">
        <v>579</v>
      </c>
      <c r="C10" s="358" t="s">
        <v>580</v>
      </c>
      <c r="D10" s="358">
        <v>0</v>
      </c>
      <c r="E10" s="358">
        <v>0</v>
      </c>
      <c r="F10" s="358">
        <v>14</v>
      </c>
      <c r="G10" s="358">
        <v>1E+30</v>
      </c>
      <c r="H10" s="358">
        <v>0</v>
      </c>
    </row>
    <row r="11" spans="1:8">
      <c r="B11" s="358" t="s">
        <v>581</v>
      </c>
      <c r="C11" s="358" t="s">
        <v>582</v>
      </c>
      <c r="D11" s="358">
        <v>1</v>
      </c>
      <c r="E11" s="358">
        <v>0</v>
      </c>
      <c r="F11" s="358">
        <v>6</v>
      </c>
      <c r="G11" s="358">
        <v>3</v>
      </c>
      <c r="H11" s="358">
        <v>1E+30</v>
      </c>
    </row>
    <row r="12" spans="1:8">
      <c r="B12" s="358" t="s">
        <v>583</v>
      </c>
      <c r="C12" s="358" t="s">
        <v>584</v>
      </c>
      <c r="D12" s="358">
        <v>0</v>
      </c>
      <c r="E12" s="358">
        <v>1</v>
      </c>
      <c r="F12" s="358">
        <v>8</v>
      </c>
      <c r="G12" s="358">
        <v>1E+30</v>
      </c>
      <c r="H12" s="358">
        <v>1</v>
      </c>
    </row>
    <row r="13" spans="1:8">
      <c r="B13" s="358" t="s">
        <v>585</v>
      </c>
      <c r="C13" s="358" t="s">
        <v>586</v>
      </c>
      <c r="D13" s="358">
        <v>1</v>
      </c>
      <c r="E13" s="358">
        <v>0</v>
      </c>
      <c r="F13" s="358">
        <v>10</v>
      </c>
      <c r="G13" s="358">
        <v>1</v>
      </c>
      <c r="H13" s="358">
        <v>1E+30</v>
      </c>
    </row>
    <row r="14" spans="1:8">
      <c r="B14" s="358" t="s">
        <v>587</v>
      </c>
      <c r="C14" s="358" t="s">
        <v>588</v>
      </c>
      <c r="D14" s="358">
        <v>0</v>
      </c>
      <c r="E14" s="358">
        <v>9</v>
      </c>
      <c r="F14" s="358">
        <v>11</v>
      </c>
      <c r="G14" s="358">
        <v>1E+30</v>
      </c>
      <c r="H14" s="358">
        <v>9</v>
      </c>
    </row>
    <row r="15" spans="1:8">
      <c r="B15" s="358" t="s">
        <v>589</v>
      </c>
      <c r="C15" s="358" t="s">
        <v>590</v>
      </c>
      <c r="D15" s="358">
        <v>1</v>
      </c>
      <c r="E15" s="358">
        <v>0</v>
      </c>
      <c r="F15" s="358">
        <v>9</v>
      </c>
      <c r="G15" s="358">
        <v>1</v>
      </c>
      <c r="H15" s="358">
        <v>0</v>
      </c>
    </row>
    <row r="16" spans="1:8">
      <c r="B16" s="358" t="s">
        <v>591</v>
      </c>
      <c r="C16" s="358" t="s">
        <v>592</v>
      </c>
      <c r="D16" s="358">
        <v>0</v>
      </c>
      <c r="E16" s="358">
        <v>0</v>
      </c>
      <c r="F16" s="358">
        <v>12</v>
      </c>
      <c r="G16" s="358">
        <v>0</v>
      </c>
      <c r="H16" s="358">
        <v>1</v>
      </c>
    </row>
    <row r="17" spans="1:8" ht="16" thickBot="1">
      <c r="B17" s="356" t="s">
        <v>593</v>
      </c>
      <c r="C17" s="356" t="s">
        <v>594</v>
      </c>
      <c r="D17" s="356">
        <v>0</v>
      </c>
      <c r="E17" s="356">
        <v>3</v>
      </c>
      <c r="F17" s="356">
        <v>7</v>
      </c>
      <c r="G17" s="356">
        <v>1E+30</v>
      </c>
      <c r="H17" s="356">
        <v>3</v>
      </c>
    </row>
    <row r="19" spans="1:8" ht="16" thickBot="1">
      <c r="A19" t="s">
        <v>569</v>
      </c>
    </row>
    <row r="20" spans="1:8">
      <c r="B20" s="363"/>
      <c r="C20" s="363"/>
      <c r="D20" s="363" t="s">
        <v>615</v>
      </c>
      <c r="E20" s="363" t="s">
        <v>624</v>
      </c>
      <c r="F20" s="363" t="s">
        <v>626</v>
      </c>
      <c r="G20" s="363" t="s">
        <v>621</v>
      </c>
      <c r="H20" s="363" t="s">
        <v>621</v>
      </c>
    </row>
    <row r="21" spans="1:8" ht="16" thickBot="1">
      <c r="B21" s="364" t="s">
        <v>563</v>
      </c>
      <c r="C21" s="364" t="s">
        <v>564</v>
      </c>
      <c r="D21" s="364" t="s">
        <v>616</v>
      </c>
      <c r="E21" s="364" t="s">
        <v>625</v>
      </c>
      <c r="F21" s="364" t="s">
        <v>627</v>
      </c>
      <c r="G21" s="364" t="s">
        <v>622</v>
      </c>
      <c r="H21" s="364" t="s">
        <v>623</v>
      </c>
    </row>
    <row r="22" spans="1:8">
      <c r="B22" s="358" t="s">
        <v>595</v>
      </c>
      <c r="C22" s="358" t="s">
        <v>596</v>
      </c>
      <c r="D22" s="358">
        <v>1</v>
      </c>
      <c r="E22" s="358">
        <v>6</v>
      </c>
      <c r="F22" s="358">
        <v>1</v>
      </c>
      <c r="G22" s="358">
        <v>0</v>
      </c>
      <c r="H22" s="358">
        <v>1</v>
      </c>
    </row>
    <row r="23" spans="1:8">
      <c r="B23" s="358" t="s">
        <v>599</v>
      </c>
      <c r="C23" s="358" t="s">
        <v>600</v>
      </c>
      <c r="D23" s="358">
        <v>1</v>
      </c>
      <c r="E23" s="358">
        <v>2</v>
      </c>
      <c r="F23" s="358">
        <v>1</v>
      </c>
      <c r="G23" s="358">
        <v>0</v>
      </c>
      <c r="H23" s="358">
        <v>1</v>
      </c>
    </row>
    <row r="24" spans="1:8">
      <c r="B24" s="358" t="s">
        <v>602</v>
      </c>
      <c r="C24" s="358" t="s">
        <v>603</v>
      </c>
      <c r="D24" s="358">
        <v>1</v>
      </c>
      <c r="E24" s="358">
        <v>4</v>
      </c>
      <c r="F24" s="358">
        <v>1</v>
      </c>
      <c r="G24" s="358">
        <v>0</v>
      </c>
      <c r="H24" s="358">
        <v>1</v>
      </c>
    </row>
    <row r="25" spans="1:8">
      <c r="B25" s="358" t="s">
        <v>605</v>
      </c>
      <c r="C25" s="358" t="s">
        <v>606</v>
      </c>
      <c r="D25" s="358">
        <v>1</v>
      </c>
      <c r="E25" s="358">
        <v>5</v>
      </c>
      <c r="F25" s="358">
        <v>1</v>
      </c>
      <c r="G25" s="358">
        <v>1</v>
      </c>
      <c r="H25" s="358">
        <v>0</v>
      </c>
    </row>
    <row r="26" spans="1:8">
      <c r="B26" s="358" t="s">
        <v>608</v>
      </c>
      <c r="C26" s="358" t="s">
        <v>609</v>
      </c>
      <c r="D26" s="358">
        <v>1</v>
      </c>
      <c r="E26" s="358">
        <v>8</v>
      </c>
      <c r="F26" s="358">
        <v>1</v>
      </c>
      <c r="G26" s="358">
        <v>1</v>
      </c>
      <c r="H26" s="358">
        <v>0</v>
      </c>
    </row>
    <row r="27" spans="1:8" ht="16" thickBot="1">
      <c r="B27" s="356" t="s">
        <v>611</v>
      </c>
      <c r="C27" s="356" t="s">
        <v>612</v>
      </c>
      <c r="D27" s="356">
        <v>1</v>
      </c>
      <c r="E27" s="356">
        <v>0</v>
      </c>
      <c r="F27" s="356">
        <v>1</v>
      </c>
      <c r="G27" s="356">
        <v>0</v>
      </c>
      <c r="H27" s="356">
        <v>1E+30</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9"/>
  <sheetViews>
    <sheetView workbookViewId="0">
      <selection activeCell="B25" sqref="B25"/>
    </sheetView>
  </sheetViews>
  <sheetFormatPr baseColWidth="10" defaultRowHeight="15" x14ac:dyDescent="0"/>
  <cols>
    <col min="1" max="1" width="20.6640625" style="2" bestFit="1" customWidth="1"/>
    <col min="2" max="16384" width="10.83203125" style="2"/>
  </cols>
  <sheetData>
    <row r="1" spans="1:11" ht="18">
      <c r="A1" s="39" t="s">
        <v>546</v>
      </c>
    </row>
    <row r="3" spans="1:11" ht="18">
      <c r="A3" s="3" t="s">
        <v>628</v>
      </c>
      <c r="B3" s="3"/>
      <c r="C3" s="3"/>
      <c r="D3" s="3" t="s">
        <v>629</v>
      </c>
      <c r="E3" s="3"/>
      <c r="F3" s="3"/>
      <c r="G3" s="3"/>
      <c r="H3" s="3"/>
    </row>
    <row r="4" spans="1:11">
      <c r="A4" s="1"/>
      <c r="B4" s="1"/>
    </row>
    <row r="6" spans="1:11">
      <c r="A6" s="2" t="s">
        <v>630</v>
      </c>
      <c r="B6" s="7">
        <v>1</v>
      </c>
      <c r="C6" s="293" t="str">
        <f>IF(B6=0,"Start day should be at least 1","")</f>
        <v/>
      </c>
    </row>
    <row r="7" spans="1:11" ht="16" thickBot="1">
      <c r="A7" s="5" t="s">
        <v>1</v>
      </c>
      <c r="F7" s="23" t="s">
        <v>82</v>
      </c>
    </row>
    <row r="8" spans="1:11">
      <c r="A8" s="8"/>
      <c r="B8" s="24" t="s">
        <v>631</v>
      </c>
      <c r="C8" s="24" t="s">
        <v>632</v>
      </c>
      <c r="D8" s="9" t="s">
        <v>633</v>
      </c>
      <c r="E8" s="2" t="s">
        <v>651</v>
      </c>
      <c r="F8" s="19" t="s">
        <v>573</v>
      </c>
      <c r="G8" s="20" t="s">
        <v>634</v>
      </c>
      <c r="H8" s="20" t="s">
        <v>635</v>
      </c>
      <c r="I8" s="20" t="s">
        <v>636</v>
      </c>
      <c r="J8" s="82" t="s">
        <v>637</v>
      </c>
    </row>
    <row r="9" spans="1:11">
      <c r="A9" s="10" t="s">
        <v>253</v>
      </c>
      <c r="B9" s="7">
        <f>$B$6</f>
        <v>1</v>
      </c>
      <c r="C9" s="7">
        <v>6</v>
      </c>
      <c r="D9" s="11">
        <v>8</v>
      </c>
      <c r="E9" s="2">
        <v>2</v>
      </c>
      <c r="F9" s="18">
        <f>IF(D9&gt;0,D9-($B$6+C9),"")</f>
        <v>1</v>
      </c>
      <c r="G9" s="17">
        <f>IF(C9*D9&gt;0,(D9-$B$6)/C9,"")</f>
        <v>1.1666666666666667</v>
      </c>
      <c r="H9" s="17">
        <f>I9-$B$6+1</f>
        <v>6</v>
      </c>
      <c r="I9" s="17">
        <f>$B$6+SUM(C8:C9)-1</f>
        <v>6</v>
      </c>
      <c r="J9" s="45">
        <f>IF(AND(D9&gt;0,I9-D9&gt;=0),I9-D9,0)</f>
        <v>0</v>
      </c>
    </row>
    <row r="10" spans="1:11">
      <c r="A10" s="10" t="s">
        <v>255</v>
      </c>
      <c r="B10" s="7">
        <f>$B$6</f>
        <v>1</v>
      </c>
      <c r="C10" s="7">
        <v>8</v>
      </c>
      <c r="D10" s="11">
        <v>18</v>
      </c>
      <c r="E10" s="2">
        <v>5</v>
      </c>
      <c r="F10" s="18">
        <f>IF(D10&gt;0,D10-($B$6+C10),"")</f>
        <v>9</v>
      </c>
      <c r="G10" s="17">
        <f>IF(C10*D10&gt;0,(D10-$B$6)/C10,"")</f>
        <v>2.125</v>
      </c>
      <c r="H10" s="17">
        <f>I10-$B$6+1</f>
        <v>14</v>
      </c>
      <c r="I10" s="17">
        <f>$B$6+SUM(C8:C10)-1</f>
        <v>14</v>
      </c>
      <c r="J10" s="45">
        <f>IF(AND(D10&gt;0,I10-D10&gt;=0),I10-D10,0)</f>
        <v>0</v>
      </c>
    </row>
    <row r="11" spans="1:11">
      <c r="A11" s="10" t="s">
        <v>257</v>
      </c>
      <c r="B11" s="7">
        <f>$B$6</f>
        <v>1</v>
      </c>
      <c r="C11" s="7">
        <v>9</v>
      </c>
      <c r="D11" s="11">
        <v>23</v>
      </c>
      <c r="E11" s="2">
        <v>4</v>
      </c>
      <c r="F11" s="18">
        <f>IF(D11&gt;0,D11-($B$6+C11),"")</f>
        <v>13</v>
      </c>
      <c r="G11" s="17">
        <f>IF(C11*D11&gt;0,(D11-$B$6)/C11,"")</f>
        <v>2.4444444444444446</v>
      </c>
      <c r="H11" s="17">
        <f>I11-$B$6+1</f>
        <v>23</v>
      </c>
      <c r="I11" s="17">
        <f>$B$6+SUM(C8:C11)-1</f>
        <v>23</v>
      </c>
      <c r="J11" s="45">
        <f>IF(AND(D11&gt;0,I11-D11&gt;=0),I11-D11,0)</f>
        <v>0</v>
      </c>
    </row>
    <row r="12" spans="1:11">
      <c r="A12" s="10" t="s">
        <v>254</v>
      </c>
      <c r="B12" s="7">
        <f>$B$6</f>
        <v>1</v>
      </c>
      <c r="C12" s="7">
        <v>2</v>
      </c>
      <c r="D12" s="11">
        <v>6</v>
      </c>
      <c r="E12" s="2">
        <v>1</v>
      </c>
      <c r="F12" s="18">
        <f>IF(D12&gt;0,D12-($B$6+C12),"")</f>
        <v>3</v>
      </c>
      <c r="G12" s="17">
        <f>IF(C12*D12&gt;0,(D12-$B$6)/C12,"")</f>
        <v>2.5</v>
      </c>
      <c r="H12" s="17">
        <f>I12-$B$6+1</f>
        <v>25</v>
      </c>
      <c r="I12" s="17">
        <f>$B$6+SUM(C8:C12)-1</f>
        <v>25</v>
      </c>
      <c r="J12" s="45">
        <f>IF(AND(D12&gt;0,I12-D12&gt;=0),I12-D12,0)</f>
        <v>19</v>
      </c>
    </row>
    <row r="13" spans="1:11" ht="16" thickBot="1">
      <c r="A13" s="12" t="s">
        <v>256</v>
      </c>
      <c r="B13" s="40">
        <f>$B$6</f>
        <v>1</v>
      </c>
      <c r="C13" s="40">
        <v>3</v>
      </c>
      <c r="D13" s="13">
        <v>15</v>
      </c>
      <c r="E13" s="2">
        <v>3</v>
      </c>
      <c r="F13" s="226">
        <f>IF(D13&gt;0,D13-($B$6+C13),"")</f>
        <v>11</v>
      </c>
      <c r="G13" s="98">
        <f>IF(C13*D13&gt;0,(D13-$B$6)/C13,"")</f>
        <v>4.666666666666667</v>
      </c>
      <c r="H13" s="98">
        <f>I13-$B$6+1</f>
        <v>28</v>
      </c>
      <c r="I13" s="98">
        <f>$B$6+SUM(C8:C13)-1</f>
        <v>28</v>
      </c>
      <c r="J13" s="99">
        <f>IF(AND(D13&gt;0,I13-D13&gt;=0),I13-D13,0)</f>
        <v>13</v>
      </c>
    </row>
    <row r="14" spans="1:11" ht="16" thickBot="1">
      <c r="A14" s="23"/>
      <c r="H14" s="2">
        <f>SUM(H9:H13)</f>
        <v>96</v>
      </c>
      <c r="I14" s="2">
        <f>SUM(I9:I13)</f>
        <v>96</v>
      </c>
      <c r="J14" s="2">
        <f>SUM(J9:J13)</f>
        <v>32</v>
      </c>
    </row>
    <row r="15" spans="1:11" ht="16" thickBot="1">
      <c r="A15" s="2" t="s">
        <v>18</v>
      </c>
      <c r="C15" s="2">
        <f>SUM(C9:C13)</f>
        <v>28</v>
      </c>
      <c r="G15" s="21" t="s">
        <v>19</v>
      </c>
      <c r="H15" s="62">
        <f>AVERAGE(H9:H13)</f>
        <v>19.2</v>
      </c>
      <c r="I15" s="62">
        <f>AVERAGE(I9:I13)</f>
        <v>19.2</v>
      </c>
      <c r="J15" s="22">
        <f>AVERAGE(J9:J13)</f>
        <v>6.4</v>
      </c>
    </row>
    <row r="16" spans="1:11">
      <c r="G16" s="115" t="s">
        <v>638</v>
      </c>
      <c r="H16" s="2">
        <f>(I14-COUNT(H9:H13)*(B6-1))</f>
        <v>96</v>
      </c>
      <c r="J16" s="2">
        <f>COUNTIF(J9:J13,"&gt;0")</f>
        <v>2</v>
      </c>
      <c r="K16" s="2" t="s">
        <v>639</v>
      </c>
    </row>
    <row r="17" spans="1:6" ht="16" thickBot="1"/>
    <row r="18" spans="1:6">
      <c r="A18" s="29"/>
      <c r="B18" s="30"/>
      <c r="C18" s="30"/>
      <c r="D18" s="30"/>
      <c r="E18" s="367" t="s">
        <v>640</v>
      </c>
      <c r="F18" s="68">
        <f>H16/C15</f>
        <v>3.4285714285714284</v>
      </c>
    </row>
    <row r="19" spans="1:6" ht="16" thickBot="1">
      <c r="A19" s="31"/>
      <c r="B19" s="32"/>
      <c r="C19" s="32"/>
      <c r="D19" s="32"/>
      <c r="E19" s="44" t="s">
        <v>641</v>
      </c>
      <c r="F19" s="36">
        <f>C15/H16</f>
        <v>0.29166666666666669</v>
      </c>
    </row>
    <row r="23" spans="1:6" s="368" customFormat="1" ht="60">
      <c r="A23" s="368" t="s">
        <v>537</v>
      </c>
      <c r="B23" s="368" t="s">
        <v>642</v>
      </c>
      <c r="C23" s="368" t="s">
        <v>643</v>
      </c>
      <c r="D23" s="368" t="s">
        <v>644</v>
      </c>
      <c r="E23" s="368" t="s">
        <v>645</v>
      </c>
      <c r="F23" s="368" t="s">
        <v>646</v>
      </c>
    </row>
    <row r="24" spans="1:6">
      <c r="A24" s="2" t="s">
        <v>647</v>
      </c>
      <c r="B24" s="2">
        <v>15.4</v>
      </c>
      <c r="C24" s="2">
        <v>2.75</v>
      </c>
      <c r="D24" s="2">
        <v>0.36363636363636365</v>
      </c>
      <c r="E24" s="2">
        <v>3</v>
      </c>
      <c r="F24" s="2">
        <v>2.2000000000000002</v>
      </c>
    </row>
    <row r="25" spans="1:6">
      <c r="A25" s="2" t="s">
        <v>648</v>
      </c>
      <c r="B25" s="2">
        <v>13</v>
      </c>
      <c r="C25" s="2">
        <v>2.3214285714285716</v>
      </c>
      <c r="D25" s="2">
        <v>0.43076923076923079</v>
      </c>
      <c r="E25" s="2">
        <v>3</v>
      </c>
      <c r="F25" s="2">
        <v>1.8</v>
      </c>
    </row>
    <row r="26" spans="1:6">
      <c r="A26" s="2" t="s">
        <v>649</v>
      </c>
      <c r="B26" s="2">
        <v>20.6</v>
      </c>
      <c r="C26" s="2">
        <v>3.6785714285714284</v>
      </c>
      <c r="D26" s="2">
        <v>0.27184466019417475</v>
      </c>
      <c r="E26" s="2">
        <v>3</v>
      </c>
      <c r="F26" s="2">
        <v>9.6</v>
      </c>
    </row>
    <row r="27" spans="1:6">
      <c r="A27" s="2" t="s">
        <v>633</v>
      </c>
      <c r="B27" s="2">
        <v>13.6</v>
      </c>
      <c r="C27" s="2">
        <v>2.4285714285714284</v>
      </c>
      <c r="D27" s="2">
        <v>0.41176470588235292</v>
      </c>
      <c r="E27" s="2">
        <v>2</v>
      </c>
      <c r="F27" s="2">
        <v>1.2</v>
      </c>
    </row>
    <row r="28" spans="1:6">
      <c r="A28" s="2" t="s">
        <v>573</v>
      </c>
      <c r="B28" s="2">
        <v>15.4</v>
      </c>
      <c r="C28" s="2">
        <v>2.75</v>
      </c>
      <c r="D28" s="2">
        <v>0.36363636363636365</v>
      </c>
      <c r="E28" s="2">
        <v>3</v>
      </c>
      <c r="F28" s="2">
        <v>2.2000000000000002</v>
      </c>
    </row>
    <row r="29" spans="1:6">
      <c r="A29" s="2" t="s">
        <v>650</v>
      </c>
      <c r="B29" s="2">
        <v>19.2</v>
      </c>
      <c r="C29" s="2">
        <v>3.4285714285714284</v>
      </c>
      <c r="D29" s="2">
        <v>0.29166666666666669</v>
      </c>
      <c r="E29" s="2">
        <v>2</v>
      </c>
      <c r="F29" s="2">
        <v>6.4</v>
      </c>
    </row>
  </sheetData>
  <autoFilter ref="A8:G13"/>
  <sortState ref="A9:G13">
    <sortCondition ref="B6" customList="Sun,Mon,Tue,Wed,Thu,Fri,Sat"/>
  </sortState>
  <conditionalFormatting sqref="J9">
    <cfRule type="cellIs" dxfId="5" priority="1" stopIfTrue="1" operator="greaterThan">
      <formula>0</formula>
    </cfRule>
  </conditionalFormatting>
  <conditionalFormatting sqref="J10">
    <cfRule type="cellIs" dxfId="4" priority="2" stopIfTrue="1" operator="greaterThan">
      <formula>0</formula>
    </cfRule>
  </conditionalFormatting>
  <conditionalFormatting sqref="J11">
    <cfRule type="cellIs" dxfId="3" priority="3" stopIfTrue="1" operator="greaterThan">
      <formula>0</formula>
    </cfRule>
  </conditionalFormatting>
  <conditionalFormatting sqref="J12">
    <cfRule type="cellIs" dxfId="2" priority="4" stopIfTrue="1" operator="greaterThan">
      <formula>0</formula>
    </cfRule>
  </conditionalFormatting>
  <conditionalFormatting sqref="J13">
    <cfRule type="cellIs" dxfId="1" priority="5" stopIfTrue="1" operator="greaterThan">
      <formula>0</formula>
    </cfRule>
  </conditionalFormatting>
  <pageMargins left="0.75" right="0.75" top="1" bottom="1" header="0.5" footer="0.5"/>
  <pageSetup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05474" r:id="rId3" name="Button 2">
              <controlPr defaultSize="0" print="0" autoFill="0" autoPict="0" macro="[2]!Moore">
                <anchor moveWithCells="1" sizeWithCells="1">
                  <from>
                    <xdr:col>0</xdr:col>
                    <xdr:colOff>0</xdr:colOff>
                    <xdr:row>3</xdr:row>
                    <xdr:rowOff>0</xdr:rowOff>
                  </from>
                  <to>
                    <xdr:col>0</xdr:col>
                    <xdr:colOff>762000</xdr:colOff>
                    <xdr:row>4</xdr:row>
                    <xdr:rowOff>165100</xdr:rowOff>
                  </to>
                </anchor>
              </controlPr>
            </control>
          </mc:Choice>
          <mc:Fallback/>
        </mc:AlternateContent>
        <mc:AlternateContent xmlns:mc="http://schemas.openxmlformats.org/markup-compatibility/2006">
          <mc:Choice Requires="x14">
            <control shapeId="105475" r:id="rId4" name="Button 3">
              <controlPr defaultSize="0" print="0" autoFill="0" autoPict="0" macro="[2]!summaryTable">
                <anchor moveWithCells="1" sizeWithCells="1">
                  <from>
                    <xdr:col>1</xdr:col>
                    <xdr:colOff>444500</xdr:colOff>
                    <xdr:row>3</xdr:row>
                    <xdr:rowOff>0</xdr:rowOff>
                  </from>
                  <to>
                    <xdr:col>2</xdr:col>
                    <xdr:colOff>381000</xdr:colOff>
                    <xdr:row>4</xdr:row>
                    <xdr:rowOff>165100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8"/>
  <sheetViews>
    <sheetView workbookViewId="0">
      <selection activeCell="J30" sqref="J30"/>
    </sheetView>
  </sheetViews>
  <sheetFormatPr baseColWidth="10" defaultRowHeight="15" x14ac:dyDescent="0"/>
  <cols>
    <col min="1" max="1" width="20.6640625" style="2" bestFit="1" customWidth="1"/>
    <col min="2" max="2" width="15.33203125" style="2" bestFit="1" customWidth="1"/>
    <col min="3" max="16384" width="10.83203125" style="2"/>
  </cols>
  <sheetData>
    <row r="1" spans="1:8" ht="18">
      <c r="A1" s="39" t="s">
        <v>660</v>
      </c>
    </row>
    <row r="3" spans="1:8" ht="18">
      <c r="A3" s="3" t="s">
        <v>628</v>
      </c>
      <c r="B3" s="3"/>
      <c r="C3" s="3"/>
      <c r="D3" s="3" t="s">
        <v>652</v>
      </c>
      <c r="E3" s="3"/>
      <c r="F3" s="3"/>
      <c r="G3" s="3"/>
      <c r="H3" s="3"/>
    </row>
    <row r="4" spans="1:8">
      <c r="A4" s="1"/>
      <c r="B4" s="1"/>
    </row>
    <row r="7" spans="1:8" ht="16" thickBot="1">
      <c r="A7" s="5" t="s">
        <v>1</v>
      </c>
    </row>
    <row r="8" spans="1:8">
      <c r="A8" s="8"/>
      <c r="B8" s="24" t="s">
        <v>546</v>
      </c>
      <c r="C8" s="9" t="s">
        <v>547</v>
      </c>
    </row>
    <row r="9" spans="1:8">
      <c r="A9" s="10" t="s">
        <v>253</v>
      </c>
      <c r="B9" s="7">
        <v>5</v>
      </c>
      <c r="C9" s="11">
        <v>2</v>
      </c>
    </row>
    <row r="10" spans="1:8">
      <c r="A10" s="10" t="s">
        <v>254</v>
      </c>
      <c r="B10" s="7">
        <v>3</v>
      </c>
      <c r="C10" s="11">
        <v>6</v>
      </c>
    </row>
    <row r="11" spans="1:8">
      <c r="A11" s="10" t="s">
        <v>255</v>
      </c>
      <c r="B11" s="7">
        <v>8</v>
      </c>
      <c r="C11" s="11">
        <v>4</v>
      </c>
    </row>
    <row r="12" spans="1:8">
      <c r="A12" s="10" t="s">
        <v>256</v>
      </c>
      <c r="B12" s="7">
        <v>10</v>
      </c>
      <c r="C12" s="11">
        <v>7</v>
      </c>
    </row>
    <row r="13" spans="1:8" ht="16" thickBot="1">
      <c r="A13" s="12" t="s">
        <v>257</v>
      </c>
      <c r="B13" s="40">
        <v>7</v>
      </c>
      <c r="C13" s="13">
        <v>12</v>
      </c>
    </row>
    <row r="14" spans="1:8">
      <c r="A14" s="23" t="s">
        <v>18</v>
      </c>
      <c r="B14" s="2">
        <f>SUM(B9:B13)</f>
        <v>33</v>
      </c>
      <c r="C14" s="2">
        <f>SUM(C9:C13)</f>
        <v>31</v>
      </c>
    </row>
    <row r="16" spans="1:8" ht="16" thickBot="1">
      <c r="A16" s="23" t="s">
        <v>82</v>
      </c>
    </row>
    <row r="17" spans="1:9" ht="30">
      <c r="A17" s="251" t="s">
        <v>653</v>
      </c>
      <c r="B17" s="55" t="str">
        <f>B8 &amp; " time"</f>
        <v>Machine 1 time</v>
      </c>
      <c r="C17" s="55" t="str">
        <f>B8 &amp; " end time"</f>
        <v>Machine 1 end time</v>
      </c>
      <c r="D17" s="55" t="str">
        <f>C8 &amp; " time"</f>
        <v>Machine 2 time</v>
      </c>
      <c r="E17" s="55" t="str">
        <f>C8 &amp; " end time"</f>
        <v>Machine 2 end time</v>
      </c>
      <c r="F17" s="369" t="str">
        <f>C8 &amp; " idle time"</f>
        <v>Machine 2 idle time</v>
      </c>
      <c r="G17" s="2" t="s">
        <v>654</v>
      </c>
    </row>
    <row r="18" spans="1:9">
      <c r="A18" s="18" t="str">
        <f>I30</f>
        <v>B</v>
      </c>
      <c r="B18" s="17">
        <f>INDEX($A$9:$C$13,MATCH(A18,$A$9:$A$13,0),2)</f>
        <v>3</v>
      </c>
      <c r="C18" s="17">
        <f>B18</f>
        <v>3</v>
      </c>
      <c r="D18" s="17">
        <f>INDEX($A$9:$C$13,MATCH(A18,$A$9:$A$13,0),3)</f>
        <v>6</v>
      </c>
      <c r="E18" s="17">
        <f>C18+D18</f>
        <v>9</v>
      </c>
      <c r="F18" s="45">
        <f>B18</f>
        <v>3</v>
      </c>
    </row>
    <row r="19" spans="1:9">
      <c r="A19" s="18" t="str">
        <f>I31</f>
        <v>E</v>
      </c>
      <c r="B19" s="17">
        <f>INDEX($A$9:$C$13,MATCH(A19,$A$9:$A$13,0),2)</f>
        <v>7</v>
      </c>
      <c r="C19" s="17">
        <f>C18+B19</f>
        <v>10</v>
      </c>
      <c r="D19" s="17">
        <f>INDEX($A$9:$C$13,MATCH(A19,$A$9:$A$13,0),3)</f>
        <v>12</v>
      </c>
      <c r="E19" s="17">
        <f>MAX(E18,C19)+D19</f>
        <v>22</v>
      </c>
      <c r="F19" s="45">
        <f>MAX(0,C19-E18)</f>
        <v>1</v>
      </c>
    </row>
    <row r="20" spans="1:9">
      <c r="A20" s="18" t="str">
        <f>I32</f>
        <v>D</v>
      </c>
      <c r="B20" s="17">
        <f>INDEX($A$9:$C$13,MATCH(A20,$A$9:$A$13,0),2)</f>
        <v>10</v>
      </c>
      <c r="C20" s="17">
        <f>C19+B20</f>
        <v>20</v>
      </c>
      <c r="D20" s="17">
        <f>INDEX($A$9:$C$13,MATCH(A20,$A$9:$A$13,0),3)</f>
        <v>7</v>
      </c>
      <c r="E20" s="17">
        <f>MAX(E19,C20)+D20</f>
        <v>29</v>
      </c>
      <c r="F20" s="45">
        <f>MAX(0,C20-E19)</f>
        <v>0</v>
      </c>
    </row>
    <row r="21" spans="1:9">
      <c r="A21" s="18" t="str">
        <f>I33</f>
        <v>C</v>
      </c>
      <c r="B21" s="17">
        <f>INDEX($A$9:$C$13,MATCH(A21,$A$9:$A$13,0),2)</f>
        <v>8</v>
      </c>
      <c r="C21" s="17">
        <f>C20+B21</f>
        <v>28</v>
      </c>
      <c r="D21" s="17">
        <f>INDEX($A$9:$C$13,MATCH(A21,$A$9:$A$13,0),3)</f>
        <v>4</v>
      </c>
      <c r="E21" s="17">
        <f>MAX(E20,C21)+D21</f>
        <v>33</v>
      </c>
      <c r="F21" s="45">
        <f>MAX(0,C21-E20)</f>
        <v>0</v>
      </c>
    </row>
    <row r="22" spans="1:9" ht="16" thickBot="1">
      <c r="A22" s="226" t="str">
        <f>I34</f>
        <v>A</v>
      </c>
      <c r="B22" s="98">
        <f>INDEX($A$9:$C$13,MATCH(A22,$A$9:$A$13,0),2)</f>
        <v>5</v>
      </c>
      <c r="C22" s="98">
        <f>C21+B22</f>
        <v>33</v>
      </c>
      <c r="D22" s="98">
        <f>INDEX($A$9:$C$13,MATCH(A22,$A$9:$A$13,0),3)</f>
        <v>2</v>
      </c>
      <c r="E22" s="98">
        <f>MAX(E21,C22)+D22</f>
        <v>35</v>
      </c>
      <c r="F22" s="99">
        <f>MAX(0,C22-E21)</f>
        <v>0</v>
      </c>
    </row>
    <row r="23" spans="1:9" ht="16" thickBot="1"/>
    <row r="24" spans="1:9" ht="16" thickBot="1">
      <c r="A24" s="21" t="s">
        <v>655</v>
      </c>
      <c r="B24" s="22">
        <f>E22</f>
        <v>35</v>
      </c>
      <c r="E24" s="21" t="s">
        <v>18</v>
      </c>
      <c r="F24" s="22">
        <f>SUM(F18:F23)</f>
        <v>4</v>
      </c>
    </row>
    <row r="26" spans="1:9">
      <c r="A26" s="86" t="s">
        <v>656</v>
      </c>
    </row>
    <row r="27" spans="1:9">
      <c r="A27" s="2" t="s">
        <v>657</v>
      </c>
      <c r="B27" s="2">
        <v>5</v>
      </c>
    </row>
    <row r="29" spans="1:9">
      <c r="A29" s="2" t="s">
        <v>658</v>
      </c>
      <c r="B29" s="2">
        <v>1</v>
      </c>
    </row>
    <row r="30" spans="1:9">
      <c r="A30" s="2">
        <v>1</v>
      </c>
      <c r="B30" s="2" t="str">
        <f t="shared" ref="B30:D34" si="0">A9</f>
        <v>A</v>
      </c>
      <c r="C30" s="2">
        <f t="shared" si="0"/>
        <v>5</v>
      </c>
      <c r="D30" s="2">
        <f t="shared" si="0"/>
        <v>2</v>
      </c>
      <c r="F30" s="2">
        <v>1</v>
      </c>
      <c r="G30" s="2">
        <f>SMALL(G$36:G$68,F30)</f>
        <v>2</v>
      </c>
      <c r="H30" s="2">
        <f>MATCH(G30,G$36:G$68,0)</f>
        <v>9</v>
      </c>
      <c r="I30" s="2" t="str">
        <f>INDEX(F$36:F$68,H30,1)</f>
        <v>B</v>
      </c>
    </row>
    <row r="31" spans="1:9">
      <c r="A31" s="2">
        <v>2</v>
      </c>
      <c r="B31" s="2" t="str">
        <f t="shared" si="0"/>
        <v>B</v>
      </c>
      <c r="C31" s="2">
        <f t="shared" si="0"/>
        <v>3</v>
      </c>
      <c r="D31" s="2">
        <f t="shared" si="0"/>
        <v>6</v>
      </c>
      <c r="F31" s="2">
        <v>2</v>
      </c>
      <c r="G31" s="2">
        <f>SMALL(G$36:G$68,F31)</f>
        <v>4</v>
      </c>
      <c r="H31" s="2">
        <f>MATCH(G31,G$36:G$68,0)</f>
        <v>25</v>
      </c>
      <c r="I31" s="2" t="str">
        <f>INDEX(F$36:F$68,H31,1)</f>
        <v>E</v>
      </c>
    </row>
    <row r="32" spans="1:9">
      <c r="A32" s="2">
        <v>3</v>
      </c>
      <c r="B32" s="2" t="str">
        <f t="shared" si="0"/>
        <v>C</v>
      </c>
      <c r="C32" s="2">
        <f t="shared" si="0"/>
        <v>8</v>
      </c>
      <c r="D32" s="2">
        <f t="shared" si="0"/>
        <v>4</v>
      </c>
      <c r="F32" s="2">
        <v>3</v>
      </c>
      <c r="G32" s="2">
        <f>SMALL(G$36:G$68,F32)</f>
        <v>5</v>
      </c>
      <c r="H32" s="2">
        <f>MATCH(G32,G$36:G$68,0)</f>
        <v>33</v>
      </c>
      <c r="I32" s="2" t="str">
        <f>INDEX(F$36:F$68,H32,1)</f>
        <v>D</v>
      </c>
    </row>
    <row r="33" spans="1:9">
      <c r="A33" s="2">
        <v>4</v>
      </c>
      <c r="B33" s="2" t="str">
        <f t="shared" si="0"/>
        <v>D</v>
      </c>
      <c r="C33" s="2">
        <f t="shared" si="0"/>
        <v>10</v>
      </c>
      <c r="D33" s="2">
        <f t="shared" si="0"/>
        <v>7</v>
      </c>
      <c r="F33" s="2">
        <v>4</v>
      </c>
      <c r="G33" s="2">
        <f>SMALL(G$36:G$68,F33)</f>
        <v>7</v>
      </c>
      <c r="H33" s="2">
        <f>MATCH(G33,G$36:G$68,0)</f>
        <v>17</v>
      </c>
      <c r="I33" s="2" t="str">
        <f>INDEX(F$36:F$68,H33,1)</f>
        <v>C</v>
      </c>
    </row>
    <row r="34" spans="1:9">
      <c r="A34" s="2">
        <v>5</v>
      </c>
      <c r="B34" s="2" t="str">
        <f t="shared" si="0"/>
        <v>E</v>
      </c>
      <c r="C34" s="2">
        <f t="shared" si="0"/>
        <v>7</v>
      </c>
      <c r="D34" s="2">
        <f t="shared" si="0"/>
        <v>12</v>
      </c>
      <c r="F34" s="2">
        <v>5</v>
      </c>
      <c r="G34" s="2">
        <f>SMALL(G$36:G$68,F34)</f>
        <v>9</v>
      </c>
      <c r="H34" s="2">
        <f>MATCH(G34,G$36:G$68,0)</f>
        <v>1</v>
      </c>
      <c r="I34" s="2" t="str">
        <f>INDEX(F$36:F$68,H34,1)</f>
        <v>A</v>
      </c>
    </row>
    <row r="35" spans="1:9">
      <c r="B35" s="2" t="s">
        <v>659</v>
      </c>
      <c r="C35" s="2">
        <f>MIN(C30:D34)</f>
        <v>2</v>
      </c>
    </row>
    <row r="36" spans="1:9">
      <c r="C36" s="2" t="e">
        <f>MATCH($C35,C30:C34,0)</f>
        <v>#N/A</v>
      </c>
      <c r="D36" s="2">
        <f>MATCH($C35,D30:D34,0)</f>
        <v>1</v>
      </c>
      <c r="E36" s="2">
        <f>IF(ISNA(C36),D36,C36)</f>
        <v>1</v>
      </c>
      <c r="F36" s="2" t="str">
        <f>INDEX(B30:B34,E36,1)</f>
        <v>A</v>
      </c>
      <c r="G36" s="2">
        <f>IF(ISNA(C36),2*$B$27-B29,B29)</f>
        <v>9</v>
      </c>
    </row>
    <row r="37" spans="1:9">
      <c r="A37" s="2" t="s">
        <v>658</v>
      </c>
      <c r="B37" s="2">
        <v>2</v>
      </c>
    </row>
    <row r="38" spans="1:9">
      <c r="A38" s="2">
        <v>1</v>
      </c>
      <c r="B38" s="2" t="str">
        <f>A9</f>
        <v>A</v>
      </c>
      <c r="C38" s="2">
        <f>IF($E$36=$A38,999999,C30)</f>
        <v>999999</v>
      </c>
      <c r="D38" s="2">
        <f>IF($E$36=$A38,999999,D30)</f>
        <v>999999</v>
      </c>
    </row>
    <row r="39" spans="1:9">
      <c r="A39" s="2">
        <v>2</v>
      </c>
      <c r="B39" s="2" t="str">
        <f>A10</f>
        <v>B</v>
      </c>
      <c r="C39" s="2">
        <f t="shared" ref="C39:D42" si="1">IF($E$36=$A39,999999,C31)</f>
        <v>3</v>
      </c>
      <c r="D39" s="2">
        <f t="shared" si="1"/>
        <v>6</v>
      </c>
    </row>
    <row r="40" spans="1:9">
      <c r="A40" s="2">
        <v>3</v>
      </c>
      <c r="B40" s="2" t="str">
        <f>A11</f>
        <v>C</v>
      </c>
      <c r="C40" s="2">
        <f t="shared" si="1"/>
        <v>8</v>
      </c>
      <c r="D40" s="2">
        <f t="shared" si="1"/>
        <v>4</v>
      </c>
    </row>
    <row r="41" spans="1:9">
      <c r="A41" s="2">
        <v>4</v>
      </c>
      <c r="B41" s="2" t="str">
        <f>A12</f>
        <v>D</v>
      </c>
      <c r="C41" s="2">
        <f t="shared" si="1"/>
        <v>10</v>
      </c>
      <c r="D41" s="2">
        <f t="shared" si="1"/>
        <v>7</v>
      </c>
    </row>
    <row r="42" spans="1:9">
      <c r="A42" s="2">
        <v>5</v>
      </c>
      <c r="B42" s="2" t="str">
        <f>A13</f>
        <v>E</v>
      </c>
      <c r="C42" s="2">
        <f t="shared" si="1"/>
        <v>7</v>
      </c>
      <c r="D42" s="2">
        <f t="shared" si="1"/>
        <v>12</v>
      </c>
    </row>
    <row r="43" spans="1:9">
      <c r="B43" s="2" t="s">
        <v>659</v>
      </c>
      <c r="C43" s="2">
        <f>MIN(C38:D42)</f>
        <v>3</v>
      </c>
    </row>
    <row r="44" spans="1:9">
      <c r="C44" s="2">
        <f>MATCH($C43,C38:C42,0)</f>
        <v>2</v>
      </c>
      <c r="D44" s="2" t="e">
        <f>MATCH($C43,D38:D42,0)</f>
        <v>#N/A</v>
      </c>
      <c r="E44" s="2">
        <f>IF(ISNA(C44),D44,C44)</f>
        <v>2</v>
      </c>
      <c r="F44" s="2" t="str">
        <f>INDEX(B38:B42,E44,1)</f>
        <v>B</v>
      </c>
      <c r="G44" s="2">
        <f>IF(ISNA(C44),2*$B$27-B37,B37)</f>
        <v>2</v>
      </c>
    </row>
    <row r="45" spans="1:9">
      <c r="A45" s="2" t="s">
        <v>658</v>
      </c>
      <c r="B45" s="2">
        <v>3</v>
      </c>
    </row>
    <row r="46" spans="1:9">
      <c r="A46" s="2">
        <v>1</v>
      </c>
      <c r="B46" s="2" t="str">
        <f>A9</f>
        <v>A</v>
      </c>
      <c r="C46" s="2">
        <f>IF($E$44=$A46,999999,C38)</f>
        <v>999999</v>
      </c>
      <c r="D46" s="2">
        <f>IF($E$44=$A46,999999,D38)</f>
        <v>999999</v>
      </c>
    </row>
    <row r="47" spans="1:9">
      <c r="A47" s="2">
        <v>2</v>
      </c>
      <c r="B47" s="2" t="str">
        <f>A10</f>
        <v>B</v>
      </c>
      <c r="C47" s="2">
        <f t="shared" ref="C47:D50" si="2">IF($E$44=$A47,999999,C39)</f>
        <v>999999</v>
      </c>
      <c r="D47" s="2">
        <f t="shared" si="2"/>
        <v>999999</v>
      </c>
    </row>
    <row r="48" spans="1:9">
      <c r="A48" s="2">
        <v>3</v>
      </c>
      <c r="B48" s="2" t="str">
        <f>A11</f>
        <v>C</v>
      </c>
      <c r="C48" s="2">
        <f t="shared" si="2"/>
        <v>8</v>
      </c>
      <c r="D48" s="2">
        <f t="shared" si="2"/>
        <v>4</v>
      </c>
    </row>
    <row r="49" spans="1:7">
      <c r="A49" s="2">
        <v>4</v>
      </c>
      <c r="B49" s="2" t="str">
        <f>A12</f>
        <v>D</v>
      </c>
      <c r="C49" s="2">
        <f t="shared" si="2"/>
        <v>10</v>
      </c>
      <c r="D49" s="2">
        <f t="shared" si="2"/>
        <v>7</v>
      </c>
    </row>
    <row r="50" spans="1:7">
      <c r="A50" s="2">
        <v>5</v>
      </c>
      <c r="B50" s="2" t="str">
        <f>A13</f>
        <v>E</v>
      </c>
      <c r="C50" s="2">
        <f t="shared" si="2"/>
        <v>7</v>
      </c>
      <c r="D50" s="2">
        <f t="shared" si="2"/>
        <v>12</v>
      </c>
    </row>
    <row r="51" spans="1:7">
      <c r="B51" s="2" t="s">
        <v>659</v>
      </c>
      <c r="C51" s="2">
        <f>MIN(C46:D50)</f>
        <v>4</v>
      </c>
    </row>
    <row r="52" spans="1:7">
      <c r="C52" s="2" t="e">
        <f>MATCH($C51,C46:C50,0)</f>
        <v>#N/A</v>
      </c>
      <c r="D52" s="2">
        <f>MATCH($C51,D46:D50,0)</f>
        <v>3</v>
      </c>
      <c r="E52" s="2">
        <f>IF(ISNA(C52),D52,C52)</f>
        <v>3</v>
      </c>
      <c r="F52" s="2" t="str">
        <f>INDEX(B46:B50,E52,1)</f>
        <v>C</v>
      </c>
      <c r="G52" s="2">
        <f>IF(ISNA(C52),2*$B$27-B45,B45)</f>
        <v>7</v>
      </c>
    </row>
    <row r="53" spans="1:7">
      <c r="A53" s="2" t="s">
        <v>658</v>
      </c>
      <c r="B53" s="2">
        <v>4</v>
      </c>
    </row>
    <row r="54" spans="1:7">
      <c r="A54" s="2">
        <v>1</v>
      </c>
      <c r="B54" s="2" t="str">
        <f>A9</f>
        <v>A</v>
      </c>
      <c r="C54" s="2">
        <f>IF($E$52=$A54,999999,C46)</f>
        <v>999999</v>
      </c>
      <c r="D54" s="2">
        <f>IF($E$52=$A54,999999,D46)</f>
        <v>999999</v>
      </c>
    </row>
    <row r="55" spans="1:7">
      <c r="A55" s="2">
        <v>2</v>
      </c>
      <c r="B55" s="2" t="str">
        <f>A10</f>
        <v>B</v>
      </c>
      <c r="C55" s="2">
        <f t="shared" ref="C55:D58" si="3">IF($E$52=$A55,999999,C47)</f>
        <v>999999</v>
      </c>
      <c r="D55" s="2">
        <f t="shared" si="3"/>
        <v>999999</v>
      </c>
    </row>
    <row r="56" spans="1:7">
      <c r="A56" s="2">
        <v>3</v>
      </c>
      <c r="B56" s="2" t="str">
        <f>A11</f>
        <v>C</v>
      </c>
      <c r="C56" s="2">
        <f t="shared" si="3"/>
        <v>999999</v>
      </c>
      <c r="D56" s="2">
        <f t="shared" si="3"/>
        <v>999999</v>
      </c>
    </row>
    <row r="57" spans="1:7">
      <c r="A57" s="2">
        <v>4</v>
      </c>
      <c r="B57" s="2" t="str">
        <f>A12</f>
        <v>D</v>
      </c>
      <c r="C57" s="2">
        <f t="shared" si="3"/>
        <v>10</v>
      </c>
      <c r="D57" s="2">
        <f t="shared" si="3"/>
        <v>7</v>
      </c>
    </row>
    <row r="58" spans="1:7">
      <c r="A58" s="2">
        <v>5</v>
      </c>
      <c r="B58" s="2" t="str">
        <f>A13</f>
        <v>E</v>
      </c>
      <c r="C58" s="2">
        <f t="shared" si="3"/>
        <v>7</v>
      </c>
      <c r="D58" s="2">
        <f t="shared" si="3"/>
        <v>12</v>
      </c>
    </row>
    <row r="59" spans="1:7">
      <c r="B59" s="2" t="s">
        <v>659</v>
      </c>
      <c r="C59" s="2">
        <f>MIN(C54:D58)</f>
        <v>7</v>
      </c>
    </row>
    <row r="60" spans="1:7">
      <c r="C60" s="2">
        <f>MATCH($C59,C54:C58,0)</f>
        <v>5</v>
      </c>
      <c r="D60" s="2">
        <f>MATCH($C59,D54:D58,0)</f>
        <v>4</v>
      </c>
      <c r="E60" s="2">
        <f>IF(ISNA(C60),D60,C60)</f>
        <v>5</v>
      </c>
      <c r="F60" s="2" t="str">
        <f>INDEX(B54:B58,E60,1)</f>
        <v>E</v>
      </c>
      <c r="G60" s="2">
        <f>IF(ISNA(C60),2*$B$27-B53,B53)</f>
        <v>4</v>
      </c>
    </row>
    <row r="61" spans="1:7">
      <c r="A61" s="2" t="s">
        <v>658</v>
      </c>
      <c r="B61" s="2">
        <v>5</v>
      </c>
    </row>
    <row r="62" spans="1:7">
      <c r="A62" s="2">
        <v>1</v>
      </c>
      <c r="B62" s="2" t="str">
        <f>A9</f>
        <v>A</v>
      </c>
      <c r="C62" s="2">
        <f>IF($E$60=$A62,999999,C54)</f>
        <v>999999</v>
      </c>
      <c r="D62" s="2">
        <f>IF($E$60=$A62,999999,D54)</f>
        <v>999999</v>
      </c>
    </row>
    <row r="63" spans="1:7">
      <c r="A63" s="2">
        <v>2</v>
      </c>
      <c r="B63" s="2" t="str">
        <f>A10</f>
        <v>B</v>
      </c>
      <c r="C63" s="2">
        <f t="shared" ref="C63:D66" si="4">IF($E$60=$A63,999999,C55)</f>
        <v>999999</v>
      </c>
      <c r="D63" s="2">
        <f t="shared" si="4"/>
        <v>999999</v>
      </c>
    </row>
    <row r="64" spans="1:7">
      <c r="A64" s="2">
        <v>3</v>
      </c>
      <c r="B64" s="2" t="str">
        <f>A11</f>
        <v>C</v>
      </c>
      <c r="C64" s="2">
        <f t="shared" si="4"/>
        <v>999999</v>
      </c>
      <c r="D64" s="2">
        <f t="shared" si="4"/>
        <v>999999</v>
      </c>
    </row>
    <row r="65" spans="1:7">
      <c r="A65" s="2">
        <v>4</v>
      </c>
      <c r="B65" s="2" t="str">
        <f>A12</f>
        <v>D</v>
      </c>
      <c r="C65" s="2">
        <f t="shared" si="4"/>
        <v>10</v>
      </c>
      <c r="D65" s="2">
        <f t="shared" si="4"/>
        <v>7</v>
      </c>
    </row>
    <row r="66" spans="1:7">
      <c r="A66" s="2">
        <v>5</v>
      </c>
      <c r="B66" s="2" t="str">
        <f>A13</f>
        <v>E</v>
      </c>
      <c r="C66" s="2">
        <f t="shared" si="4"/>
        <v>999999</v>
      </c>
      <c r="D66" s="2">
        <f t="shared" si="4"/>
        <v>999999</v>
      </c>
    </row>
    <row r="67" spans="1:7">
      <c r="B67" s="2" t="s">
        <v>659</v>
      </c>
      <c r="C67" s="2">
        <f>MIN(C62:D66)</f>
        <v>7</v>
      </c>
    </row>
    <row r="68" spans="1:7">
      <c r="C68" s="2" t="e">
        <f>MATCH($C67,C62:C66,0)</f>
        <v>#N/A</v>
      </c>
      <c r="D68" s="2">
        <f>MATCH($C67,D62:D66,0)</f>
        <v>4</v>
      </c>
      <c r="E68" s="2">
        <f>IF(ISNA(C68),D68,C68)</f>
        <v>4</v>
      </c>
      <c r="F68" s="2" t="str">
        <f>INDEX(B62:B66,E68,1)</f>
        <v>D</v>
      </c>
      <c r="G68" s="2">
        <f>IF(ISNA(C68),2*$B$27-B61,B61)</f>
        <v>5</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
  <sheetViews>
    <sheetView workbookViewId="0">
      <selection activeCell="A11" sqref="A11"/>
    </sheetView>
  </sheetViews>
  <sheetFormatPr baseColWidth="10" defaultRowHeight="15" x14ac:dyDescent="0"/>
  <cols>
    <col min="1" max="1" width="18.5" style="2" customWidth="1"/>
    <col min="2" max="16384" width="10.83203125" style="2"/>
  </cols>
  <sheetData>
    <row r="1" spans="1:8" ht="18">
      <c r="A1" s="39" t="s">
        <v>667</v>
      </c>
    </row>
    <row r="3" spans="1:8" ht="18">
      <c r="A3" s="3" t="s">
        <v>661</v>
      </c>
      <c r="B3" s="3"/>
      <c r="C3" s="3" t="s">
        <v>662</v>
      </c>
      <c r="D3" s="3"/>
      <c r="E3" s="3"/>
      <c r="F3" s="3"/>
      <c r="G3" s="3"/>
      <c r="H3" s="3"/>
    </row>
    <row r="4" spans="1:8">
      <c r="A4" s="1"/>
      <c r="B4" s="1"/>
    </row>
    <row r="7" spans="1:8" ht="16" thickBot="1">
      <c r="A7" s="5" t="s">
        <v>1</v>
      </c>
    </row>
    <row r="8" spans="1:8">
      <c r="A8" s="2" t="s">
        <v>663</v>
      </c>
      <c r="B8" s="370">
        <v>500</v>
      </c>
    </row>
    <row r="9" spans="1:8">
      <c r="A9" s="2" t="s">
        <v>664</v>
      </c>
      <c r="B9" s="371">
        <v>2</v>
      </c>
    </row>
    <row r="10" spans="1:8">
      <c r="A10" s="2" t="s">
        <v>499</v>
      </c>
      <c r="B10" s="371">
        <v>250</v>
      </c>
    </row>
    <row r="11" spans="1:8" ht="16" thickBot="1">
      <c r="A11" s="2" t="s">
        <v>665</v>
      </c>
      <c r="B11" s="372">
        <v>250</v>
      </c>
    </row>
    <row r="13" spans="1:8" ht="16" thickBot="1">
      <c r="A13" s="23" t="s">
        <v>82</v>
      </c>
    </row>
    <row r="14" spans="1:8" ht="16" thickBot="1">
      <c r="A14" s="21" t="s">
        <v>666</v>
      </c>
      <c r="B14" s="22">
        <f>(B8*B9+B10)/B11</f>
        <v>5</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dimension ref="A1:J24"/>
  <sheetViews>
    <sheetView workbookViewId="0">
      <selection activeCell="I21" sqref="I21"/>
    </sheetView>
  </sheetViews>
  <sheetFormatPr baseColWidth="10" defaultColWidth="8.6640625" defaultRowHeight="15" x14ac:dyDescent="0"/>
  <cols>
    <col min="1" max="1" width="8.5" style="135" customWidth="1"/>
    <col min="2" max="2" width="27.83203125" style="135" bestFit="1" customWidth="1"/>
    <col min="3" max="4" width="8.6640625" style="135"/>
    <col min="5" max="5" width="12.6640625" style="135" customWidth="1"/>
    <col min="6" max="6" width="2.5" style="137" customWidth="1"/>
    <col min="7" max="7" width="8.6640625" style="135"/>
    <col min="8" max="8" width="30.6640625" style="135" bestFit="1" customWidth="1"/>
    <col min="9" max="16384" width="8.6640625" style="135"/>
  </cols>
  <sheetData>
    <row r="1" spans="1:9" ht="18">
      <c r="A1" s="157" t="s">
        <v>682</v>
      </c>
    </row>
    <row r="3" spans="1:9" ht="16">
      <c r="A3" s="380" t="s">
        <v>668</v>
      </c>
      <c r="B3" s="204"/>
      <c r="C3" s="380" t="s">
        <v>669</v>
      </c>
      <c r="D3" s="204"/>
      <c r="E3" s="204"/>
      <c r="F3" s="381"/>
      <c r="G3" s="204"/>
      <c r="H3" s="204"/>
    </row>
    <row r="8" spans="1:9" ht="16" thickBot="1">
      <c r="A8" s="138" t="s">
        <v>670</v>
      </c>
      <c r="G8" s="138" t="s">
        <v>671</v>
      </c>
    </row>
    <row r="9" spans="1:9">
      <c r="B9" s="182" t="s">
        <v>672</v>
      </c>
      <c r="C9" s="201">
        <v>3</v>
      </c>
      <c r="H9" s="182" t="s">
        <v>673</v>
      </c>
      <c r="I9" s="201">
        <v>3</v>
      </c>
    </row>
    <row r="10" spans="1:9" ht="16" thickBot="1">
      <c r="B10" s="186" t="s">
        <v>674</v>
      </c>
      <c r="C10" s="201">
        <v>0.9</v>
      </c>
      <c r="H10" s="186" t="s">
        <v>674</v>
      </c>
      <c r="I10" s="201">
        <v>0.9</v>
      </c>
    </row>
    <row r="11" spans="1:9" ht="16" thickBot="1"/>
    <row r="12" spans="1:9" ht="16" thickBot="1">
      <c r="B12" s="378" t="s">
        <v>675</v>
      </c>
      <c r="C12" s="379">
        <f>IF(ISERR(C10^C9),"",C10^C9)</f>
        <v>0.72900000000000009</v>
      </c>
      <c r="H12" s="378" t="s">
        <v>676</v>
      </c>
      <c r="I12" s="379">
        <f>IF(ISERR(1-(1-I10)^I9),"",1-(1-I10)^I9)</f>
        <v>0.999</v>
      </c>
    </row>
    <row r="14" spans="1:9" ht="16" thickBot="1">
      <c r="A14" s="138" t="s">
        <v>677</v>
      </c>
      <c r="G14" s="138" t="s">
        <v>678</v>
      </c>
    </row>
    <row r="15" spans="1:9">
      <c r="B15" s="182" t="s">
        <v>672</v>
      </c>
      <c r="C15" s="201">
        <v>3</v>
      </c>
      <c r="H15" s="182" t="s">
        <v>673</v>
      </c>
      <c r="I15" s="201">
        <v>3</v>
      </c>
    </row>
    <row r="16" spans="1:9" ht="16" thickBot="1">
      <c r="B16" s="186" t="s">
        <v>675</v>
      </c>
      <c r="C16" s="201">
        <v>0.9</v>
      </c>
      <c r="H16" s="186" t="s">
        <v>679</v>
      </c>
      <c r="I16" s="201">
        <v>0.99</v>
      </c>
    </row>
    <row r="17" spans="1:10" ht="16" thickBot="1"/>
    <row r="18" spans="1:10" ht="16" thickBot="1">
      <c r="B18" s="378" t="s">
        <v>674</v>
      </c>
      <c r="C18" s="379">
        <f>IF(ISERR(C16^(1/C15)),"",C16^(1/C15))</f>
        <v>0.96548938460562972</v>
      </c>
      <c r="H18" s="378" t="s">
        <v>674</v>
      </c>
      <c r="I18" s="379">
        <f>IF(ISERR(1-EXP(LN(1-I16)/I15)),"",1-EXP(LN(1-I16)/I15))</f>
        <v>0.78455653099681166</v>
      </c>
    </row>
    <row r="20" spans="1:10" ht="16" thickBot="1">
      <c r="A20" s="138" t="s">
        <v>680</v>
      </c>
      <c r="G20" s="138" t="s">
        <v>671</v>
      </c>
    </row>
    <row r="21" spans="1:10">
      <c r="B21" s="182" t="s">
        <v>674</v>
      </c>
      <c r="C21" s="201">
        <v>0.95</v>
      </c>
      <c r="H21" s="182" t="s">
        <v>679</v>
      </c>
      <c r="I21" s="201">
        <v>0.99987999999999999</v>
      </c>
    </row>
    <row r="22" spans="1:10" ht="16" thickBot="1">
      <c r="B22" s="186" t="s">
        <v>675</v>
      </c>
      <c r="C22" s="201">
        <v>0.8</v>
      </c>
      <c r="D22" s="374" t="str">
        <f>IF(C22&gt;C21,"System reliability can not be greater than component reliability","")</f>
        <v/>
      </c>
      <c r="H22" s="186" t="s">
        <v>674</v>
      </c>
      <c r="I22" s="201">
        <v>0.95</v>
      </c>
      <c r="J22" s="374" t="str">
        <f>IF(I21&lt;I22,"Overall reliability can not be less than component reliability","")</f>
        <v/>
      </c>
    </row>
    <row r="23" spans="1:10" ht="16" thickBot="1"/>
    <row r="24" spans="1:10" ht="16" thickBot="1">
      <c r="B24" s="378" t="s">
        <v>681</v>
      </c>
      <c r="C24" s="379">
        <f>IF(ISERR(LN(C22)/LN(C21)),"",LN(C22)/LN(C21))</f>
        <v>4.3503454784602216</v>
      </c>
      <c r="H24" s="378" t="s">
        <v>673</v>
      </c>
      <c r="I24" s="379">
        <f>IF(ISERR(LN(1-I21)/LN(1-I22)),"",LN(1-I21)/LN(1-I22))</f>
        <v>3.0136267165395769</v>
      </c>
    </row>
  </sheetData>
  <pageMargins left="0.75" right="0.75" top="1" bottom="1" header="0.5" footer="0.5"/>
  <pageSetup orientation="portrait" horizontalDpi="4294967292" verticalDpi="4294967292"/>
  <headerFooter alignWithMargins="0"/>
  <drawing r:id="rId1"/>
  <legacyDrawing r:id="rId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D9" sqref="D9"/>
    </sheetView>
  </sheetViews>
  <sheetFormatPr baseColWidth="10" defaultRowHeight="15" x14ac:dyDescent="0"/>
  <cols>
    <col min="1" max="1" width="12.6640625" style="2" customWidth="1"/>
    <col min="2" max="16384" width="10.83203125" style="2"/>
  </cols>
  <sheetData>
    <row r="1" spans="1:8" ht="18">
      <c r="A1" s="39" t="s">
        <v>688</v>
      </c>
    </row>
    <row r="3" spans="1:8" ht="18">
      <c r="A3" s="3" t="s">
        <v>668</v>
      </c>
      <c r="B3" s="3"/>
      <c r="C3" s="3"/>
      <c r="D3" s="3"/>
      <c r="E3" s="3"/>
      <c r="F3" s="3"/>
      <c r="G3" s="3"/>
      <c r="H3" s="3"/>
    </row>
    <row r="4" spans="1:8">
      <c r="A4" s="1"/>
      <c r="B4" s="1"/>
    </row>
    <row r="6" spans="1:8" ht="16" thickBot="1">
      <c r="A6" s="5" t="s">
        <v>1</v>
      </c>
    </row>
    <row r="7" spans="1:8">
      <c r="A7" s="8"/>
      <c r="B7" s="24" t="s">
        <v>684</v>
      </c>
      <c r="C7" s="24" t="s">
        <v>685</v>
      </c>
      <c r="D7" s="9" t="s">
        <v>686</v>
      </c>
    </row>
    <row r="8" spans="1:8" ht="16" thickBot="1">
      <c r="A8" s="12" t="s">
        <v>683</v>
      </c>
      <c r="B8" s="40">
        <v>0.9</v>
      </c>
      <c r="C8" s="40">
        <v>0.8</v>
      </c>
      <c r="D8" s="13">
        <v>0.99</v>
      </c>
    </row>
    <row r="10" spans="1:8" ht="16" thickBot="1">
      <c r="A10" s="23" t="s">
        <v>82</v>
      </c>
    </row>
    <row r="11" spans="1:8">
      <c r="A11" s="19"/>
      <c r="B11" s="20" t="str">
        <f>B7</f>
        <v>Series 1</v>
      </c>
      <c r="C11" s="20" t="str">
        <f>C7</f>
        <v>Series 2</v>
      </c>
      <c r="D11" s="82" t="str">
        <f>D7</f>
        <v>Series 3</v>
      </c>
    </row>
    <row r="12" spans="1:8">
      <c r="A12" s="18" t="str">
        <f>A8</f>
        <v>Component</v>
      </c>
      <c r="B12" s="17">
        <f>1-B8</f>
        <v>9.9999999999999978E-2</v>
      </c>
      <c r="C12" s="17">
        <f>1-C8</f>
        <v>0.19999999999999996</v>
      </c>
      <c r="D12" s="45">
        <f>1-D8</f>
        <v>1.0000000000000009E-2</v>
      </c>
    </row>
    <row r="13" spans="1:8" ht="16" thickBot="1">
      <c r="A13" s="58"/>
      <c r="B13" s="66"/>
      <c r="C13" s="66"/>
      <c r="D13" s="78"/>
    </row>
    <row r="14" spans="1:8" ht="16" thickBot="1">
      <c r="A14" s="21" t="s">
        <v>668</v>
      </c>
      <c r="B14" s="62">
        <f>1-PRODUCT(B12:B12)</f>
        <v>0.9</v>
      </c>
      <c r="C14" s="62">
        <f>1-PRODUCT(C12:C12)</f>
        <v>0.8</v>
      </c>
      <c r="D14" s="22">
        <f>1-PRODUCT(D12:D12)</f>
        <v>0.99</v>
      </c>
    </row>
    <row r="15" spans="1:8" ht="16" thickBot="1">
      <c r="A15" s="383"/>
      <c r="B15" s="365"/>
      <c r="C15" s="366"/>
      <c r="D15" s="382"/>
    </row>
    <row r="16" spans="1:8" ht="16" thickBot="1">
      <c r="A16" s="21" t="s">
        <v>687</v>
      </c>
      <c r="B16" s="22">
        <f>PRODUCT(B14:D14)</f>
        <v>0.7128000000000001</v>
      </c>
      <c r="C16" s="101"/>
      <c r="D16" s="99"/>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9" enableFormatConditionsCalculation="0"/>
  <dimension ref="A1:I24"/>
  <sheetViews>
    <sheetView workbookViewId="0">
      <selection activeCell="B31" sqref="B31"/>
    </sheetView>
  </sheetViews>
  <sheetFormatPr baseColWidth="10" defaultColWidth="8.6640625" defaultRowHeight="15" x14ac:dyDescent="0"/>
  <cols>
    <col min="1" max="1" width="30.33203125" style="135" bestFit="1" customWidth="1"/>
    <col min="2" max="2" width="28.5" style="135" bestFit="1" customWidth="1"/>
    <col min="3" max="3" width="15.6640625" style="135" bestFit="1" customWidth="1"/>
    <col min="4" max="4" width="7.33203125" style="135" bestFit="1" customWidth="1"/>
    <col min="5" max="5" width="8.6640625" style="135"/>
    <col min="6" max="6" width="25.6640625" style="135" bestFit="1" customWidth="1"/>
    <col min="7" max="8" width="8.6640625" style="135"/>
    <col min="9" max="9" width="12" style="135" bestFit="1" customWidth="1"/>
    <col min="10" max="16384" width="8.6640625" style="135"/>
  </cols>
  <sheetData>
    <row r="1" spans="1:9" ht="18">
      <c r="A1" s="157" t="s">
        <v>694</v>
      </c>
      <c r="F1" s="201" t="s">
        <v>710</v>
      </c>
      <c r="G1" s="201">
        <v>1</v>
      </c>
    </row>
    <row r="2" spans="1:9">
      <c r="F2" s="201" t="s">
        <v>711</v>
      </c>
      <c r="G2" s="201">
        <v>300</v>
      </c>
    </row>
    <row r="3" spans="1:9" ht="16">
      <c r="A3" s="380" t="s">
        <v>689</v>
      </c>
      <c r="B3" s="204"/>
      <c r="C3" s="380" t="s">
        <v>695</v>
      </c>
      <c r="D3" s="204"/>
      <c r="E3" s="204"/>
      <c r="F3" s="201" t="s">
        <v>712</v>
      </c>
      <c r="G3" s="201">
        <v>150</v>
      </c>
      <c r="H3" s="204"/>
    </row>
    <row r="6" spans="1:9" ht="16" thickBot="1">
      <c r="A6" s="181" t="s">
        <v>1</v>
      </c>
      <c r="E6" s="138" t="s">
        <v>696</v>
      </c>
    </row>
    <row r="7" spans="1:9">
      <c r="A7" s="396" t="s">
        <v>697</v>
      </c>
      <c r="B7" s="397" t="s">
        <v>698</v>
      </c>
      <c r="C7" s="373" t="s">
        <v>699</v>
      </c>
      <c r="E7" s="182" t="s">
        <v>700</v>
      </c>
      <c r="F7" s="389" t="s">
        <v>701</v>
      </c>
      <c r="G7" s="389" t="s">
        <v>702</v>
      </c>
      <c r="H7" s="389" t="s">
        <v>703</v>
      </c>
      <c r="I7" s="384" t="s">
        <v>704</v>
      </c>
    </row>
    <row r="8" spans="1:9">
      <c r="A8" s="398" t="s">
        <v>705</v>
      </c>
      <c r="B8" s="201">
        <v>0</v>
      </c>
      <c r="C8" s="185">
        <v>2</v>
      </c>
      <c r="E8" s="184">
        <f>C8/$C$12</f>
        <v>0.1</v>
      </c>
      <c r="F8" s="390">
        <f>B8*C8</f>
        <v>0</v>
      </c>
      <c r="G8" s="390">
        <f>B8-$B$15</f>
        <v>-1.6</v>
      </c>
      <c r="H8" s="390">
        <f>G8*G8</f>
        <v>2.5600000000000005</v>
      </c>
      <c r="I8" s="391">
        <f>H8*C8</f>
        <v>5.120000000000001</v>
      </c>
    </row>
    <row r="9" spans="1:9">
      <c r="A9" s="398" t="s">
        <v>706</v>
      </c>
      <c r="B9" s="201">
        <v>1</v>
      </c>
      <c r="C9" s="185">
        <v>8</v>
      </c>
      <c r="E9" s="184">
        <f>C9/$C$12</f>
        <v>0.4</v>
      </c>
      <c r="F9" s="390">
        <f>B9*C9</f>
        <v>8</v>
      </c>
      <c r="G9" s="390">
        <f>B9-$B$15</f>
        <v>-0.60000000000000009</v>
      </c>
      <c r="H9" s="390">
        <f>G9*G9</f>
        <v>0.3600000000000001</v>
      </c>
      <c r="I9" s="391">
        <f>H9*C9</f>
        <v>2.8800000000000008</v>
      </c>
    </row>
    <row r="10" spans="1:9">
      <c r="A10" s="398" t="s">
        <v>707</v>
      </c>
      <c r="B10" s="201">
        <v>2</v>
      </c>
      <c r="C10" s="185">
        <v>6</v>
      </c>
      <c r="E10" s="184">
        <f>C10/$C$12</f>
        <v>0.3</v>
      </c>
      <c r="F10" s="390">
        <f>B10*C10</f>
        <v>12</v>
      </c>
      <c r="G10" s="390">
        <f>B10-$B$15</f>
        <v>0.39999999999999991</v>
      </c>
      <c r="H10" s="390">
        <f>G10*G10</f>
        <v>0.15999999999999992</v>
      </c>
      <c r="I10" s="391">
        <f>H10*C10</f>
        <v>0.95999999999999952</v>
      </c>
    </row>
    <row r="11" spans="1:9" ht="16" thickBot="1">
      <c r="A11" s="399" t="s">
        <v>708</v>
      </c>
      <c r="B11" s="375">
        <v>3</v>
      </c>
      <c r="C11" s="187">
        <v>4</v>
      </c>
      <c r="E11" s="186">
        <f>C11/$C$12</f>
        <v>0.2</v>
      </c>
      <c r="F11" s="393">
        <f>B11*C11</f>
        <v>12</v>
      </c>
      <c r="G11" s="393">
        <f>B11-$B$15</f>
        <v>1.4</v>
      </c>
      <c r="H11" s="393">
        <f>G11*G11</f>
        <v>1.9599999999999997</v>
      </c>
      <c r="I11" s="394">
        <f>H11*C11</f>
        <v>7.839999999999999</v>
      </c>
    </row>
    <row r="12" spans="1:9" ht="16" thickBot="1">
      <c r="A12" s="399" t="s">
        <v>514</v>
      </c>
      <c r="B12" s="400">
        <f>SUM(B8:B11)</f>
        <v>6</v>
      </c>
      <c r="C12" s="401">
        <f>SUM(C8:C11)</f>
        <v>20</v>
      </c>
      <c r="E12" s="186">
        <f>SUM(E8:E11)</f>
        <v>1</v>
      </c>
      <c r="F12" s="393">
        <f>SUM(F8:F11)</f>
        <v>32</v>
      </c>
      <c r="G12" s="393"/>
      <c r="H12" s="393"/>
      <c r="I12" s="394">
        <f>SUM(I8:I11)</f>
        <v>16.8</v>
      </c>
    </row>
    <row r="13" spans="1:9">
      <c r="A13" s="135" t="s">
        <v>29</v>
      </c>
    </row>
    <row r="14" spans="1:9" ht="16" thickBot="1">
      <c r="A14" s="138" t="s">
        <v>689</v>
      </c>
    </row>
    <row r="15" spans="1:9" ht="16" thickBot="1">
      <c r="A15" s="385" t="s">
        <v>121</v>
      </c>
      <c r="B15" s="386">
        <f>F12/C12</f>
        <v>1.6</v>
      </c>
      <c r="C15" s="395"/>
    </row>
    <row r="16" spans="1:9">
      <c r="A16" s="209" t="s">
        <v>29</v>
      </c>
      <c r="B16" s="210"/>
      <c r="C16" s="395"/>
      <c r="D16" s="395"/>
    </row>
    <row r="17" spans="1:4">
      <c r="A17" s="195" t="s">
        <v>29</v>
      </c>
      <c r="B17" s="197"/>
      <c r="C17" s="395"/>
      <c r="D17" s="395"/>
    </row>
    <row r="18" spans="1:4">
      <c r="A18" s="195" t="s">
        <v>690</v>
      </c>
      <c r="B18" s="197">
        <f>I12/C12</f>
        <v>0.84000000000000008</v>
      </c>
      <c r="C18" s="395"/>
      <c r="D18" s="395"/>
    </row>
    <row r="19" spans="1:4">
      <c r="A19" s="195" t="s">
        <v>691</v>
      </c>
      <c r="B19" s="197">
        <f>SQRT(B18)</f>
        <v>0.9165151389911681</v>
      </c>
      <c r="C19" s="395"/>
      <c r="D19" s="395"/>
    </row>
    <row r="20" spans="1:4">
      <c r="A20" s="195" t="s">
        <v>692</v>
      </c>
      <c r="B20" s="197">
        <f>I12/(C12-1)</f>
        <v>0.88421052631578956</v>
      </c>
      <c r="C20" s="395"/>
      <c r="D20" s="395"/>
    </row>
    <row r="21" spans="1:4" ht="16" thickBot="1">
      <c r="A21" s="188" t="s">
        <v>693</v>
      </c>
      <c r="B21" s="388">
        <f>SQRT(B20)</f>
        <v>0.94032469196325452</v>
      </c>
      <c r="C21" s="395"/>
      <c r="D21" s="395"/>
    </row>
    <row r="22" spans="1:4" ht="16" thickBot="1"/>
    <row r="23" spans="1:4" ht="16" thickBot="1">
      <c r="A23" s="385" t="s">
        <v>709</v>
      </c>
      <c r="B23" s="386">
        <f>B15*G2</f>
        <v>480</v>
      </c>
    </row>
    <row r="24" spans="1:4">
      <c r="A24" s="385" t="s">
        <v>713</v>
      </c>
      <c r="B24" s="386">
        <f>G1*G2 + G3</f>
        <v>450</v>
      </c>
    </row>
  </sheetData>
  <pageMargins left="0.75" right="0.75" top="1" bottom="1" header="0.5" footer="0.5"/>
  <pageSetup orientation="portrait" horizontalDpi="4294967292" verticalDpi="4294967292"/>
  <headerFooter alignWithMargins="0"/>
  <drawing r:id="rId1"/>
  <legacyDrawing r:id="rId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7"/>
  <sheetViews>
    <sheetView workbookViewId="0">
      <selection activeCell="L17" sqref="L17"/>
    </sheetView>
  </sheetViews>
  <sheetFormatPr baseColWidth="10" defaultRowHeight="15" x14ac:dyDescent="0"/>
  <cols>
    <col min="1" max="1" width="10.83203125" style="2" customWidth="1"/>
    <col min="2" max="2" width="10" style="2" customWidth="1"/>
    <col min="3" max="3" width="11.33203125" style="2" bestFit="1" customWidth="1"/>
    <col min="4" max="16384" width="10.83203125" style="2"/>
  </cols>
  <sheetData>
    <row r="1" spans="1:9" ht="18">
      <c r="A1" s="39" t="s">
        <v>715</v>
      </c>
    </row>
    <row r="3" spans="1:9" ht="18">
      <c r="A3" s="3" t="s">
        <v>714</v>
      </c>
      <c r="B3" s="3"/>
      <c r="C3" s="3"/>
      <c r="D3" s="3"/>
      <c r="E3" s="3"/>
      <c r="F3" s="3"/>
      <c r="G3" s="3"/>
      <c r="H3" s="3"/>
    </row>
    <row r="4" spans="1:9">
      <c r="A4" s="1"/>
      <c r="B4" s="1"/>
    </row>
    <row r="6" spans="1:9" ht="16" thickBot="1">
      <c r="A6" s="5" t="s">
        <v>1</v>
      </c>
      <c r="E6" s="23" t="s">
        <v>82</v>
      </c>
    </row>
    <row r="7" spans="1:9" ht="16" thickBot="1">
      <c r="A7" s="402" t="s">
        <v>180</v>
      </c>
      <c r="B7" s="403" t="s">
        <v>721</v>
      </c>
      <c r="C7" s="404" t="s">
        <v>722</v>
      </c>
      <c r="E7" s="19" t="s">
        <v>430</v>
      </c>
      <c r="F7" s="20" t="s">
        <v>260</v>
      </c>
      <c r="G7" s="82" t="s">
        <v>431</v>
      </c>
    </row>
    <row r="8" spans="1:9" ht="16" thickBot="1">
      <c r="A8" s="405" t="s">
        <v>428</v>
      </c>
      <c r="B8" s="218">
        <v>0.6</v>
      </c>
      <c r="C8" s="223">
        <v>0.4</v>
      </c>
      <c r="E8" s="410" t="str">
        <f>IF(ABS(SUM($B$8:$C$8)-1)&gt;0.01,"Probabilities do not sum to 1","")</f>
        <v/>
      </c>
      <c r="F8" s="17"/>
      <c r="G8" s="45"/>
    </row>
    <row r="9" spans="1:9" ht="16" thickTop="1">
      <c r="A9" s="406" t="s">
        <v>718</v>
      </c>
      <c r="B9" s="7">
        <v>200000</v>
      </c>
      <c r="C9" s="11">
        <v>-180000</v>
      </c>
      <c r="E9" s="18">
        <f>SUMPRODUCT($B$8:$C$8,B9:C9)</f>
        <v>48000</v>
      </c>
      <c r="F9" s="17">
        <f>MIN(B9:C9)</f>
        <v>-180000</v>
      </c>
      <c r="G9" s="45">
        <f>MAX(B9:C9)</f>
        <v>200000</v>
      </c>
    </row>
    <row r="10" spans="1:9">
      <c r="A10" s="406" t="s">
        <v>719</v>
      </c>
      <c r="B10" s="7">
        <v>100000</v>
      </c>
      <c r="C10" s="11">
        <v>-20000</v>
      </c>
      <c r="E10" s="18">
        <f>SUMPRODUCT($B$8:$C$8,B10:C10)</f>
        <v>52000</v>
      </c>
      <c r="F10" s="17">
        <f>MIN(B10:C10)</f>
        <v>-20000</v>
      </c>
      <c r="G10" s="45">
        <f>MAX(B10:C10)</f>
        <v>100000</v>
      </c>
    </row>
    <row r="11" spans="1:9" ht="16" thickBot="1">
      <c r="A11" s="407" t="s">
        <v>720</v>
      </c>
      <c r="B11" s="40">
        <v>0</v>
      </c>
      <c r="C11" s="13">
        <v>0</v>
      </c>
      <c r="E11" s="226">
        <f>SUMPRODUCT($B$8:$C$8,B11:C11)</f>
        <v>0</v>
      </c>
      <c r="F11" s="98">
        <f>MIN(B11:C11)</f>
        <v>0</v>
      </c>
      <c r="G11" s="99">
        <f>MAX(B11:C11)</f>
        <v>0</v>
      </c>
    </row>
    <row r="12" spans="1:9" ht="16" thickBot="1">
      <c r="D12" s="21" t="s">
        <v>431</v>
      </c>
      <c r="E12" s="408">
        <f>MAX(E9:E11)</f>
        <v>52000</v>
      </c>
      <c r="F12" s="408">
        <f>MAX(F9:F11)</f>
        <v>0</v>
      </c>
      <c r="G12" s="409">
        <f>MAX(G9:G11)</f>
        <v>200000</v>
      </c>
    </row>
    <row r="14" spans="1:9" ht="16" thickBot="1">
      <c r="A14" s="23" t="s">
        <v>432</v>
      </c>
    </row>
    <row r="15" spans="1:9">
      <c r="A15" s="2" t="s">
        <v>433</v>
      </c>
      <c r="B15" s="2">
        <f>MAX(B9:B11)</f>
        <v>200000</v>
      </c>
      <c r="C15" s="2">
        <f>MAX(C9:C11)</f>
        <v>0</v>
      </c>
      <c r="D15" s="29"/>
      <c r="E15" s="30">
        <f>SUMPRODUCT($B$8:$C$8,B15:C15)</f>
        <v>120000</v>
      </c>
      <c r="F15" s="30" t="s">
        <v>716</v>
      </c>
      <c r="G15" s="30"/>
      <c r="H15" s="30"/>
      <c r="I15" s="68"/>
    </row>
    <row r="16" spans="1:9">
      <c r="D16" s="28"/>
      <c r="E16" s="27">
        <f>E12</f>
        <v>52000</v>
      </c>
      <c r="F16" s="27" t="s">
        <v>435</v>
      </c>
      <c r="G16" s="27"/>
      <c r="H16" s="27"/>
      <c r="I16" s="35"/>
    </row>
    <row r="17" spans="4:9" ht="16" thickBot="1">
      <c r="D17" s="31"/>
      <c r="E17" s="32">
        <f>E15-E12</f>
        <v>68000</v>
      </c>
      <c r="F17" s="32" t="s">
        <v>717</v>
      </c>
      <c r="G17" s="32"/>
      <c r="H17" s="32"/>
      <c r="I17" s="36"/>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 enableFormatConditionsCalculation="0"/>
  <dimension ref="A1:M29"/>
  <sheetViews>
    <sheetView workbookViewId="0">
      <selection activeCell="D23" sqref="D23"/>
    </sheetView>
  </sheetViews>
  <sheetFormatPr baseColWidth="10" defaultColWidth="8.6640625" defaultRowHeight="15" x14ac:dyDescent="0"/>
  <cols>
    <col min="1" max="1" width="30.83203125" style="135" customWidth="1"/>
    <col min="2" max="5" width="8.6640625" style="135"/>
    <col min="6" max="6" width="8.6640625" style="135" customWidth="1"/>
    <col min="7" max="7" width="8.6640625" style="135"/>
    <col min="8" max="9" width="8.6640625" style="135" customWidth="1"/>
    <col min="10" max="16384" width="8.6640625" style="135"/>
  </cols>
  <sheetData>
    <row r="1" spans="1:13" ht="18">
      <c r="A1" s="157" t="s">
        <v>723</v>
      </c>
    </row>
    <row r="3" spans="1:13" ht="18">
      <c r="A3" s="435" t="s">
        <v>723</v>
      </c>
      <c r="B3" s="421"/>
      <c r="C3" s="421"/>
      <c r="D3" s="421"/>
      <c r="E3" s="421"/>
      <c r="F3" s="421"/>
      <c r="G3" s="421"/>
      <c r="H3" s="421"/>
    </row>
    <row r="4" spans="1:13">
      <c r="A4" s="180"/>
      <c r="B4" s="180"/>
    </row>
    <row r="5" spans="1:13">
      <c r="B5" s="135" t="s">
        <v>724</v>
      </c>
    </row>
    <row r="6" spans="1:13">
      <c r="B6" s="392" t="s">
        <v>725</v>
      </c>
      <c r="C6" s="135" t="s">
        <v>726</v>
      </c>
    </row>
    <row r="7" spans="1:13">
      <c r="B7" s="411" t="s">
        <v>727</v>
      </c>
      <c r="C7" s="135" t="s">
        <v>728</v>
      </c>
    </row>
    <row r="8" spans="1:13">
      <c r="B8" s="392" t="s">
        <v>729</v>
      </c>
      <c r="C8" s="135" t="s">
        <v>730</v>
      </c>
    </row>
    <row r="10" spans="1:13" ht="16" thickBot="1">
      <c r="A10" s="181" t="s">
        <v>1</v>
      </c>
      <c r="G10" s="412" t="s">
        <v>82</v>
      </c>
      <c r="J10" s="135" t="s">
        <v>731</v>
      </c>
    </row>
    <row r="11" spans="1:13">
      <c r="A11" s="413"/>
      <c r="B11" s="414" t="s">
        <v>750</v>
      </c>
      <c r="C11" s="414" t="s">
        <v>749</v>
      </c>
      <c r="D11" s="415"/>
      <c r="E11" s="416"/>
      <c r="G11" s="424" t="s">
        <v>732</v>
      </c>
      <c r="H11" s="427" t="s">
        <v>733</v>
      </c>
    </row>
    <row r="12" spans="1:13">
      <c r="A12" s="434" t="s">
        <v>748</v>
      </c>
      <c r="B12" s="201">
        <v>2500</v>
      </c>
      <c r="C12" s="201">
        <v>3000</v>
      </c>
      <c r="D12" s="417" t="s">
        <v>735</v>
      </c>
      <c r="E12" s="418" t="s">
        <v>736</v>
      </c>
      <c r="G12" s="423">
        <f>SUMPRODUCT(B12:C12,$B$18:$C$18)</f>
        <v>0</v>
      </c>
      <c r="H12" s="428"/>
      <c r="J12" s="419" t="s">
        <v>737</v>
      </c>
      <c r="K12" s="419"/>
      <c r="L12" s="420" t="s">
        <v>738</v>
      </c>
      <c r="M12" s="420"/>
    </row>
    <row r="13" spans="1:13">
      <c r="A13" s="434" t="s">
        <v>740</v>
      </c>
      <c r="B13" s="201"/>
      <c r="C13" s="201">
        <v>0</v>
      </c>
      <c r="D13" s="201" t="s">
        <v>729</v>
      </c>
      <c r="E13" s="185">
        <v>30</v>
      </c>
      <c r="G13" s="423">
        <f>SUMPRODUCT(B13:C13,$B$18:$C$18)</f>
        <v>0</v>
      </c>
      <c r="H13" s="428">
        <f>E13-G13</f>
        <v>30</v>
      </c>
      <c r="I13" s="135" t="str">
        <f>A13</f>
        <v>Constraint 1</v>
      </c>
      <c r="J13" s="207">
        <f>IF($D13&lt;&gt;$B$8,G13,0)</f>
        <v>0</v>
      </c>
      <c r="K13" s="207">
        <f>IF($D13&lt;&gt;$B$8,E13,0)</f>
        <v>0</v>
      </c>
      <c r="L13" s="207">
        <f>IF($D13&lt;&gt;$B$6,G13,0)</f>
        <v>0</v>
      </c>
      <c r="M13" s="207">
        <f>IF($D13&lt;&gt;$B$6,E13,0)</f>
        <v>30</v>
      </c>
    </row>
    <row r="14" spans="1:13">
      <c r="A14" s="434" t="s">
        <v>741</v>
      </c>
      <c r="B14" s="201">
        <v>0</v>
      </c>
      <c r="C14" s="201"/>
      <c r="D14" s="201" t="s">
        <v>729</v>
      </c>
      <c r="E14" s="185">
        <v>20</v>
      </c>
      <c r="G14" s="423">
        <f>SUMPRODUCT(B14:C14,$B$18:$C$18)</f>
        <v>0</v>
      </c>
      <c r="H14" s="428">
        <f>E14-G14</f>
        <v>20</v>
      </c>
      <c r="I14" s="135" t="str">
        <f>A14</f>
        <v>Constraint 2</v>
      </c>
      <c r="J14" s="207">
        <f>IF($D14&lt;&gt;$B$8,G14,0)</f>
        <v>0</v>
      </c>
      <c r="K14" s="207">
        <f>IF($D14&lt;&gt;$B$8,E14,0)</f>
        <v>0</v>
      </c>
      <c r="L14" s="207">
        <f>IF($D14&lt;&gt;$B$6,G14,0)</f>
        <v>0</v>
      </c>
      <c r="M14" s="207">
        <f>IF($D14&lt;&gt;$B$6,E14,0)</f>
        <v>20</v>
      </c>
    </row>
    <row r="15" spans="1:13" ht="16" thickBot="1">
      <c r="A15" s="186" t="s">
        <v>742</v>
      </c>
      <c r="B15" s="375"/>
      <c r="C15" s="375"/>
      <c r="D15" s="375" t="s">
        <v>729</v>
      </c>
      <c r="E15" s="187">
        <v>60</v>
      </c>
      <c r="G15" s="425">
        <f>SUMPRODUCT(B15:C15,$B$18:$C$18)</f>
        <v>0</v>
      </c>
      <c r="H15" s="429">
        <f>E15-G15</f>
        <v>60</v>
      </c>
      <c r="I15" s="135" t="str">
        <f>A15</f>
        <v>Constraint 3</v>
      </c>
      <c r="J15" s="207">
        <f>IF($D15&lt;&gt;$B$8,G15,0)</f>
        <v>0</v>
      </c>
      <c r="K15" s="207">
        <f>IF($D15&lt;&gt;$B$8,E15,0)</f>
        <v>0</v>
      </c>
      <c r="L15" s="207">
        <f>IF($D15&lt;&gt;$B$6,G15,0)</f>
        <v>0</v>
      </c>
      <c r="M15" s="207">
        <f>IF($D15&lt;&gt;$B$6,E15,0)</f>
        <v>60</v>
      </c>
    </row>
    <row r="17" spans="1:9" ht="16" thickBot="1">
      <c r="A17" s="412" t="s">
        <v>82</v>
      </c>
    </row>
    <row r="18" spans="1:9">
      <c r="A18" s="209" t="s">
        <v>739</v>
      </c>
      <c r="B18" s="377">
        <v>0</v>
      </c>
      <c r="C18" s="377">
        <v>0</v>
      </c>
      <c r="D18" s="377"/>
      <c r="E18" s="210"/>
    </row>
    <row r="19" spans="1:9" ht="16" thickBot="1">
      <c r="A19" s="188" t="s">
        <v>619</v>
      </c>
      <c r="B19" s="387"/>
      <c r="C19" s="387"/>
      <c r="D19" s="387"/>
      <c r="E19" s="388">
        <f>G12</f>
        <v>0</v>
      </c>
    </row>
    <row r="21" spans="1:9">
      <c r="A21" s="135" t="s">
        <v>143</v>
      </c>
      <c r="B21" s="135" t="s">
        <v>743</v>
      </c>
    </row>
    <row r="22" spans="1:9">
      <c r="B22" s="135" t="s">
        <v>744</v>
      </c>
    </row>
    <row r="23" spans="1:9">
      <c r="C23" s="433" t="s">
        <v>745</v>
      </c>
      <c r="D23" s="433"/>
      <c r="E23" s="433"/>
      <c r="F23" s="433"/>
      <c r="G23" s="433"/>
      <c r="H23" s="433"/>
      <c r="I23" s="433"/>
    </row>
    <row r="24" spans="1:9">
      <c r="B24" s="135" t="s">
        <v>746</v>
      </c>
    </row>
    <row r="26" spans="1:9">
      <c r="A26" s="135" t="s">
        <v>734</v>
      </c>
      <c r="B26" s="135" t="str">
        <f>B12&amp;"x+"&amp;C12&amp;"y"</f>
        <v>2500x+3000y</v>
      </c>
    </row>
    <row r="27" spans="1:9">
      <c r="A27" s="135" t="s">
        <v>747</v>
      </c>
      <c r="B27" s="135" t="str">
        <f>B13&amp;"x+"&amp;C13&amp;"y"&amp;D13&amp;"="&amp;E13</f>
        <v>x+0y&gt;=30</v>
      </c>
    </row>
    <row r="28" spans="1:9">
      <c r="B28" s="135" t="str">
        <f>B14&amp;"x+"&amp;C14&amp;"y"&amp;D14&amp;"="&amp;E14</f>
        <v>0x+y&gt;=20</v>
      </c>
    </row>
    <row r="29" spans="1:9">
      <c r="B29" s="135" t="str">
        <f>B15&amp;"x+"&amp;C15&amp;"y"&amp;D15&amp;"="&amp;E15</f>
        <v>x+y&gt;=60</v>
      </c>
    </row>
  </sheetData>
  <phoneticPr fontId="59" type="noConversion"/>
  <hyperlinks>
    <hyperlink ref="C23:I23" r:id="rId1" display="http://www.zweigmedia.com/utilities/lpg/index.html?lang=en"/>
  </hyperlinks>
  <printOptions gridLines="1" gridLinesSet="0"/>
  <pageMargins left="0.75" right="0.75" top="1" bottom="1" header="0.5" footer="0.5"/>
  <pageSetup orientation="landscape" horizontalDpi="4294967292" verticalDpi="4294967292"/>
  <headerFooter alignWithMargins="0">
    <oddHeader>&amp;A</oddHeader>
    <oddFooter>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29027" r:id="rId4" name="solverButton">
              <controlPr defaultSize="0" print="0" autoFill="0" autoPict="0" macro="[2]!CallSolver">
                <anchor moveWithCells="1" sizeWithCells="1">
                  <from>
                    <xdr:col>0</xdr:col>
                    <xdr:colOff>63500</xdr:colOff>
                    <xdr:row>1</xdr:row>
                    <xdr:rowOff>0</xdr:rowOff>
                  </from>
                  <to>
                    <xdr:col>0</xdr:col>
                    <xdr:colOff>1587500</xdr:colOff>
                    <xdr:row>2</xdr:row>
                    <xdr:rowOff>38100</xdr:rowOff>
                  </to>
                </anchor>
              </controlPr>
            </control>
          </mc:Choice>
          <mc:Fallback/>
        </mc:AlternateContent>
        <mc:AlternateContent xmlns:mc="http://schemas.openxmlformats.org/markup-compatibility/2006">
          <mc:Choice Requires="x14">
            <control shapeId="129028" r:id="rId5" name="solverHelpButton">
              <controlPr defaultSize="0" print="0" autoFill="0" autoPict="0" macro="[2]!SolverHelp">
                <anchor moveWithCells="1" sizeWithCells="1">
                  <from>
                    <xdr:col>0</xdr:col>
                    <xdr:colOff>1651000</xdr:colOff>
                    <xdr:row>1</xdr:row>
                    <xdr:rowOff>0</xdr:rowOff>
                  </from>
                  <to>
                    <xdr:col>2</xdr:col>
                    <xdr:colOff>165100</xdr:colOff>
                    <xdr:row>2</xdr:row>
                    <xdr:rowOff>38100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enableFormatConditionsCalculation="0"/>
  <dimension ref="A1:I23"/>
  <sheetViews>
    <sheetView zoomScale="90" zoomScaleNormal="90" zoomScalePageLayoutView="90" workbookViewId="0">
      <selection activeCell="E17" sqref="E17"/>
    </sheetView>
  </sheetViews>
  <sheetFormatPr baseColWidth="10" defaultColWidth="8.6640625" defaultRowHeight="15" x14ac:dyDescent="0"/>
  <cols>
    <col min="1" max="1" width="15.6640625" style="253" bestFit="1" customWidth="1"/>
    <col min="2" max="16384" width="8.6640625" style="253"/>
  </cols>
  <sheetData>
    <row r="1" spans="1:9" ht="18">
      <c r="A1" s="290" t="s">
        <v>752</v>
      </c>
    </row>
    <row r="3" spans="1:9" ht="18">
      <c r="A3" s="289" t="s">
        <v>752</v>
      </c>
      <c r="B3" s="288"/>
      <c r="C3" s="288"/>
      <c r="D3" s="288"/>
      <c r="E3" s="288"/>
      <c r="F3" s="288"/>
      <c r="G3" s="288"/>
      <c r="H3" s="288"/>
      <c r="I3" s="288"/>
    </row>
    <row r="4" spans="1:9">
      <c r="A4" s="437"/>
      <c r="B4" s="437"/>
      <c r="C4" s="437"/>
    </row>
    <row r="8" spans="1:9" ht="16" thickBot="1">
      <c r="A8" s="256" t="s">
        <v>1</v>
      </c>
      <c r="B8" s="436" t="str">
        <f>IF(SUM(B13:D13)&gt;SUM(E10:E12),"Demand is greater than supply! Recreate this model with an extra (dummy) row that has a supply equal to the difference between total supply and total demand.","")</f>
        <v/>
      </c>
      <c r="C8" s="436"/>
    </row>
    <row r="9" spans="1:9">
      <c r="A9" s="257" t="s">
        <v>469</v>
      </c>
      <c r="B9" s="258" t="s">
        <v>253</v>
      </c>
      <c r="C9" s="258" t="s">
        <v>254</v>
      </c>
      <c r="D9" s="258" t="s">
        <v>255</v>
      </c>
      <c r="E9" s="259" t="s">
        <v>751</v>
      </c>
    </row>
    <row r="10" spans="1:9">
      <c r="A10" s="260" t="s">
        <v>256</v>
      </c>
      <c r="B10" s="438">
        <v>5</v>
      </c>
      <c r="C10" s="438"/>
      <c r="D10" s="438"/>
      <c r="E10" s="262"/>
    </row>
    <row r="11" spans="1:9">
      <c r="A11" s="260" t="s">
        <v>257</v>
      </c>
      <c r="B11" s="438">
        <v>8</v>
      </c>
      <c r="C11" s="438">
        <v>4</v>
      </c>
      <c r="D11" s="438"/>
      <c r="E11" s="262"/>
    </row>
    <row r="12" spans="1:9">
      <c r="A12" s="260" t="s">
        <v>258</v>
      </c>
      <c r="B12" s="438"/>
      <c r="C12" s="438">
        <v>7</v>
      </c>
      <c r="D12" s="438">
        <v>5</v>
      </c>
      <c r="E12" s="262"/>
    </row>
    <row r="13" spans="1:9" ht="16" thickBot="1">
      <c r="A13" s="263" t="s">
        <v>3</v>
      </c>
      <c r="B13" s="264"/>
      <c r="C13" s="264"/>
      <c r="D13" s="264"/>
      <c r="E13" s="266" t="str">
        <f>CONCATENATE(SUM(B13:D13)," \ ",SUM(E10:E12))</f>
        <v>0 \ 0</v>
      </c>
    </row>
    <row r="15" spans="1:9" ht="16" thickBot="1">
      <c r="A15" s="271"/>
      <c r="B15" s="271" t="s">
        <v>753</v>
      </c>
      <c r="C15" s="271"/>
      <c r="D15" s="271"/>
      <c r="E15" s="271"/>
    </row>
    <row r="16" spans="1:9" ht="16" thickBot="1">
      <c r="A16" s="272" t="s">
        <v>550</v>
      </c>
      <c r="B16" s="441" t="str">
        <f>B9</f>
        <v>A</v>
      </c>
      <c r="C16" s="441" t="str">
        <f>C9</f>
        <v>B</v>
      </c>
      <c r="D16" s="441" t="str">
        <f>D9</f>
        <v>C</v>
      </c>
      <c r="E16" s="274" t="s">
        <v>485</v>
      </c>
      <c r="F16" s="269" t="s">
        <v>29</v>
      </c>
    </row>
    <row r="17" spans="1:6">
      <c r="A17" s="439" t="str">
        <f>A10</f>
        <v>D</v>
      </c>
      <c r="B17" s="272">
        <v>100</v>
      </c>
      <c r="C17" s="273">
        <v>0</v>
      </c>
      <c r="D17" s="274">
        <v>0</v>
      </c>
      <c r="E17" s="440">
        <f>SUM(B17:D17)</f>
        <v>100</v>
      </c>
      <c r="F17" s="269"/>
    </row>
    <row r="18" spans="1:6">
      <c r="A18" s="439" t="str">
        <f>A11</f>
        <v>E</v>
      </c>
      <c r="B18" s="275">
        <v>200</v>
      </c>
      <c r="C18" s="276">
        <v>100</v>
      </c>
      <c r="D18" s="277">
        <v>0</v>
      </c>
      <c r="E18" s="440">
        <f>SUM(B18:D18)</f>
        <v>300</v>
      </c>
      <c r="F18" s="269"/>
    </row>
    <row r="19" spans="1:6" ht="16" thickBot="1">
      <c r="A19" s="439" t="str">
        <f>A12</f>
        <v>F</v>
      </c>
      <c r="B19" s="278">
        <v>0</v>
      </c>
      <c r="C19" s="279">
        <v>100</v>
      </c>
      <c r="D19" s="280">
        <v>200</v>
      </c>
      <c r="E19" s="440">
        <f>SUM(B19:D19)</f>
        <v>300</v>
      </c>
      <c r="F19" s="269"/>
    </row>
    <row r="20" spans="1:6" ht="16" thickBot="1">
      <c r="A20" s="278" t="s">
        <v>470</v>
      </c>
      <c r="B20" s="442">
        <f>SUM(B17:B19)</f>
        <v>300</v>
      </c>
      <c r="C20" s="442">
        <f>SUM(C17:C19)</f>
        <v>200</v>
      </c>
      <c r="D20" s="442">
        <f>SUM(D17:D19)</f>
        <v>200</v>
      </c>
      <c r="E20" s="280" t="str">
        <f>CONCATENATE(INT(SUM(B20:D20)+0.5)," \ ",INT(SUM(E17:E19)+0.5))</f>
        <v>700 \ 700</v>
      </c>
      <c r="F20" s="269"/>
    </row>
    <row r="21" spans="1:6" ht="16" thickBot="1">
      <c r="A21" s="254" t="s">
        <v>29</v>
      </c>
      <c r="B21" s="254"/>
      <c r="C21" s="254"/>
      <c r="D21" s="254"/>
      <c r="E21" s="254"/>
    </row>
    <row r="22" spans="1:6" ht="16" thickBot="1">
      <c r="A22" s="282" t="s">
        <v>468</v>
      </c>
      <c r="B22" s="283">
        <f>SUMPRODUCT(B10:D12,B17:D19)</f>
        <v>4200</v>
      </c>
      <c r="C22" s="255"/>
      <c r="D22" s="254"/>
      <c r="E22" s="254"/>
    </row>
    <row r="23" spans="1:6">
      <c r="A23" s="281"/>
      <c r="B23" s="281"/>
    </row>
  </sheetData>
  <conditionalFormatting sqref="B17:D19">
    <cfRule type="cellIs" dxfId="0" priority="1" stopIfTrue="1" operator="equal">
      <formula>0</formula>
    </cfRule>
  </conditionalFormatting>
  <printOptions gridLines="1" gridLinesSet="0"/>
  <pageMargins left="0.75" right="0.75" top="1" bottom="1" header="0.5" footer="0.5"/>
  <headerFooter alignWithMargins="0">
    <oddHeader>&amp;A</oddHeader>
    <oddFooter>Page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0051" r:id="rId3" name="Button 3">
              <controlPr defaultSize="0" print="0" autoFill="0" autoPict="0" macro="[2]!NWcorner">
                <anchor moveWithCells="1" sizeWithCells="1">
                  <from>
                    <xdr:col>0</xdr:col>
                    <xdr:colOff>0</xdr:colOff>
                    <xdr:row>1</xdr:row>
                    <xdr:rowOff>25400</xdr:rowOff>
                  </from>
                  <to>
                    <xdr:col>1</xdr:col>
                    <xdr:colOff>76200</xdr:colOff>
                    <xdr:row>2</xdr:row>
                    <xdr:rowOff>25400</xdr:rowOff>
                  </to>
                </anchor>
              </controlPr>
            </control>
          </mc:Choice>
          <mc:Fallback/>
        </mc:AlternateContent>
        <mc:AlternateContent xmlns:mc="http://schemas.openxmlformats.org/markup-compatibility/2006">
          <mc:Choice Requires="x14">
            <control shapeId="130052" r:id="rId4" name="Button 4">
              <controlPr defaultSize="0" print="0" autoFill="0" autoPict="0" macro="[2]!Vogel">
                <anchor moveWithCells="1" sizeWithCells="1">
                  <from>
                    <xdr:col>0</xdr:col>
                    <xdr:colOff>0</xdr:colOff>
                    <xdr:row>2</xdr:row>
                    <xdr:rowOff>25400</xdr:rowOff>
                  </from>
                  <to>
                    <xdr:col>1</xdr:col>
                    <xdr:colOff>76200</xdr:colOff>
                    <xdr:row>2</xdr:row>
                    <xdr:rowOff>215900</xdr:rowOff>
                  </to>
                </anchor>
              </controlPr>
            </control>
          </mc:Choice>
          <mc:Fallback/>
        </mc:AlternateContent>
        <mc:AlternateContent xmlns:mc="http://schemas.openxmlformats.org/markup-compatibility/2006">
          <mc:Choice Requires="x14">
            <control shapeId="130053" r:id="rId5" name="Button 5">
              <controlPr defaultSize="0" print="0" autoFill="0" autoPict="0" macro="[2]!Mincost">
                <anchor moveWithCells="1" sizeWithCells="1">
                  <from>
                    <xdr:col>0</xdr:col>
                    <xdr:colOff>0</xdr:colOff>
                    <xdr:row>2</xdr:row>
                    <xdr:rowOff>215900</xdr:rowOff>
                  </from>
                  <to>
                    <xdr:col>1</xdr:col>
                    <xdr:colOff>76200</xdr:colOff>
                    <xdr:row>3</xdr:row>
                    <xdr:rowOff>177800</xdr:rowOff>
                  </to>
                </anchor>
              </controlPr>
            </control>
          </mc:Choice>
          <mc:Fallback/>
        </mc:AlternateContent>
        <mc:AlternateContent xmlns:mc="http://schemas.openxmlformats.org/markup-compatibility/2006">
          <mc:Choice Requires="x14">
            <control shapeId="130054" r:id="rId6" name="solverButton">
              <controlPr defaultSize="0" print="0" autoFill="0" autoPict="0" macro="[2]!CallSolver">
                <anchor moveWithCells="1" sizeWithCells="1">
                  <from>
                    <xdr:col>2</xdr:col>
                    <xdr:colOff>0</xdr:colOff>
                    <xdr:row>0</xdr:row>
                    <xdr:rowOff>0</xdr:rowOff>
                  </from>
                  <to>
                    <xdr:col>4</xdr:col>
                    <xdr:colOff>203200</xdr:colOff>
                    <xdr:row>1</xdr:row>
                    <xdr:rowOff>0</xdr:rowOff>
                  </to>
                </anchor>
              </controlPr>
            </control>
          </mc:Choice>
          <mc:Fallback/>
        </mc:AlternateContent>
        <mc:AlternateContent xmlns:mc="http://schemas.openxmlformats.org/markup-compatibility/2006">
          <mc:Choice Requires="x14">
            <control shapeId="130055" r:id="rId7" name="solverHelpButton">
              <controlPr defaultSize="0" print="0" autoFill="0" autoPict="0" macro="[2]!SolverHelp">
                <anchor moveWithCells="1" sizeWithCells="1">
                  <from>
                    <xdr:col>2</xdr:col>
                    <xdr:colOff>0</xdr:colOff>
                    <xdr:row>1</xdr:row>
                    <xdr:rowOff>0</xdr:rowOff>
                  </from>
                  <to>
                    <xdr:col>4</xdr:col>
                    <xdr:colOff>203200</xdr:colOff>
                    <xdr:row>2</xdr:row>
                    <xdr:rowOff>38100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0"/>
  <sheetViews>
    <sheetView workbookViewId="0">
      <selection activeCell="E7" sqref="E7"/>
    </sheetView>
  </sheetViews>
  <sheetFormatPr baseColWidth="10" defaultRowHeight="15" x14ac:dyDescent="0"/>
  <cols>
    <col min="1" max="1" width="20.83203125" style="2" customWidth="1"/>
    <col min="2" max="2" width="10.83203125" style="2"/>
    <col min="3" max="3" width="29.1640625" style="2" bestFit="1" customWidth="1"/>
    <col min="4" max="4" width="40.5" style="2" bestFit="1" customWidth="1"/>
    <col min="5" max="16384" width="10.83203125" style="2"/>
  </cols>
  <sheetData>
    <row r="1" spans="1:8" ht="18">
      <c r="A1" s="39" t="s">
        <v>769</v>
      </c>
    </row>
    <row r="3" spans="1:8" ht="18">
      <c r="A3" s="3" t="s">
        <v>754</v>
      </c>
      <c r="B3" s="3"/>
      <c r="C3" s="3" t="s">
        <v>755</v>
      </c>
      <c r="D3" s="3"/>
      <c r="E3" s="3"/>
      <c r="F3" s="3"/>
      <c r="G3" s="3"/>
      <c r="H3" s="3"/>
    </row>
    <row r="4" spans="1:8">
      <c r="A4" s="1"/>
      <c r="B4" s="1"/>
    </row>
    <row r="6" spans="1:8" ht="16" thickBot="1">
      <c r="A6" s="5" t="s">
        <v>1</v>
      </c>
      <c r="D6" s="23" t="s">
        <v>82</v>
      </c>
    </row>
    <row r="7" spans="1:8" ht="16">
      <c r="A7" s="8" t="s">
        <v>756</v>
      </c>
      <c r="B7" s="85">
        <v>2</v>
      </c>
      <c r="D7" s="29" t="s">
        <v>760</v>
      </c>
      <c r="E7" s="68">
        <f>B7/B8</f>
        <v>0.66666666666666663</v>
      </c>
    </row>
    <row r="8" spans="1:8" ht="17">
      <c r="A8" s="10" t="s">
        <v>757</v>
      </c>
      <c r="B8" s="11">
        <v>3</v>
      </c>
      <c r="D8" s="28" t="s">
        <v>761</v>
      </c>
      <c r="E8" s="35">
        <f>B7^2/(B8*(B8-B7))</f>
        <v>1.3333333333333333</v>
      </c>
    </row>
    <row r="9" spans="1:8" ht="18" thickBot="1">
      <c r="A9" s="12" t="s">
        <v>758</v>
      </c>
      <c r="B9" s="459">
        <v>1</v>
      </c>
      <c r="D9" s="28" t="s">
        <v>762</v>
      </c>
      <c r="E9" s="35">
        <f>B7/(B8-B7)</f>
        <v>2</v>
      </c>
    </row>
    <row r="10" spans="1:8" ht="17">
      <c r="D10" s="28" t="s">
        <v>763</v>
      </c>
      <c r="E10" s="35">
        <f>B7/(B8*(B8-B7))</f>
        <v>0.66666666666666663</v>
      </c>
    </row>
    <row r="11" spans="1:8" ht="17">
      <c r="D11" s="28" t="s">
        <v>764</v>
      </c>
      <c r="E11" s="35">
        <f>1/(B8-B7)</f>
        <v>1</v>
      </c>
    </row>
    <row r="12" spans="1:8" ht="18" thickBot="1">
      <c r="D12" s="31" t="s">
        <v>765</v>
      </c>
      <c r="E12" s="36">
        <f>1 - E7</f>
        <v>0.33333333333333337</v>
      </c>
    </row>
    <row r="13" spans="1:8">
      <c r="A13" s="15" t="str">
        <f>IF(B7&gt;=B8,"The service rate must be greater than the arrival rate","")</f>
        <v/>
      </c>
    </row>
    <row r="16" spans="1:8" s="54" customFormat="1"/>
    <row r="17" spans="1:3" ht="16" thickBot="1">
      <c r="A17" s="23" t="s">
        <v>768</v>
      </c>
    </row>
    <row r="18" spans="1:3">
      <c r="A18" s="29" t="s">
        <v>766</v>
      </c>
      <c r="B18" s="30" t="s">
        <v>428</v>
      </c>
      <c r="C18" s="68" t="s">
        <v>767</v>
      </c>
    </row>
    <row r="19" spans="1:3">
      <c r="A19" s="28">
        <v>0</v>
      </c>
      <c r="B19" s="444">
        <f>1-B7/B8</f>
        <v>0.33333333333333337</v>
      </c>
      <c r="C19" s="446">
        <f>1-B7/B8</f>
        <v>0.33333333333333337</v>
      </c>
    </row>
    <row r="20" spans="1:3">
      <c r="A20" s="28">
        <f>A19+1</f>
        <v>1</v>
      </c>
      <c r="B20" s="444">
        <f>B19*B$7/B$8</f>
        <v>0.22222222222222224</v>
      </c>
      <c r="C20" s="446">
        <f>C19+B20</f>
        <v>0.55555555555555558</v>
      </c>
    </row>
    <row r="21" spans="1:3">
      <c r="A21" s="28">
        <f t="shared" ref="A21:A39" si="0">A20+1</f>
        <v>2</v>
      </c>
      <c r="B21" s="444">
        <f t="shared" ref="B21:B39" si="1">B20*B$7/B$8</f>
        <v>0.14814814814814817</v>
      </c>
      <c r="C21" s="446">
        <f t="shared" ref="C21:C39" si="2">C20+B21</f>
        <v>0.70370370370370372</v>
      </c>
    </row>
    <row r="22" spans="1:3">
      <c r="A22" s="28">
        <f t="shared" si="0"/>
        <v>3</v>
      </c>
      <c r="B22" s="444">
        <f t="shared" si="1"/>
        <v>9.876543209876544E-2</v>
      </c>
      <c r="C22" s="446">
        <f t="shared" si="2"/>
        <v>0.80246913580246915</v>
      </c>
    </row>
    <row r="23" spans="1:3">
      <c r="A23" s="28">
        <f t="shared" si="0"/>
        <v>4</v>
      </c>
      <c r="B23" s="444">
        <f t="shared" si="1"/>
        <v>6.584362139917696E-2</v>
      </c>
      <c r="C23" s="446">
        <f t="shared" si="2"/>
        <v>0.86831275720164613</v>
      </c>
    </row>
    <row r="24" spans="1:3">
      <c r="A24" s="28">
        <f t="shared" si="0"/>
        <v>5</v>
      </c>
      <c r="B24" s="444">
        <f t="shared" si="1"/>
        <v>4.3895747599451307E-2</v>
      </c>
      <c r="C24" s="446">
        <f t="shared" si="2"/>
        <v>0.9122085048010975</v>
      </c>
    </row>
    <row r="25" spans="1:3">
      <c r="A25" s="28">
        <f t="shared" si="0"/>
        <v>6</v>
      </c>
      <c r="B25" s="444">
        <f t="shared" si="1"/>
        <v>2.9263831732967538E-2</v>
      </c>
      <c r="C25" s="446">
        <f t="shared" si="2"/>
        <v>0.94147233653406504</v>
      </c>
    </row>
    <row r="26" spans="1:3">
      <c r="A26" s="28">
        <f t="shared" si="0"/>
        <v>7</v>
      </c>
      <c r="B26" s="444">
        <f t="shared" si="1"/>
        <v>1.9509221155311691E-2</v>
      </c>
      <c r="C26" s="446">
        <f t="shared" si="2"/>
        <v>0.96098155768937676</v>
      </c>
    </row>
    <row r="27" spans="1:3">
      <c r="A27" s="28">
        <f t="shared" si="0"/>
        <v>8</v>
      </c>
      <c r="B27" s="444">
        <f t="shared" si="1"/>
        <v>1.3006147436874461E-2</v>
      </c>
      <c r="C27" s="446">
        <f t="shared" si="2"/>
        <v>0.97398770512625121</v>
      </c>
    </row>
    <row r="28" spans="1:3">
      <c r="A28" s="28">
        <f t="shared" si="0"/>
        <v>9</v>
      </c>
      <c r="B28" s="444">
        <f t="shared" si="1"/>
        <v>8.670764957916308E-3</v>
      </c>
      <c r="C28" s="446">
        <f t="shared" si="2"/>
        <v>0.98265847008416751</v>
      </c>
    </row>
    <row r="29" spans="1:3">
      <c r="A29" s="28">
        <f t="shared" si="0"/>
        <v>10</v>
      </c>
      <c r="B29" s="444">
        <f t="shared" si="1"/>
        <v>5.7805099719442053E-3</v>
      </c>
      <c r="C29" s="446">
        <f t="shared" si="2"/>
        <v>0.98843898005611175</v>
      </c>
    </row>
    <row r="30" spans="1:3">
      <c r="A30" s="28">
        <f t="shared" si="0"/>
        <v>11</v>
      </c>
      <c r="B30" s="444">
        <f t="shared" si="1"/>
        <v>3.8536733146294702E-3</v>
      </c>
      <c r="C30" s="446">
        <f t="shared" si="2"/>
        <v>0.99229265337074124</v>
      </c>
    </row>
    <row r="31" spans="1:3">
      <c r="A31" s="28">
        <f t="shared" si="0"/>
        <v>12</v>
      </c>
      <c r="B31" s="444">
        <f t="shared" si="1"/>
        <v>2.5691155430863136E-3</v>
      </c>
      <c r="C31" s="446">
        <f t="shared" si="2"/>
        <v>0.9948617689138276</v>
      </c>
    </row>
    <row r="32" spans="1:3">
      <c r="A32" s="28">
        <f t="shared" si="0"/>
        <v>13</v>
      </c>
      <c r="B32" s="444">
        <f t="shared" si="1"/>
        <v>1.7127436953908758E-3</v>
      </c>
      <c r="C32" s="446">
        <f t="shared" si="2"/>
        <v>0.99657451260921848</v>
      </c>
    </row>
    <row r="33" spans="1:3">
      <c r="A33" s="28">
        <f t="shared" si="0"/>
        <v>14</v>
      </c>
      <c r="B33" s="444">
        <f t="shared" si="1"/>
        <v>1.1418291302605838E-3</v>
      </c>
      <c r="C33" s="446">
        <f t="shared" si="2"/>
        <v>0.9977163417394791</v>
      </c>
    </row>
    <row r="34" spans="1:3">
      <c r="A34" s="28">
        <f t="shared" si="0"/>
        <v>15</v>
      </c>
      <c r="B34" s="444">
        <f t="shared" si="1"/>
        <v>7.6121942017372257E-4</v>
      </c>
      <c r="C34" s="446">
        <f t="shared" si="2"/>
        <v>0.9984775611596528</v>
      </c>
    </row>
    <row r="35" spans="1:3">
      <c r="A35" s="28">
        <f t="shared" si="0"/>
        <v>16</v>
      </c>
      <c r="B35" s="444">
        <f t="shared" si="1"/>
        <v>5.0747961344914838E-4</v>
      </c>
      <c r="C35" s="446">
        <f t="shared" si="2"/>
        <v>0.99898504077310191</v>
      </c>
    </row>
    <row r="36" spans="1:3">
      <c r="A36" s="28">
        <f t="shared" si="0"/>
        <v>17</v>
      </c>
      <c r="B36" s="444">
        <f t="shared" si="1"/>
        <v>3.3831974229943227E-4</v>
      </c>
      <c r="C36" s="446">
        <f t="shared" si="2"/>
        <v>0.99932336051540138</v>
      </c>
    </row>
    <row r="37" spans="1:3">
      <c r="A37" s="28">
        <f t="shared" si="0"/>
        <v>18</v>
      </c>
      <c r="B37" s="444">
        <f t="shared" si="1"/>
        <v>2.2554649486628819E-4</v>
      </c>
      <c r="C37" s="446">
        <f t="shared" si="2"/>
        <v>0.99954890701026766</v>
      </c>
    </row>
    <row r="38" spans="1:3">
      <c r="A38" s="28">
        <f t="shared" si="0"/>
        <v>19</v>
      </c>
      <c r="B38" s="444">
        <f t="shared" si="1"/>
        <v>1.503643299108588E-4</v>
      </c>
      <c r="C38" s="446">
        <f t="shared" si="2"/>
        <v>0.99969927134017855</v>
      </c>
    </row>
    <row r="39" spans="1:3" ht="16" thickBot="1">
      <c r="A39" s="31">
        <f t="shared" si="0"/>
        <v>20</v>
      </c>
      <c r="B39" s="445">
        <f t="shared" si="1"/>
        <v>1.002428866072392E-4</v>
      </c>
      <c r="C39" s="447">
        <f t="shared" si="2"/>
        <v>0.99979951422678581</v>
      </c>
    </row>
    <row r="40" spans="1:3">
      <c r="B40" s="443"/>
      <c r="C40" s="443"/>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69"/>
  <sheetViews>
    <sheetView zoomScale="95" zoomScaleNormal="95" zoomScalePageLayoutView="95" workbookViewId="0">
      <selection activeCell="G20" sqref="G20"/>
    </sheetView>
  </sheetViews>
  <sheetFormatPr baseColWidth="10" defaultRowHeight="15" x14ac:dyDescent="0"/>
  <cols>
    <col min="1" max="1" width="17.83203125" style="2" customWidth="1"/>
    <col min="2" max="2" width="10.33203125" style="2" bestFit="1" customWidth="1"/>
    <col min="3" max="3" width="10.5" style="2" customWidth="1"/>
    <col min="4" max="4" width="40.5" style="2" bestFit="1" customWidth="1"/>
    <col min="5" max="5" width="7.83203125" style="2" customWidth="1"/>
    <col min="6" max="16384" width="10.83203125" style="2"/>
  </cols>
  <sheetData>
    <row r="1" spans="1:17" ht="18">
      <c r="A1" s="39" t="s">
        <v>780</v>
      </c>
    </row>
    <row r="3" spans="1:17" ht="18">
      <c r="A3" s="3" t="s">
        <v>754</v>
      </c>
      <c r="B3" s="3"/>
      <c r="C3" s="3" t="s">
        <v>770</v>
      </c>
      <c r="D3" s="3"/>
      <c r="E3" s="3"/>
      <c r="F3" s="3"/>
      <c r="G3" s="3"/>
      <c r="H3" s="3"/>
    </row>
    <row r="4" spans="1:17" ht="16" thickBot="1">
      <c r="A4" s="1"/>
      <c r="B4" s="1"/>
      <c r="G4" s="87" t="s">
        <v>779</v>
      </c>
    </row>
    <row r="5" spans="1:17">
      <c r="H5" s="534" t="s">
        <v>758</v>
      </c>
      <c r="I5" s="535"/>
      <c r="J5" s="535"/>
      <c r="K5" s="535"/>
      <c r="L5" s="535"/>
      <c r="M5" s="535"/>
      <c r="N5" s="535"/>
      <c r="O5" s="535"/>
      <c r="P5" s="535"/>
      <c r="Q5" s="9"/>
    </row>
    <row r="6" spans="1:17" ht="16" thickBot="1">
      <c r="A6" s="5" t="s">
        <v>1</v>
      </c>
      <c r="D6" s="23" t="s">
        <v>82</v>
      </c>
      <c r="G6" s="448">
        <f>B9</f>
        <v>2</v>
      </c>
      <c r="H6" s="455">
        <v>1</v>
      </c>
      <c r="I6" s="456">
        <v>2</v>
      </c>
      <c r="J6" s="456">
        <v>3</v>
      </c>
      <c r="K6" s="456">
        <v>4</v>
      </c>
      <c r="L6" s="456">
        <v>5</v>
      </c>
      <c r="M6" s="456">
        <v>6</v>
      </c>
      <c r="N6" s="456">
        <v>7</v>
      </c>
      <c r="O6" s="456">
        <v>8</v>
      </c>
      <c r="P6" s="456">
        <v>9</v>
      </c>
      <c r="Q6" s="457">
        <v>10</v>
      </c>
    </row>
    <row r="7" spans="1:17" ht="16">
      <c r="A7" s="8" t="s">
        <v>756</v>
      </c>
      <c r="B7" s="85">
        <v>2</v>
      </c>
      <c r="D7" s="29" t="s">
        <v>760</v>
      </c>
      <c r="E7" s="68">
        <f>IF(B9*B8&gt;B7,B7/(B8*B9),"NA")</f>
        <v>0.33333333333333331</v>
      </c>
      <c r="G7" s="448">
        <f t="shared" ref="G7:G12" si="0">E7</f>
        <v>0.33333333333333331</v>
      </c>
      <c r="H7" s="449">
        <f t="dataTable" ref="H7:Q12" dt2D="0" dtr="1" r1="B9"/>
        <v>0.66666666666666663</v>
      </c>
      <c r="I7" s="450">
        <v>0.33333333333333331</v>
      </c>
      <c r="J7" s="450">
        <v>0.22222222222222221</v>
      </c>
      <c r="K7" s="450">
        <v>0.16666666666666666</v>
      </c>
      <c r="L7" s="450">
        <v>0.13333333333333333</v>
      </c>
      <c r="M7" s="450">
        <v>0.1111111111111111</v>
      </c>
      <c r="N7" s="450">
        <v>9.5238095238095233E-2</v>
      </c>
      <c r="O7" s="450">
        <v>8.3333333333333329E-2</v>
      </c>
      <c r="P7" s="450">
        <v>7.407407407407407E-2</v>
      </c>
      <c r="Q7" s="451">
        <v>6.6666666666666666E-2</v>
      </c>
    </row>
    <row r="8" spans="1:17" ht="17">
      <c r="A8" s="10" t="s">
        <v>757</v>
      </c>
      <c r="B8" s="11">
        <v>3</v>
      </c>
      <c r="D8" s="28" t="s">
        <v>761</v>
      </c>
      <c r="E8" s="35">
        <f>IF(B9*B8&gt;B7,VLOOKUP($B$9,$A$40:$G$61,7),"NA")</f>
        <v>8.3333333333333329E-2</v>
      </c>
      <c r="G8" s="448">
        <f t="shared" si="0"/>
        <v>8.3333333333333329E-2</v>
      </c>
      <c r="H8" s="452">
        <v>1.333333333333333</v>
      </c>
      <c r="I8" s="453">
        <v>8.3333333333333329E-2</v>
      </c>
      <c r="J8" s="453">
        <v>9.2915214866434361E-3</v>
      </c>
      <c r="K8" s="453">
        <v>1.0139416983523442E-3</v>
      </c>
      <c r="L8" s="453">
        <v>1.0001375189088497E-4</v>
      </c>
      <c r="M8" s="453">
        <v>8.803436861750827E-6</v>
      </c>
      <c r="N8" s="453">
        <v>6.9365423859373393E-7</v>
      </c>
      <c r="O8" s="453">
        <v>4.9273750799397311E-8</v>
      </c>
      <c r="P8" s="453">
        <v>3.1797994021559763E-9</v>
      </c>
      <c r="Q8" s="454">
        <v>1.8777160118805887E-10</v>
      </c>
    </row>
    <row r="9" spans="1:17" ht="18" thickBot="1">
      <c r="A9" s="12" t="s">
        <v>771</v>
      </c>
      <c r="B9" s="13">
        <v>2</v>
      </c>
      <c r="D9" s="28" t="s">
        <v>762</v>
      </c>
      <c r="E9" s="35">
        <f>IF(B9*B8&gt;B7,E8+B7/B8,"NA")</f>
        <v>0.75</v>
      </c>
      <c r="G9" s="448">
        <f t="shared" si="0"/>
        <v>0.75</v>
      </c>
      <c r="H9" s="452">
        <v>1.9999999999999996</v>
      </c>
      <c r="I9" s="453">
        <v>0.75</v>
      </c>
      <c r="J9" s="453">
        <v>0.6759581881533101</v>
      </c>
      <c r="K9" s="453">
        <v>0.66768060836501897</v>
      </c>
      <c r="L9" s="453">
        <v>0.66676668041855747</v>
      </c>
      <c r="M9" s="453">
        <v>0.66667547010352834</v>
      </c>
      <c r="N9" s="453">
        <v>0.66666736032090523</v>
      </c>
      <c r="O9" s="453">
        <v>0.66666671594041738</v>
      </c>
      <c r="P9" s="453">
        <v>0.66666666984646605</v>
      </c>
      <c r="Q9" s="454">
        <v>0.66666666685443821</v>
      </c>
    </row>
    <row r="10" spans="1:17" ht="17">
      <c r="D10" s="28" t="s">
        <v>763</v>
      </c>
      <c r="E10" s="35">
        <f>IF(B9*B8&gt;B7,E8/B7,"NA")</f>
        <v>4.1666666666666664E-2</v>
      </c>
      <c r="G10" s="448">
        <f t="shared" si="0"/>
        <v>4.1666666666666664E-2</v>
      </c>
      <c r="H10" s="452">
        <v>0.66666666666666652</v>
      </c>
      <c r="I10" s="453">
        <v>4.1666666666666664E-2</v>
      </c>
      <c r="J10" s="453">
        <v>4.6457607433217181E-3</v>
      </c>
      <c r="K10" s="453">
        <v>5.0697084917617212E-4</v>
      </c>
      <c r="L10" s="453">
        <v>5.0006875945442484E-5</v>
      </c>
      <c r="M10" s="453">
        <v>4.4017184308754135E-6</v>
      </c>
      <c r="N10" s="453">
        <v>3.4682711929686696E-7</v>
      </c>
      <c r="O10" s="453">
        <v>2.4636875399698656E-8</v>
      </c>
      <c r="P10" s="453">
        <v>1.5898997010779882E-9</v>
      </c>
      <c r="Q10" s="454">
        <v>9.3885800594029434E-11</v>
      </c>
    </row>
    <row r="11" spans="1:17" ht="17">
      <c r="D11" s="28" t="s">
        <v>764</v>
      </c>
      <c r="E11" s="35">
        <f>IF(B9*B8&gt;B7,E10+1/B8,"NA")</f>
        <v>0.375</v>
      </c>
      <c r="G11" s="448">
        <f t="shared" si="0"/>
        <v>0.375</v>
      </c>
      <c r="H11" s="452">
        <v>0.99999999999999978</v>
      </c>
      <c r="I11" s="453">
        <v>0.375</v>
      </c>
      <c r="J11" s="453">
        <v>0.33797909407665505</v>
      </c>
      <c r="K11" s="453">
        <v>0.33384030418250948</v>
      </c>
      <c r="L11" s="453">
        <v>0.33338334020927873</v>
      </c>
      <c r="M11" s="453">
        <v>0.33333773505176417</v>
      </c>
      <c r="N11" s="453">
        <v>0.33333368016045262</v>
      </c>
      <c r="O11" s="453">
        <v>0.33333335797020869</v>
      </c>
      <c r="P11" s="453">
        <v>0.33333333492323303</v>
      </c>
      <c r="Q11" s="454">
        <v>0.3333333334272191</v>
      </c>
    </row>
    <row r="12" spans="1:17" s="54" customFormat="1" ht="18" thickBot="1">
      <c r="D12" s="460" t="s">
        <v>765</v>
      </c>
      <c r="E12" s="461">
        <f>IF(B9*B8&gt;B7,VLOOKUP($B$9,$A$40:$G$61,5),"NA")</f>
        <v>0.50000000000000011</v>
      </c>
      <c r="G12" s="458">
        <f t="shared" si="0"/>
        <v>0.50000000000000011</v>
      </c>
      <c r="H12" s="462">
        <v>0.33333333333333331</v>
      </c>
      <c r="I12" s="463">
        <v>0.50000000000000011</v>
      </c>
      <c r="J12" s="463">
        <v>0.51219512195121952</v>
      </c>
      <c r="K12" s="463">
        <v>0.51330798479087447</v>
      </c>
      <c r="L12" s="463">
        <v>0.51340809361287176</v>
      </c>
      <c r="M12" s="463">
        <v>0.51341643777730828</v>
      </c>
      <c r="N12" s="463">
        <v>0.51341707214008425</v>
      </c>
      <c r="O12" s="463">
        <v>0.51341711607868945</v>
      </c>
      <c r="P12" s="463">
        <v>0.51341711886146801</v>
      </c>
      <c r="Q12" s="464">
        <v>0.51341711902342868</v>
      </c>
    </row>
    <row r="13" spans="1:17">
      <c r="A13" s="15" t="str">
        <f>IF(B7&gt;=B8*B9,"The total service rate (rate*servers) must be greater than the arrival rate","")</f>
        <v/>
      </c>
    </row>
    <row r="16" spans="1:17" ht="16" thickBot="1">
      <c r="A16" s="23" t="s">
        <v>768</v>
      </c>
    </row>
    <row r="17" spans="1:3">
      <c r="A17" s="29" t="s">
        <v>766</v>
      </c>
      <c r="B17" s="30" t="s">
        <v>428</v>
      </c>
      <c r="C17" s="68" t="s">
        <v>767</v>
      </c>
    </row>
    <row r="18" spans="1:3">
      <c r="A18" s="28">
        <v>0</v>
      </c>
      <c r="B18" s="444">
        <f>VLOOKUP(B9,A39:E61,5)</f>
        <v>0.50000000000000011</v>
      </c>
      <c r="C18" s="446">
        <f>B18</f>
        <v>0.50000000000000011</v>
      </c>
    </row>
    <row r="19" spans="1:3">
      <c r="A19" s="28">
        <f>A18+1</f>
        <v>1</v>
      </c>
      <c r="B19" s="444">
        <f>IF(A19&lt;=$B$9,($B$7/$B$8)^A19*$E$12/FACT(A19),($B$7/$B$8)^A19*$E$12/(FACT($B$9)*$B$9^(A19-$B$9)))</f>
        <v>0.33333333333333337</v>
      </c>
      <c r="C19" s="446">
        <f>C18+B19</f>
        <v>0.83333333333333348</v>
      </c>
    </row>
    <row r="20" spans="1:3">
      <c r="A20" s="28">
        <f t="shared" ref="A20:A38" si="1">A19+1</f>
        <v>2</v>
      </c>
      <c r="B20" s="444">
        <f t="shared" ref="B20:B38" si="2">IF(A20&lt;=$B$9,($B$7/$B$8)^A20*$E$12/FACT(A20),($B$7/$B$8)^A20*$E$12/(FACT($B$9)*$B$9^(A20-$B$9)))</f>
        <v>0.11111111111111113</v>
      </c>
      <c r="C20" s="446">
        <f t="shared" ref="C20:C38" si="3">C19+B20</f>
        <v>0.94444444444444464</v>
      </c>
    </row>
    <row r="21" spans="1:3">
      <c r="A21" s="28">
        <f t="shared" si="1"/>
        <v>3</v>
      </c>
      <c r="B21" s="444">
        <f t="shared" si="2"/>
        <v>3.7037037037037042E-2</v>
      </c>
      <c r="C21" s="446">
        <f t="shared" si="3"/>
        <v>0.98148148148148173</v>
      </c>
    </row>
    <row r="22" spans="1:3">
      <c r="A22" s="28">
        <f t="shared" si="1"/>
        <v>4</v>
      </c>
      <c r="B22" s="444">
        <f t="shared" si="2"/>
        <v>1.2345679012345682E-2</v>
      </c>
      <c r="C22" s="446">
        <f t="shared" si="3"/>
        <v>0.99382716049382747</v>
      </c>
    </row>
    <row r="23" spans="1:3">
      <c r="A23" s="28">
        <f t="shared" si="1"/>
        <v>5</v>
      </c>
      <c r="B23" s="444">
        <f t="shared" si="2"/>
        <v>4.11522633744856E-3</v>
      </c>
      <c r="C23" s="446">
        <f t="shared" si="3"/>
        <v>0.99794238683127601</v>
      </c>
    </row>
    <row r="24" spans="1:3">
      <c r="A24" s="28">
        <f t="shared" si="1"/>
        <v>6</v>
      </c>
      <c r="B24" s="444">
        <f t="shared" si="2"/>
        <v>1.3717421124828533E-3</v>
      </c>
      <c r="C24" s="446">
        <f t="shared" si="3"/>
        <v>0.99931412894375882</v>
      </c>
    </row>
    <row r="25" spans="1:3">
      <c r="A25" s="28">
        <f t="shared" si="1"/>
        <v>7</v>
      </c>
      <c r="B25" s="444">
        <f t="shared" si="2"/>
        <v>4.5724737082761778E-4</v>
      </c>
      <c r="C25" s="446">
        <f t="shared" si="3"/>
        <v>0.99977137631458646</v>
      </c>
    </row>
    <row r="26" spans="1:3">
      <c r="A26" s="28">
        <f t="shared" si="1"/>
        <v>8</v>
      </c>
      <c r="B26" s="444">
        <f t="shared" si="2"/>
        <v>1.5241579027587258E-4</v>
      </c>
      <c r="C26" s="446">
        <f t="shared" si="3"/>
        <v>0.99992379210486237</v>
      </c>
    </row>
    <row r="27" spans="1:3">
      <c r="A27" s="28">
        <f t="shared" si="1"/>
        <v>9</v>
      </c>
      <c r="B27" s="444">
        <f t="shared" si="2"/>
        <v>5.0805263425290864E-5</v>
      </c>
      <c r="C27" s="446">
        <f t="shared" si="3"/>
        <v>0.99997459736828764</v>
      </c>
    </row>
    <row r="28" spans="1:3">
      <c r="A28" s="28">
        <f t="shared" si="1"/>
        <v>10</v>
      </c>
      <c r="B28" s="444">
        <f t="shared" si="2"/>
        <v>1.6935087808430286E-5</v>
      </c>
      <c r="C28" s="446">
        <f t="shared" si="3"/>
        <v>0.99999153245609607</v>
      </c>
    </row>
    <row r="29" spans="1:3">
      <c r="A29" s="28">
        <f t="shared" si="1"/>
        <v>11</v>
      </c>
      <c r="B29" s="444">
        <f t="shared" si="2"/>
        <v>5.6450292694767622E-6</v>
      </c>
      <c r="C29" s="446">
        <f t="shared" si="3"/>
        <v>0.99999717748536554</v>
      </c>
    </row>
    <row r="30" spans="1:3">
      <c r="A30" s="28">
        <f t="shared" si="1"/>
        <v>12</v>
      </c>
      <c r="B30" s="444">
        <f t="shared" si="2"/>
        <v>1.8816764231589208E-6</v>
      </c>
      <c r="C30" s="446">
        <f t="shared" si="3"/>
        <v>0.99999905916178866</v>
      </c>
    </row>
    <row r="31" spans="1:3">
      <c r="A31" s="28">
        <f t="shared" si="1"/>
        <v>13</v>
      </c>
      <c r="B31" s="444">
        <f t="shared" si="2"/>
        <v>6.2722547438630682E-7</v>
      </c>
      <c r="C31" s="446">
        <f t="shared" si="3"/>
        <v>0.999999686387263</v>
      </c>
    </row>
    <row r="32" spans="1:3">
      <c r="A32" s="28">
        <f t="shared" si="1"/>
        <v>14</v>
      </c>
      <c r="B32" s="444">
        <f t="shared" si="2"/>
        <v>2.0907515812876897E-7</v>
      </c>
      <c r="C32" s="446">
        <f t="shared" si="3"/>
        <v>0.99999989546242107</v>
      </c>
    </row>
    <row r="33" spans="1:10">
      <c r="A33" s="28">
        <f t="shared" si="1"/>
        <v>15</v>
      </c>
      <c r="B33" s="444">
        <f t="shared" si="2"/>
        <v>6.9691719376256309E-8</v>
      </c>
      <c r="C33" s="446">
        <f t="shared" si="3"/>
        <v>0.99999996515414047</v>
      </c>
    </row>
    <row r="34" spans="1:10">
      <c r="A34" s="28">
        <f t="shared" si="1"/>
        <v>16</v>
      </c>
      <c r="B34" s="444">
        <f t="shared" si="2"/>
        <v>2.3230573125418773E-8</v>
      </c>
      <c r="C34" s="446">
        <f t="shared" si="3"/>
        <v>0.9999999883847136</v>
      </c>
    </row>
    <row r="35" spans="1:10">
      <c r="A35" s="28">
        <f t="shared" si="1"/>
        <v>17</v>
      </c>
      <c r="B35" s="444">
        <f t="shared" si="2"/>
        <v>7.7435243751395899E-9</v>
      </c>
      <c r="C35" s="446">
        <f t="shared" si="3"/>
        <v>0.99999999612823798</v>
      </c>
    </row>
    <row r="36" spans="1:10">
      <c r="A36" s="28">
        <f t="shared" si="1"/>
        <v>18</v>
      </c>
      <c r="B36" s="444">
        <f t="shared" si="2"/>
        <v>2.5811747917131966E-9</v>
      </c>
      <c r="C36" s="446">
        <f t="shared" si="3"/>
        <v>0.99999999870941281</v>
      </c>
    </row>
    <row r="37" spans="1:10">
      <c r="A37" s="28">
        <f t="shared" si="1"/>
        <v>19</v>
      </c>
      <c r="B37" s="444">
        <f t="shared" si="2"/>
        <v>8.6039159723773225E-10</v>
      </c>
      <c r="C37" s="446">
        <f t="shared" si="3"/>
        <v>0.99999999956980445</v>
      </c>
    </row>
    <row r="38" spans="1:10" ht="16" thickBot="1">
      <c r="A38" s="31">
        <f t="shared" si="1"/>
        <v>20</v>
      </c>
      <c r="B38" s="445">
        <f t="shared" si="2"/>
        <v>2.8679719907924408E-10</v>
      </c>
      <c r="C38" s="447">
        <f t="shared" si="3"/>
        <v>0.99999999985660171</v>
      </c>
      <c r="D38" s="2" t="s">
        <v>772</v>
      </c>
      <c r="E38" s="2" t="s">
        <v>773</v>
      </c>
      <c r="F38" s="2" t="s">
        <v>774</v>
      </c>
      <c r="G38" s="2" t="s">
        <v>775</v>
      </c>
      <c r="H38" s="2" t="s">
        <v>776</v>
      </c>
      <c r="I38" s="2" t="s">
        <v>777</v>
      </c>
      <c r="J38" s="2" t="s">
        <v>778</v>
      </c>
    </row>
    <row r="39" spans="1:10">
      <c r="A39" s="2">
        <v>0</v>
      </c>
      <c r="B39" s="443">
        <v>1</v>
      </c>
      <c r="C39" s="443"/>
    </row>
    <row r="40" spans="1:10">
      <c r="A40" s="2">
        <v>1</v>
      </c>
      <c r="B40" s="2">
        <f>($B$7/$B$8)^A40/FACT(A40)</f>
        <v>0.66666666666666663</v>
      </c>
      <c r="C40" s="2">
        <f>SUM(B39:$B$39)</f>
        <v>1</v>
      </c>
      <c r="D40" s="2">
        <f>+B40/(1-$B$7/(A40*$B$8))</f>
        <v>1.9999999999999998</v>
      </c>
      <c r="E40" s="2">
        <f>1/(C40+D40)</f>
        <v>0.33333333333333331</v>
      </c>
      <c r="F40" s="2">
        <f>$B$7/($B$8*A40)</f>
        <v>0.66666666666666663</v>
      </c>
      <c r="G40" s="2">
        <f>+E40*B40*F40/(1-F40)^2</f>
        <v>1.333333333333333</v>
      </c>
      <c r="H40" s="2">
        <f>G40+$B$7/$B$8</f>
        <v>1.9999999999999996</v>
      </c>
      <c r="I40" s="2">
        <f>G40/$B$7</f>
        <v>0.66666666666666652</v>
      </c>
      <c r="J40" s="2">
        <f>I40+1/$B$8</f>
        <v>0.99999999999999978</v>
      </c>
    </row>
    <row r="41" spans="1:10">
      <c r="A41" s="2">
        <v>2</v>
      </c>
      <c r="B41" s="2">
        <f t="shared" ref="B41:B61" si="4">($B$7/$B$8)^A41/FACT(A41)</f>
        <v>0.22222222222222221</v>
      </c>
      <c r="C41" s="2">
        <f>SUM(B$39:$B40)</f>
        <v>1.6666666666666665</v>
      </c>
      <c r="D41" s="2">
        <f t="shared" ref="D41:D61" si="5">+B41/(1-$B$7/(A41*$B$8))</f>
        <v>0.33333333333333326</v>
      </c>
      <c r="E41" s="2">
        <f t="shared" ref="E41:E61" si="6">1/(C41+D41)</f>
        <v>0.50000000000000011</v>
      </c>
      <c r="F41" s="2">
        <f t="shared" ref="F41:F61" si="7">$B$7/($B$8*A41)</f>
        <v>0.33333333333333331</v>
      </c>
      <c r="G41" s="2">
        <f t="shared" ref="G41:G61" si="8">+E41*B41*F41/(1-F41)^2</f>
        <v>8.3333333333333329E-2</v>
      </c>
      <c r="H41" s="2">
        <f t="shared" ref="H41:H61" si="9">G41+$B$7/$B$8</f>
        <v>0.75</v>
      </c>
      <c r="I41" s="2">
        <f t="shared" ref="I41:I61" si="10">G41/$B$7</f>
        <v>4.1666666666666664E-2</v>
      </c>
      <c r="J41" s="2">
        <f t="shared" ref="J41:J61" si="11">I41+1/$B$8</f>
        <v>0.375</v>
      </c>
    </row>
    <row r="42" spans="1:10">
      <c r="A42" s="2">
        <v>3</v>
      </c>
      <c r="B42" s="2">
        <f t="shared" si="4"/>
        <v>4.9382716049382713E-2</v>
      </c>
      <c r="C42" s="2">
        <f>SUM(B$39:$B41)</f>
        <v>1.8888888888888888</v>
      </c>
      <c r="D42" s="2">
        <f t="shared" si="5"/>
        <v>6.3492063492063489E-2</v>
      </c>
      <c r="E42" s="2">
        <f t="shared" si="6"/>
        <v>0.51219512195121952</v>
      </c>
      <c r="F42" s="2">
        <f t="shared" si="7"/>
        <v>0.22222222222222221</v>
      </c>
      <c r="G42" s="2">
        <f t="shared" si="8"/>
        <v>9.2915214866434361E-3</v>
      </c>
      <c r="H42" s="2">
        <f t="shared" si="9"/>
        <v>0.6759581881533101</v>
      </c>
      <c r="I42" s="2">
        <f t="shared" si="10"/>
        <v>4.6457607433217181E-3</v>
      </c>
      <c r="J42" s="2">
        <f t="shared" si="11"/>
        <v>0.33797909407665505</v>
      </c>
    </row>
    <row r="43" spans="1:10">
      <c r="A43" s="2">
        <v>4</v>
      </c>
      <c r="B43" s="2">
        <f t="shared" si="4"/>
        <v>8.2304526748971183E-3</v>
      </c>
      <c r="C43" s="2">
        <f>SUM(B$39:$B42)</f>
        <v>1.9382716049382716</v>
      </c>
      <c r="D43" s="2">
        <f t="shared" si="5"/>
        <v>9.8765432098765413E-3</v>
      </c>
      <c r="E43" s="2">
        <f t="shared" si="6"/>
        <v>0.51330798479087447</v>
      </c>
      <c r="F43" s="2">
        <f t="shared" si="7"/>
        <v>0.16666666666666666</v>
      </c>
      <c r="G43" s="2">
        <f t="shared" si="8"/>
        <v>1.0139416983523442E-3</v>
      </c>
      <c r="H43" s="2">
        <f t="shared" si="9"/>
        <v>0.66768060836501897</v>
      </c>
      <c r="I43" s="2">
        <f t="shared" si="10"/>
        <v>5.0697084917617212E-4</v>
      </c>
      <c r="J43" s="2">
        <f t="shared" si="11"/>
        <v>0.33384030418250948</v>
      </c>
    </row>
    <row r="44" spans="1:10">
      <c r="A44" s="2">
        <v>5</v>
      </c>
      <c r="B44" s="2">
        <f t="shared" si="4"/>
        <v>1.0973936899862824E-3</v>
      </c>
      <c r="C44" s="2">
        <f>SUM(B$39:$B43)</f>
        <v>1.9465020576131686</v>
      </c>
      <c r="D44" s="2">
        <f t="shared" si="5"/>
        <v>1.2662234884457104E-3</v>
      </c>
      <c r="E44" s="2">
        <f t="shared" si="6"/>
        <v>0.51340809361287176</v>
      </c>
      <c r="F44" s="2">
        <f t="shared" si="7"/>
        <v>0.13333333333333333</v>
      </c>
      <c r="G44" s="2">
        <f t="shared" si="8"/>
        <v>1.0001375189088497E-4</v>
      </c>
      <c r="H44" s="2">
        <f t="shared" si="9"/>
        <v>0.66676668041855747</v>
      </c>
      <c r="I44" s="2">
        <f t="shared" si="10"/>
        <v>5.0006875945442484E-5</v>
      </c>
      <c r="J44" s="2">
        <f t="shared" si="11"/>
        <v>0.33338334020927873</v>
      </c>
    </row>
    <row r="45" spans="1:10">
      <c r="A45" s="2">
        <v>6</v>
      </c>
      <c r="B45" s="2">
        <f t="shared" si="4"/>
        <v>1.2193263222069806E-4</v>
      </c>
      <c r="C45" s="2">
        <f>SUM(B$39:$B44)</f>
        <v>1.9475994513031549</v>
      </c>
      <c r="D45" s="2">
        <f t="shared" si="5"/>
        <v>1.3717421124828533E-4</v>
      </c>
      <c r="E45" s="2">
        <f t="shared" si="6"/>
        <v>0.51341643777730828</v>
      </c>
      <c r="F45" s="2">
        <f t="shared" si="7"/>
        <v>0.1111111111111111</v>
      </c>
      <c r="G45" s="2">
        <f t="shared" si="8"/>
        <v>8.803436861750827E-6</v>
      </c>
      <c r="H45" s="2">
        <f t="shared" si="9"/>
        <v>0.66667547010352834</v>
      </c>
      <c r="I45" s="2">
        <f t="shared" si="10"/>
        <v>4.4017184308754135E-6</v>
      </c>
      <c r="J45" s="2">
        <f t="shared" si="11"/>
        <v>0.33333773505176417</v>
      </c>
    </row>
    <row r="46" spans="1:10">
      <c r="A46" s="2">
        <v>7</v>
      </c>
      <c r="B46" s="2">
        <f t="shared" si="4"/>
        <v>1.161263164006648E-5</v>
      </c>
      <c r="C46" s="2">
        <f>SUM(B$39:$B45)</f>
        <v>1.9477213839353755</v>
      </c>
      <c r="D46" s="2">
        <f t="shared" si="5"/>
        <v>1.2835013917968215E-5</v>
      </c>
      <c r="E46" s="2">
        <f t="shared" si="6"/>
        <v>0.51341707214008425</v>
      </c>
      <c r="F46" s="2">
        <f t="shared" si="7"/>
        <v>9.5238095238095233E-2</v>
      </c>
      <c r="G46" s="2">
        <f t="shared" si="8"/>
        <v>6.9365423859373393E-7</v>
      </c>
      <c r="H46" s="2">
        <f t="shared" si="9"/>
        <v>0.66666736032090523</v>
      </c>
      <c r="I46" s="2">
        <f t="shared" si="10"/>
        <v>3.4682711929686696E-7</v>
      </c>
      <c r="J46" s="2">
        <f t="shared" si="11"/>
        <v>0.33333368016045262</v>
      </c>
    </row>
    <row r="47" spans="1:10">
      <c r="A47" s="2">
        <v>8</v>
      </c>
      <c r="B47" s="2">
        <f t="shared" si="4"/>
        <v>9.6771930333887342E-7</v>
      </c>
      <c r="C47" s="2">
        <f>SUM(B$39:$B46)</f>
        <v>1.9477329965670156</v>
      </c>
      <c r="D47" s="2">
        <f t="shared" si="5"/>
        <v>1.0556937854605893E-6</v>
      </c>
      <c r="E47" s="2">
        <f t="shared" si="6"/>
        <v>0.51341711607868945</v>
      </c>
      <c r="F47" s="2">
        <f t="shared" si="7"/>
        <v>8.3333333333333329E-2</v>
      </c>
      <c r="G47" s="2">
        <f t="shared" si="8"/>
        <v>4.9273750799397311E-8</v>
      </c>
      <c r="H47" s="2">
        <f t="shared" si="9"/>
        <v>0.66666671594041738</v>
      </c>
      <c r="I47" s="2">
        <f t="shared" si="10"/>
        <v>2.4636875399698656E-8</v>
      </c>
      <c r="J47" s="2">
        <f t="shared" si="11"/>
        <v>0.33333335797020869</v>
      </c>
    </row>
    <row r="48" spans="1:10">
      <c r="A48" s="2">
        <v>9</v>
      </c>
      <c r="B48" s="2">
        <f t="shared" si="4"/>
        <v>7.1682911358435057E-8</v>
      </c>
      <c r="C48" s="2">
        <f>SUM(B$39:$B47)</f>
        <v>1.947733964286319</v>
      </c>
      <c r="D48" s="2">
        <f t="shared" si="5"/>
        <v>7.7417544267109867E-8</v>
      </c>
      <c r="E48" s="2">
        <f t="shared" si="6"/>
        <v>0.51341711886146801</v>
      </c>
      <c r="F48" s="2">
        <f t="shared" si="7"/>
        <v>7.407407407407407E-2</v>
      </c>
      <c r="G48" s="2">
        <f t="shared" si="8"/>
        <v>3.1797994021559763E-9</v>
      </c>
      <c r="H48" s="2">
        <f t="shared" si="9"/>
        <v>0.66666666984646605</v>
      </c>
      <c r="I48" s="2">
        <f t="shared" si="10"/>
        <v>1.5898997010779882E-9</v>
      </c>
      <c r="J48" s="2">
        <f t="shared" si="11"/>
        <v>0.33333333492323303</v>
      </c>
    </row>
    <row r="49" spans="1:10">
      <c r="A49" s="2">
        <v>10</v>
      </c>
      <c r="B49" s="2">
        <f t="shared" si="4"/>
        <v>4.7788607572290039E-9</v>
      </c>
      <c r="C49" s="2">
        <f>SUM(B$39:$B48)</f>
        <v>1.9477340359692303</v>
      </c>
      <c r="D49" s="2">
        <f t="shared" si="5"/>
        <v>5.1202079541739325E-9</v>
      </c>
      <c r="E49" s="2">
        <f t="shared" si="6"/>
        <v>0.51341711902342868</v>
      </c>
      <c r="F49" s="2">
        <f t="shared" si="7"/>
        <v>6.6666666666666666E-2</v>
      </c>
      <c r="G49" s="2">
        <f t="shared" si="8"/>
        <v>1.8777160118805887E-10</v>
      </c>
      <c r="H49" s="2">
        <f t="shared" si="9"/>
        <v>0.66666666685443821</v>
      </c>
      <c r="I49" s="2">
        <f t="shared" si="10"/>
        <v>9.3885800594029434E-11</v>
      </c>
      <c r="J49" s="2">
        <f t="shared" si="11"/>
        <v>0.3333333334272191</v>
      </c>
    </row>
    <row r="50" spans="1:10">
      <c r="A50" s="2">
        <v>11</v>
      </c>
      <c r="B50" s="2">
        <f t="shared" si="4"/>
        <v>2.8962792468054571E-10</v>
      </c>
      <c r="C50" s="2">
        <f>SUM(B$39:$B49)</f>
        <v>1.9477340407480912</v>
      </c>
      <c r="D50" s="2">
        <f t="shared" si="5"/>
        <v>3.083135972405809E-10</v>
      </c>
      <c r="E50" s="2">
        <f t="shared" si="6"/>
        <v>0.51341711903213627</v>
      </c>
      <c r="F50" s="2">
        <f t="shared" si="7"/>
        <v>6.0606060606060608E-2</v>
      </c>
      <c r="G50" s="2">
        <f t="shared" si="8"/>
        <v>1.02124825066899E-11</v>
      </c>
      <c r="H50" s="2">
        <f t="shared" si="9"/>
        <v>0.66666666667687913</v>
      </c>
      <c r="I50" s="2">
        <f t="shared" si="10"/>
        <v>5.1062412533449501E-12</v>
      </c>
      <c r="J50" s="2">
        <f t="shared" si="11"/>
        <v>0.33333333333843956</v>
      </c>
    </row>
    <row r="51" spans="1:10">
      <c r="A51" s="2">
        <v>12</v>
      </c>
      <c r="B51" s="2">
        <f t="shared" si="4"/>
        <v>1.6090440260030318E-11</v>
      </c>
      <c r="C51" s="2">
        <f>SUM(B$39:$B50)</f>
        <v>1.9477340410377191</v>
      </c>
      <c r="D51" s="2">
        <f t="shared" si="5"/>
        <v>1.7036936745914456E-11</v>
      </c>
      <c r="E51" s="2">
        <f t="shared" si="6"/>
        <v>0.51341711903257092</v>
      </c>
      <c r="F51" s="2">
        <f t="shared" si="7"/>
        <v>5.5555555555555552E-2</v>
      </c>
      <c r="G51" s="2">
        <f t="shared" si="8"/>
        <v>5.1453264595456128E-13</v>
      </c>
      <c r="H51" s="2">
        <f t="shared" si="9"/>
        <v>0.66666666666718111</v>
      </c>
      <c r="I51" s="2">
        <f t="shared" si="10"/>
        <v>2.5726632297728064E-13</v>
      </c>
      <c r="J51" s="2">
        <f t="shared" si="11"/>
        <v>0.33333333333359055</v>
      </c>
    </row>
    <row r="52" spans="1:10">
      <c r="A52" s="2">
        <v>13</v>
      </c>
      <c r="B52" s="2">
        <f t="shared" si="4"/>
        <v>8.2515078256565714E-13</v>
      </c>
      <c r="C52" s="2">
        <f>SUM(B$39:$B51)</f>
        <v>1.9477340410538095</v>
      </c>
      <c r="D52" s="2">
        <f t="shared" si="5"/>
        <v>8.6975352756920624E-13</v>
      </c>
      <c r="E52" s="2">
        <f t="shared" si="6"/>
        <v>0.51341711903259113</v>
      </c>
      <c r="F52" s="2">
        <f t="shared" si="7"/>
        <v>5.128205128205128E-2</v>
      </c>
      <c r="G52" s="2">
        <f t="shared" si="8"/>
        <v>2.4137640561784606E-14</v>
      </c>
      <c r="H52" s="2">
        <f t="shared" si="9"/>
        <v>0.66666666666669072</v>
      </c>
      <c r="I52" s="2">
        <f t="shared" si="10"/>
        <v>1.2068820280892303E-14</v>
      </c>
      <c r="J52" s="2">
        <f t="shared" si="11"/>
        <v>0.33333333333334536</v>
      </c>
    </row>
    <row r="53" spans="1:10">
      <c r="A53" s="2">
        <v>14</v>
      </c>
      <c r="B53" s="2">
        <f t="shared" si="4"/>
        <v>3.9292894407888437E-14</v>
      </c>
      <c r="C53" s="2">
        <f>SUM(B$39:$B52)</f>
        <v>1.9477340410546347</v>
      </c>
      <c r="D53" s="2">
        <f t="shared" si="5"/>
        <v>4.1257539128282863E-14</v>
      </c>
      <c r="E53" s="2">
        <f t="shared" si="6"/>
        <v>0.51341711903259202</v>
      </c>
      <c r="F53" s="2">
        <f t="shared" si="7"/>
        <v>4.7619047619047616E-2</v>
      </c>
      <c r="G53" s="2">
        <f t="shared" si="8"/>
        <v>1.059116343880871E-15</v>
      </c>
      <c r="H53" s="2">
        <f t="shared" si="9"/>
        <v>0.66666666666666774</v>
      </c>
      <c r="I53" s="2">
        <f t="shared" si="10"/>
        <v>5.2955817194043552E-16</v>
      </c>
      <c r="J53" s="2">
        <f t="shared" si="11"/>
        <v>0.33333333333333387</v>
      </c>
    </row>
    <row r="54" spans="1:10">
      <c r="A54" s="2">
        <v>15</v>
      </c>
      <c r="B54" s="2">
        <f t="shared" si="4"/>
        <v>1.7463508625728193E-15</v>
      </c>
      <c r="C54" s="2">
        <f>SUM(B$39:$B53)</f>
        <v>1.947734041054674</v>
      </c>
      <c r="D54" s="2">
        <f t="shared" si="5"/>
        <v>1.8275764840878341E-15</v>
      </c>
      <c r="E54" s="2">
        <f t="shared" si="6"/>
        <v>0.51341711903259202</v>
      </c>
      <c r="F54" s="2">
        <f t="shared" si="7"/>
        <v>4.4444444444444446E-2</v>
      </c>
      <c r="G54" s="2">
        <f t="shared" si="8"/>
        <v>4.3642281547539051E-17</v>
      </c>
      <c r="H54" s="2">
        <f t="shared" si="9"/>
        <v>0.66666666666666663</v>
      </c>
      <c r="I54" s="2">
        <f t="shared" si="10"/>
        <v>2.1821140773769525E-17</v>
      </c>
      <c r="J54" s="2">
        <f t="shared" si="11"/>
        <v>0.33333333333333331</v>
      </c>
    </row>
    <row r="55" spans="1:10">
      <c r="A55" s="2">
        <v>16</v>
      </c>
      <c r="B55" s="2">
        <f t="shared" si="4"/>
        <v>7.2764619273867469E-17</v>
      </c>
      <c r="C55" s="2">
        <f>SUM(B$39:$B54)</f>
        <v>1.9477340410546757</v>
      </c>
      <c r="D55" s="2">
        <f t="shared" si="5"/>
        <v>7.5928298372731272E-17</v>
      </c>
      <c r="E55" s="2">
        <f t="shared" si="6"/>
        <v>0.51341711903259202</v>
      </c>
      <c r="F55" s="2">
        <f t="shared" si="7"/>
        <v>4.1666666666666664E-2</v>
      </c>
      <c r="G55" s="2">
        <f t="shared" si="8"/>
        <v>1.6949081827641187E-18</v>
      </c>
      <c r="H55" s="2">
        <f t="shared" si="9"/>
        <v>0.66666666666666663</v>
      </c>
      <c r="I55" s="2">
        <f t="shared" si="10"/>
        <v>8.4745409138205935E-19</v>
      </c>
      <c r="J55" s="2">
        <f t="shared" si="11"/>
        <v>0.33333333333333331</v>
      </c>
    </row>
    <row r="56" spans="1:10">
      <c r="A56" s="2">
        <v>17</v>
      </c>
      <c r="B56" s="2">
        <f t="shared" si="4"/>
        <v>2.8535144813281359E-18</v>
      </c>
      <c r="C56" s="2">
        <f>SUM(B$39:$B55)</f>
        <v>1.9477340410546757</v>
      </c>
      <c r="D56" s="2">
        <f t="shared" si="5"/>
        <v>2.9699844601578557E-18</v>
      </c>
      <c r="E56" s="2">
        <f t="shared" si="6"/>
        <v>0.51341711903259202</v>
      </c>
      <c r="F56" s="2">
        <f t="shared" si="7"/>
        <v>3.9215686274509803E-2</v>
      </c>
      <c r="G56" s="2">
        <f t="shared" si="8"/>
        <v>6.2238402657380175E-20</v>
      </c>
      <c r="H56" s="2">
        <f t="shared" si="9"/>
        <v>0.66666666666666663</v>
      </c>
      <c r="I56" s="2">
        <f t="shared" si="10"/>
        <v>3.1119201328690087E-20</v>
      </c>
      <c r="J56" s="2">
        <f t="shared" si="11"/>
        <v>0.33333333333333331</v>
      </c>
    </row>
    <row r="57" spans="1:10">
      <c r="A57" s="2">
        <v>18</v>
      </c>
      <c r="B57" s="2">
        <f t="shared" si="4"/>
        <v>1.0568572153067171E-19</v>
      </c>
      <c r="C57" s="2">
        <f>SUM(B$39:$B56)</f>
        <v>1.9477340410546757</v>
      </c>
      <c r="D57" s="2">
        <f t="shared" si="5"/>
        <v>1.0975055697415907E-19</v>
      </c>
      <c r="E57" s="2">
        <f t="shared" si="6"/>
        <v>0.51341711903259202</v>
      </c>
      <c r="F57" s="2">
        <f t="shared" si="7"/>
        <v>3.7037037037037035E-2</v>
      </c>
      <c r="G57" s="2">
        <f t="shared" si="8"/>
        <v>2.1672236451498118E-21</v>
      </c>
      <c r="H57" s="2">
        <f t="shared" si="9"/>
        <v>0.66666666666666663</v>
      </c>
      <c r="I57" s="2">
        <f t="shared" si="10"/>
        <v>1.0836118225749059E-21</v>
      </c>
      <c r="J57" s="2">
        <f t="shared" si="11"/>
        <v>0.33333333333333331</v>
      </c>
    </row>
    <row r="58" spans="1:10">
      <c r="A58" s="2">
        <v>19</v>
      </c>
      <c r="B58" s="2">
        <f t="shared" si="4"/>
        <v>3.7082709309007619E-21</v>
      </c>
      <c r="C58" s="2">
        <f>SUM(B$39:$B57)</f>
        <v>1.9477340410546757</v>
      </c>
      <c r="D58" s="2">
        <f t="shared" si="5"/>
        <v>3.8431171465698805E-21</v>
      </c>
      <c r="E58" s="2">
        <f t="shared" si="6"/>
        <v>0.51341711903259202</v>
      </c>
      <c r="F58" s="2">
        <f t="shared" si="7"/>
        <v>3.5087719298245612E-2</v>
      </c>
      <c r="G58" s="2">
        <f t="shared" si="8"/>
        <v>7.1749895763515037E-23</v>
      </c>
      <c r="H58" s="2">
        <f t="shared" si="9"/>
        <v>0.66666666666666663</v>
      </c>
      <c r="I58" s="2">
        <f t="shared" si="10"/>
        <v>3.5874947881757518E-23</v>
      </c>
      <c r="J58" s="2">
        <f t="shared" si="11"/>
        <v>0.33333333333333331</v>
      </c>
    </row>
    <row r="59" spans="1:10">
      <c r="A59" s="2">
        <v>20</v>
      </c>
      <c r="B59" s="2">
        <f t="shared" si="4"/>
        <v>1.2360903103002539E-22</v>
      </c>
      <c r="C59" s="2">
        <f>SUM(B$39:$B58)</f>
        <v>1.9477340410546757</v>
      </c>
      <c r="D59" s="2">
        <f t="shared" si="5"/>
        <v>1.278714114103711E-22</v>
      </c>
      <c r="E59" s="2">
        <f t="shared" si="6"/>
        <v>0.51341711903259202</v>
      </c>
      <c r="F59" s="2">
        <f t="shared" si="7"/>
        <v>3.3333333333333333E-2</v>
      </c>
      <c r="G59" s="2">
        <f t="shared" si="8"/>
        <v>2.2638404018256567E-24</v>
      </c>
      <c r="H59" s="2">
        <f t="shared" si="9"/>
        <v>0.66666666666666663</v>
      </c>
      <c r="I59" s="2">
        <f t="shared" si="10"/>
        <v>1.1319202009128283E-24</v>
      </c>
      <c r="J59" s="2">
        <f t="shared" si="11"/>
        <v>0.33333333333333331</v>
      </c>
    </row>
    <row r="60" spans="1:10">
      <c r="A60" s="2">
        <v>21</v>
      </c>
      <c r="B60" s="2">
        <f t="shared" si="4"/>
        <v>3.9240962231754087E-24</v>
      </c>
      <c r="C60" s="2">
        <f>SUM(B$39:$B59)</f>
        <v>1.9477340410546757</v>
      </c>
      <c r="D60" s="2">
        <f t="shared" si="5"/>
        <v>4.0527551157385369E-24</v>
      </c>
      <c r="E60" s="2">
        <f t="shared" si="6"/>
        <v>0.51341711903259202</v>
      </c>
      <c r="F60" s="2">
        <f t="shared" si="7"/>
        <v>3.1746031746031744E-2</v>
      </c>
      <c r="G60" s="2">
        <f t="shared" si="8"/>
        <v>6.8221437890723888E-26</v>
      </c>
      <c r="H60" s="2">
        <f t="shared" si="9"/>
        <v>0.66666666666666663</v>
      </c>
      <c r="I60" s="2">
        <f t="shared" si="10"/>
        <v>3.4110718945361944E-26</v>
      </c>
      <c r="J60" s="2">
        <f t="shared" si="11"/>
        <v>0.33333333333333331</v>
      </c>
    </row>
    <row r="61" spans="1:10">
      <c r="A61" s="2">
        <v>22</v>
      </c>
      <c r="B61" s="2">
        <f t="shared" si="4"/>
        <v>1.189120067628912E-25</v>
      </c>
      <c r="C61" s="2">
        <f>SUM(B$39:$B60)</f>
        <v>1.9477340410546757</v>
      </c>
      <c r="D61" s="2">
        <f t="shared" si="5"/>
        <v>1.2262800697423154E-25</v>
      </c>
      <c r="E61" s="2">
        <f t="shared" si="6"/>
        <v>0.51341711903259202</v>
      </c>
      <c r="F61" s="2">
        <f t="shared" si="7"/>
        <v>3.0303030303030304E-2</v>
      </c>
      <c r="G61" s="2">
        <f t="shared" si="8"/>
        <v>1.9674786891693298E-27</v>
      </c>
      <c r="H61" s="2">
        <f t="shared" si="9"/>
        <v>0.66666666666666663</v>
      </c>
      <c r="I61" s="2">
        <f t="shared" si="10"/>
        <v>9.837393445846649E-28</v>
      </c>
      <c r="J61" s="2">
        <f t="shared" si="11"/>
        <v>0.33333333333333331</v>
      </c>
    </row>
    <row r="62" spans="1:10">
      <c r="A62" s="2">
        <v>23</v>
      </c>
    </row>
    <row r="63" spans="1:10">
      <c r="A63" s="2">
        <v>24</v>
      </c>
    </row>
    <row r="64" spans="1:10">
      <c r="A64" s="2">
        <v>25</v>
      </c>
    </row>
    <row r="65" spans="1:1">
      <c r="A65" s="2">
        <v>26</v>
      </c>
    </row>
    <row r="66" spans="1:1">
      <c r="A66" s="2">
        <v>27</v>
      </c>
    </row>
    <row r="67" spans="1:1">
      <c r="A67" s="2">
        <v>28</v>
      </c>
    </row>
    <row r="68" spans="1:1">
      <c r="A68" s="2">
        <v>29</v>
      </c>
    </row>
    <row r="69" spans="1:1">
      <c r="A69" s="2">
        <v>30</v>
      </c>
    </row>
  </sheetData>
  <mergeCells count="1">
    <mergeCell ref="H5:P5"/>
  </mergeCells>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workbookViewId="0">
      <selection activeCell="G49" sqref="G49"/>
    </sheetView>
  </sheetViews>
  <sheetFormatPr baseColWidth="10" defaultRowHeight="15" x14ac:dyDescent="0"/>
  <cols>
    <col min="1" max="1" width="44.33203125" style="2" bestFit="1" customWidth="1"/>
    <col min="2" max="2" width="5.1640625" style="2" bestFit="1" customWidth="1"/>
    <col min="3" max="3" width="53" style="2" bestFit="1" customWidth="1"/>
    <col min="4" max="4" width="40.5" style="2" bestFit="1" customWidth="1"/>
    <col min="5" max="16384" width="10.83203125" style="2"/>
  </cols>
  <sheetData>
    <row r="1" spans="1:8" ht="18">
      <c r="A1" s="39" t="s">
        <v>928</v>
      </c>
    </row>
    <row r="3" spans="1:8" ht="18">
      <c r="A3" s="3" t="s">
        <v>754</v>
      </c>
      <c r="B3" s="3"/>
      <c r="C3" s="3" t="s">
        <v>781</v>
      </c>
      <c r="D3" s="3"/>
      <c r="E3" s="3"/>
      <c r="F3" s="3"/>
      <c r="G3" s="3"/>
      <c r="H3" s="3"/>
    </row>
    <row r="4" spans="1:8">
      <c r="A4" s="1"/>
      <c r="B4" s="1"/>
    </row>
    <row r="6" spans="1:8" ht="16" thickBot="1">
      <c r="A6" s="5" t="s">
        <v>1</v>
      </c>
      <c r="D6" s="23" t="s">
        <v>82</v>
      </c>
    </row>
    <row r="7" spans="1:8" ht="16">
      <c r="A7" s="8" t="s">
        <v>756</v>
      </c>
      <c r="B7" s="85">
        <v>8</v>
      </c>
      <c r="D7" s="29" t="s">
        <v>760</v>
      </c>
      <c r="E7" s="68">
        <f>B7/B8</f>
        <v>0.66666666666666663</v>
      </c>
    </row>
    <row r="8" spans="1:8" ht="17">
      <c r="A8" s="10" t="s">
        <v>757</v>
      </c>
      <c r="B8" s="11">
        <v>12</v>
      </c>
      <c r="D8" s="28" t="s">
        <v>761</v>
      </c>
      <c r="E8" s="35">
        <f>B7^2/(2*(B8*(B8-B7)))</f>
        <v>0.66666666666666663</v>
      </c>
    </row>
    <row r="9" spans="1:8" ht="17">
      <c r="A9" s="10" t="s">
        <v>758</v>
      </c>
      <c r="B9" s="77">
        <v>1</v>
      </c>
      <c r="D9" s="28" t="s">
        <v>762</v>
      </c>
      <c r="E9" s="35">
        <f>E8+B7/B8</f>
        <v>1.3333333333333333</v>
      </c>
    </row>
    <row r="10" spans="1:8" ht="17">
      <c r="A10" s="10" t="s">
        <v>931</v>
      </c>
      <c r="B10" s="11">
        <v>3</v>
      </c>
      <c r="D10" s="28" t="s">
        <v>763</v>
      </c>
      <c r="E10" s="35">
        <f>B7/(2*(B8*(B8-B7)))</f>
        <v>8.3333333333333329E-2</v>
      </c>
    </row>
    <row r="11" spans="1:8" ht="18" thickBot="1">
      <c r="A11" s="12" t="s">
        <v>926</v>
      </c>
      <c r="B11" s="13">
        <v>60</v>
      </c>
      <c r="D11" s="28" t="s">
        <v>764</v>
      </c>
      <c r="E11" s="35">
        <f>E10+1/B8</f>
        <v>0.16666666666666666</v>
      </c>
    </row>
    <row r="12" spans="1:8" ht="17">
      <c r="D12" s="28" t="s">
        <v>765</v>
      </c>
      <c r="E12" s="35">
        <f>1-E7</f>
        <v>0.33333333333333337</v>
      </c>
    </row>
    <row r="13" spans="1:8" ht="16" thickBot="1">
      <c r="A13" s="505" t="s">
        <v>929</v>
      </c>
      <c r="B13" s="504">
        <v>0.25</v>
      </c>
      <c r="D13" s="31" t="s">
        <v>927</v>
      </c>
      <c r="E13" s="36">
        <f>B11*E10</f>
        <v>5</v>
      </c>
    </row>
    <row r="14" spans="1:8">
      <c r="D14" s="503"/>
      <c r="E14" s="503"/>
    </row>
    <row r="16" spans="1:8">
      <c r="D16" s="87" t="s">
        <v>930</v>
      </c>
      <c r="E16" s="87">
        <f>B13*B11</f>
        <v>15</v>
      </c>
    </row>
    <row r="17" spans="4:5">
      <c r="D17" s="87" t="s">
        <v>932</v>
      </c>
      <c r="E17" s="87">
        <f>E16-E13-B10</f>
        <v>7</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enableFormatConditionsCalculation="0"/>
  <dimension ref="A1:L52"/>
  <sheetViews>
    <sheetView zoomScale="95" workbookViewId="0">
      <selection activeCell="I19" sqref="I19"/>
    </sheetView>
  </sheetViews>
  <sheetFormatPr baseColWidth="10" defaultColWidth="8.6640625" defaultRowHeight="15" x14ac:dyDescent="0"/>
  <cols>
    <col min="1" max="1" width="36.5" style="135" bestFit="1" customWidth="1"/>
    <col min="2" max="2" width="14.33203125" style="135" bestFit="1" customWidth="1"/>
    <col min="3" max="3" width="9.6640625" style="135" customWidth="1"/>
    <col min="4" max="4" width="51.6640625" style="135" bestFit="1" customWidth="1"/>
    <col min="5" max="16384" width="8.6640625" style="135"/>
  </cols>
  <sheetData>
    <row r="1" spans="1:8" ht="19">
      <c r="A1" s="483" t="s">
        <v>754</v>
      </c>
      <c r="B1" s="465"/>
      <c r="C1" s="465" t="s">
        <v>782</v>
      </c>
      <c r="D1" s="465"/>
      <c r="E1" s="465"/>
      <c r="F1" s="465"/>
      <c r="G1" s="465"/>
      <c r="H1" s="465"/>
    </row>
    <row r="2" spans="1:8">
      <c r="A2" s="136"/>
      <c r="B2" s="136"/>
    </row>
    <row r="4" spans="1:8" ht="16" thickBot="1">
      <c r="A4" s="181" t="s">
        <v>1</v>
      </c>
      <c r="D4" s="147" t="s">
        <v>82</v>
      </c>
    </row>
    <row r="5" spans="1:8">
      <c r="A5" s="182" t="s">
        <v>805</v>
      </c>
      <c r="B5" s="466">
        <v>0.05</v>
      </c>
      <c r="C5" s="467" t="s">
        <v>810</v>
      </c>
      <c r="D5" s="468" t="s">
        <v>759</v>
      </c>
      <c r="E5" s="469">
        <f>E11/(B11*B7)</f>
        <v>0.43604782314459734</v>
      </c>
    </row>
    <row r="6" spans="1:8">
      <c r="A6" s="184" t="s">
        <v>806</v>
      </c>
      <c r="B6" s="470">
        <v>0.5</v>
      </c>
      <c r="D6" s="471" t="s">
        <v>801</v>
      </c>
      <c r="E6" s="472">
        <f>SUMPRODUCT($B$21:$B$51,D21:D51)</f>
        <v>0.20347394540942937</v>
      </c>
    </row>
    <row r="7" spans="1:8" ht="18" thickBot="1">
      <c r="A7" s="184" t="s">
        <v>783</v>
      </c>
      <c r="B7" s="470">
        <v>1</v>
      </c>
      <c r="D7" s="471" t="s">
        <v>807</v>
      </c>
      <c r="E7" s="472">
        <f>E6+E11/B11</f>
        <v>0.63952176855402665</v>
      </c>
    </row>
    <row r="8" spans="1:8" ht="16" thickBot="1">
      <c r="A8" s="186" t="s">
        <v>784</v>
      </c>
      <c r="B8" s="473">
        <v>5</v>
      </c>
      <c r="D8" s="471" t="s">
        <v>802</v>
      </c>
      <c r="E8" s="472">
        <f>E6/E11</f>
        <v>0.93326435592343548</v>
      </c>
      <c r="F8" s="474" t="str">
        <f>C5</f>
        <v>hours</v>
      </c>
      <c r="G8" s="474"/>
    </row>
    <row r="9" spans="1:8" ht="18" thickBot="1">
      <c r="D9" s="471" t="s">
        <v>808</v>
      </c>
      <c r="E9" s="472">
        <f>E8+1/B11</f>
        <v>2.9332643559234355</v>
      </c>
      <c r="F9" s="474" t="str">
        <f>C5</f>
        <v>hours</v>
      </c>
      <c r="G9" s="474"/>
    </row>
    <row r="10" spans="1:8" ht="17">
      <c r="A10" s="475" t="s">
        <v>803</v>
      </c>
      <c r="B10" s="474">
        <f>B5</f>
        <v>0.05</v>
      </c>
      <c r="D10" s="471" t="s">
        <v>809</v>
      </c>
      <c r="E10" s="472">
        <f>INDEX(K21:K51,B7+1)</f>
        <v>0.56395217685540266</v>
      </c>
    </row>
    <row r="11" spans="1:8" ht="16" thickBot="1">
      <c r="A11" s="186" t="s">
        <v>804</v>
      </c>
      <c r="B11" s="476">
        <f>B6</f>
        <v>0.5</v>
      </c>
      <c r="D11" s="477" t="s">
        <v>785</v>
      </c>
      <c r="E11" s="478">
        <f>SUMPRODUCT(B21:B51,E21:E51)</f>
        <v>0.21802391157229867</v>
      </c>
    </row>
    <row r="12" spans="1:8" ht="16" thickBot="1"/>
    <row r="13" spans="1:8">
      <c r="D13" s="430" t="s">
        <v>786</v>
      </c>
      <c r="E13" s="479">
        <f>B6/(B5+B6)</f>
        <v>0.90909090909090906</v>
      </c>
    </row>
    <row r="14" spans="1:8">
      <c r="D14" s="480" t="s">
        <v>787</v>
      </c>
      <c r="E14" s="481">
        <f>B10*L19/E11</f>
        <v>0.3533367822038283</v>
      </c>
    </row>
    <row r="15" spans="1:8">
      <c r="D15" s="480" t="s">
        <v>788</v>
      </c>
      <c r="E15" s="481">
        <f>E16/(B8*E13)</f>
        <v>9.593052109181141E-2</v>
      </c>
    </row>
    <row r="16" spans="1:8">
      <c r="D16" s="480" t="s">
        <v>789</v>
      </c>
      <c r="E16" s="481">
        <f>E7-E6</f>
        <v>0.43604782314459728</v>
      </c>
    </row>
    <row r="17" spans="1:12" ht="16" thickBot="1">
      <c r="D17" s="431" t="s">
        <v>790</v>
      </c>
      <c r="E17" s="432">
        <f>B8-E7</f>
        <v>4.3604782314459731</v>
      </c>
    </row>
    <row r="19" spans="1:12">
      <c r="A19" s="147" t="s">
        <v>768</v>
      </c>
      <c r="I19" s="135">
        <f>INDEX(I21:I51,B8+1)</f>
        <v>1.7732000000000001</v>
      </c>
      <c r="L19" s="135">
        <f>SUM(L21:L52)</f>
        <v>1.5407173471689601</v>
      </c>
    </row>
    <row r="20" spans="1:12" s="482" customFormat="1" ht="60">
      <c r="A20" s="482" t="s">
        <v>791</v>
      </c>
      <c r="B20" s="482" t="s">
        <v>792</v>
      </c>
      <c r="C20" s="482" t="s">
        <v>767</v>
      </c>
      <c r="D20" s="482" t="s">
        <v>793</v>
      </c>
      <c r="E20" s="482" t="s">
        <v>794</v>
      </c>
      <c r="F20" s="482" t="s">
        <v>795</v>
      </c>
      <c r="G20" s="482" t="s">
        <v>796</v>
      </c>
      <c r="H20" s="482" t="s">
        <v>797</v>
      </c>
      <c r="I20" s="482" t="s">
        <v>798</v>
      </c>
      <c r="J20" s="482" t="s">
        <v>799</v>
      </c>
      <c r="K20" s="482" t="s">
        <v>773</v>
      </c>
      <c r="L20" s="482" t="s">
        <v>800</v>
      </c>
    </row>
    <row r="21" spans="1:12">
      <c r="A21" s="135">
        <v>0</v>
      </c>
      <c r="B21" s="135">
        <f>E10</f>
        <v>0.56395217685540266</v>
      </c>
      <c r="C21" s="135">
        <f>E10</f>
        <v>0.56395217685540266</v>
      </c>
      <c r="D21" s="135">
        <f t="shared" ref="D21:D52" si="0">IF(A21&lt;=$B$8,IF($B$7&lt;A21,A21-$B$7,0),"")</f>
        <v>0</v>
      </c>
      <c r="E21" s="135">
        <f t="shared" ref="E21:E52" si="1">IF(A21&lt;=$B$8,$B$10*($B$8-A21),"")</f>
        <v>0.25</v>
      </c>
      <c r="F21" s="135">
        <f t="shared" ref="F21:F52" si="2">IF(A21&lt;=$B$7,COMBIN($B$8,($B$8-A21))*($B$10/$B$11)^A21,"")</f>
        <v>1</v>
      </c>
      <c r="G21" s="135">
        <f>IF(A21&lt;=$B$7,SUM(F21:$F$21),"")</f>
        <v>1</v>
      </c>
      <c r="H21" s="135">
        <f t="shared" ref="H21:H52" si="3">IF(A21&lt;=$B$8,FACT($B$8)*($B$10/$B$11)^A21/(FACT($B$8-A21)*FACT($B$7)*$B$7^(A21-$B$7)),"")</f>
        <v>1</v>
      </c>
      <c r="I21" s="135">
        <f>IF(A21&lt;=$B$8,SUM($H21:H$21),"")</f>
        <v>1</v>
      </c>
      <c r="J21" s="135">
        <f t="shared" ref="J21:J52" si="4">IF(A21&lt;=$B$8,$I$19-I21,"")</f>
        <v>0.77320000000000011</v>
      </c>
      <c r="K21" s="135" t="str">
        <f t="shared" ref="K21:K52" si="5">IF(A21=$B$7,1/(G21+J21),"")</f>
        <v/>
      </c>
      <c r="L21" s="135">
        <f t="shared" ref="L21:L52" si="6">IF(AND(A21&gt;=$B$7,A21&lt;=$B$8),($B$8-A21)*B21,0)</f>
        <v>0</v>
      </c>
    </row>
    <row r="22" spans="1:12">
      <c r="A22" s="135">
        <v>1</v>
      </c>
      <c r="B22" s="135">
        <f t="shared" ref="B22:B52" si="7">IF(A22&lt;=$B$7,$E$10*COMBIN($B$8,A22)*($B$10/$B$11)^A22,IF(A22&lt;=$B$8,$E$10*COMBIN($B$8,A22)*($B$10/$B$11)^A22*FACT(A22)/FACT($B$7)/$B$7^(A22-$B$7),""))</f>
        <v>0.28197608842770133</v>
      </c>
      <c r="C22" s="135">
        <f t="shared" ref="C22:C52" si="8">IF(A22&lt;=$B$8,C21 + B22,"")</f>
        <v>0.84592826528310394</v>
      </c>
      <c r="D22" s="135">
        <f t="shared" si="0"/>
        <v>0</v>
      </c>
      <c r="E22" s="135">
        <f t="shared" si="1"/>
        <v>0.2</v>
      </c>
      <c r="F22" s="135">
        <f t="shared" si="2"/>
        <v>0.5</v>
      </c>
      <c r="G22" s="135">
        <f>IF(A22&lt;=$B$7,SUM(F$21:$F22),"")</f>
        <v>1.5</v>
      </c>
      <c r="H22" s="135">
        <f t="shared" si="3"/>
        <v>0.5</v>
      </c>
      <c r="I22" s="135">
        <f>IF(A22&lt;=$B$8,SUM($H$21:H22),"")</f>
        <v>1.5</v>
      </c>
      <c r="J22" s="135">
        <f t="shared" si="4"/>
        <v>0.27320000000000011</v>
      </c>
      <c r="K22" s="135">
        <f t="shared" si="5"/>
        <v>0.56395217685540266</v>
      </c>
      <c r="L22" s="135">
        <f t="shared" si="6"/>
        <v>1.1279043537108053</v>
      </c>
    </row>
    <row r="23" spans="1:12">
      <c r="A23" s="135">
        <v>2</v>
      </c>
      <c r="B23" s="135">
        <f t="shared" si="7"/>
        <v>0.11279043537108056</v>
      </c>
      <c r="C23" s="135">
        <f t="shared" si="8"/>
        <v>0.95871870065418452</v>
      </c>
      <c r="D23" s="135">
        <f t="shared" si="0"/>
        <v>1</v>
      </c>
      <c r="E23" s="135">
        <f t="shared" si="1"/>
        <v>0.15000000000000002</v>
      </c>
      <c r="F23" s="135" t="str">
        <f t="shared" si="2"/>
        <v/>
      </c>
      <c r="G23" s="135" t="str">
        <f>IF(A23&lt;=$B$7,SUM(F$21:$F23),"")</f>
        <v/>
      </c>
      <c r="H23" s="135">
        <f t="shared" si="3"/>
        <v>0.20000000000000004</v>
      </c>
      <c r="I23" s="135">
        <f>IF(A23&lt;=$B$8,SUM($H$21:H23),"")</f>
        <v>1.7</v>
      </c>
      <c r="J23" s="135">
        <f t="shared" si="4"/>
        <v>7.3200000000000154E-2</v>
      </c>
      <c r="K23" s="135" t="str">
        <f t="shared" si="5"/>
        <v/>
      </c>
      <c r="L23" s="135">
        <f t="shared" si="6"/>
        <v>0.33837130611324168</v>
      </c>
    </row>
    <row r="24" spans="1:12">
      <c r="A24" s="135">
        <v>3</v>
      </c>
      <c r="B24" s="135">
        <f t="shared" si="7"/>
        <v>3.3837130611324172E-2</v>
      </c>
      <c r="C24" s="135">
        <f t="shared" si="8"/>
        <v>0.99255583126550873</v>
      </c>
      <c r="D24" s="135">
        <f t="shared" si="0"/>
        <v>2</v>
      </c>
      <c r="E24" s="135">
        <f t="shared" si="1"/>
        <v>0.1</v>
      </c>
      <c r="F24" s="135" t="str">
        <f t="shared" si="2"/>
        <v/>
      </c>
      <c r="G24" s="135" t="str">
        <f>IF(A24&lt;=$B$7,SUM(F$21:$F24),"")</f>
        <v/>
      </c>
      <c r="H24" s="135">
        <f t="shared" si="3"/>
        <v>6.0000000000000012E-2</v>
      </c>
      <c r="I24" s="135">
        <f>IF(A24&lt;=$B$8,SUM($H$21:H24),"")</f>
        <v>1.76</v>
      </c>
      <c r="J24" s="135">
        <f t="shared" si="4"/>
        <v>1.3200000000000101E-2</v>
      </c>
      <c r="K24" s="135" t="str">
        <f t="shared" si="5"/>
        <v/>
      </c>
      <c r="L24" s="135">
        <f t="shared" si="6"/>
        <v>6.7674261222648344E-2</v>
      </c>
    </row>
    <row r="25" spans="1:12">
      <c r="A25" s="135">
        <v>4</v>
      </c>
      <c r="B25" s="135">
        <f t="shared" si="7"/>
        <v>6.7674261222648354E-3</v>
      </c>
      <c r="C25" s="135">
        <f t="shared" si="8"/>
        <v>0.99932325738777361</v>
      </c>
      <c r="D25" s="135">
        <f t="shared" si="0"/>
        <v>3</v>
      </c>
      <c r="E25" s="135">
        <f t="shared" si="1"/>
        <v>0.05</v>
      </c>
      <c r="F25" s="135" t="str">
        <f t="shared" si="2"/>
        <v/>
      </c>
      <c r="G25" s="135" t="str">
        <f>IF(A25&lt;=$B$7,SUM(F$21:$F25),"")</f>
        <v/>
      </c>
      <c r="H25" s="135">
        <f t="shared" si="3"/>
        <v>1.2000000000000005E-2</v>
      </c>
      <c r="I25" s="135">
        <f>IF(A25&lt;=$B$8,SUM($H$21:H25),"")</f>
        <v>1.772</v>
      </c>
      <c r="J25" s="135">
        <f t="shared" si="4"/>
        <v>1.2000000000000899E-3</v>
      </c>
      <c r="K25" s="135" t="str">
        <f t="shared" si="5"/>
        <v/>
      </c>
      <c r="L25" s="135">
        <f t="shared" si="6"/>
        <v>6.7674261222648354E-3</v>
      </c>
    </row>
    <row r="26" spans="1:12">
      <c r="A26" s="135">
        <v>5</v>
      </c>
      <c r="B26" s="135">
        <f t="shared" si="7"/>
        <v>6.7674261222648363E-4</v>
      </c>
      <c r="C26" s="135">
        <f t="shared" si="8"/>
        <v>1</v>
      </c>
      <c r="D26" s="135">
        <f t="shared" si="0"/>
        <v>4</v>
      </c>
      <c r="E26" s="135">
        <f t="shared" si="1"/>
        <v>0</v>
      </c>
      <c r="F26" s="135" t="str">
        <f t="shared" si="2"/>
        <v/>
      </c>
      <c r="G26" s="135" t="str">
        <f>IF(A26&lt;=$B$7,SUM(F$21:$F26),"")</f>
        <v/>
      </c>
      <c r="H26" s="135">
        <f t="shared" si="3"/>
        <v>1.2000000000000008E-3</v>
      </c>
      <c r="I26" s="135">
        <f>IF(A26&lt;=$B$8,SUM($H$21:H26),"")</f>
        <v>1.7732000000000001</v>
      </c>
      <c r="J26" s="135">
        <f t="shared" si="4"/>
        <v>0</v>
      </c>
      <c r="K26" s="135" t="str">
        <f t="shared" si="5"/>
        <v/>
      </c>
      <c r="L26" s="135">
        <f t="shared" si="6"/>
        <v>0</v>
      </c>
    </row>
    <row r="27" spans="1:12">
      <c r="A27" s="135">
        <v>6</v>
      </c>
      <c r="B27" s="135" t="str">
        <f t="shared" si="7"/>
        <v/>
      </c>
      <c r="C27" s="135" t="str">
        <f t="shared" si="8"/>
        <v/>
      </c>
      <c r="D27" s="135" t="str">
        <f t="shared" si="0"/>
        <v/>
      </c>
      <c r="E27" s="135" t="str">
        <f t="shared" si="1"/>
        <v/>
      </c>
      <c r="F27" s="135" t="str">
        <f t="shared" si="2"/>
        <v/>
      </c>
      <c r="G27" s="135" t="str">
        <f>IF(A27&lt;=$B$7,SUM(F$21:$F27),"")</f>
        <v/>
      </c>
      <c r="H27" s="135" t="str">
        <f t="shared" si="3"/>
        <v/>
      </c>
      <c r="I27" s="135" t="str">
        <f>IF(A27&lt;=$B$8,SUM($H$21:H27),"")</f>
        <v/>
      </c>
      <c r="J27" s="135" t="str">
        <f t="shared" si="4"/>
        <v/>
      </c>
      <c r="K27" s="135" t="str">
        <f t="shared" si="5"/>
        <v/>
      </c>
      <c r="L27" s="135">
        <f t="shared" si="6"/>
        <v>0</v>
      </c>
    </row>
    <row r="28" spans="1:12">
      <c r="A28" s="135">
        <v>7</v>
      </c>
      <c r="B28" s="135" t="str">
        <f t="shared" si="7"/>
        <v/>
      </c>
      <c r="C28" s="135" t="str">
        <f t="shared" si="8"/>
        <v/>
      </c>
      <c r="D28" s="135" t="str">
        <f t="shared" si="0"/>
        <v/>
      </c>
      <c r="E28" s="135" t="str">
        <f t="shared" si="1"/>
        <v/>
      </c>
      <c r="F28" s="135" t="str">
        <f t="shared" si="2"/>
        <v/>
      </c>
      <c r="G28" s="135" t="str">
        <f>IF(A28&lt;=$B$7,SUM(F$21:$F28),"")</f>
        <v/>
      </c>
      <c r="H28" s="135" t="str">
        <f t="shared" si="3"/>
        <v/>
      </c>
      <c r="I28" s="135" t="str">
        <f>IF(A28&lt;=$B$8,SUM($H$21:H28),"")</f>
        <v/>
      </c>
      <c r="J28" s="135" t="str">
        <f t="shared" si="4"/>
        <v/>
      </c>
      <c r="K28" s="135" t="str">
        <f t="shared" si="5"/>
        <v/>
      </c>
      <c r="L28" s="135">
        <f t="shared" si="6"/>
        <v>0</v>
      </c>
    </row>
    <row r="29" spans="1:12">
      <c r="A29" s="135">
        <v>8</v>
      </c>
      <c r="B29" s="135" t="str">
        <f t="shared" si="7"/>
        <v/>
      </c>
      <c r="C29" s="135" t="str">
        <f t="shared" si="8"/>
        <v/>
      </c>
      <c r="D29" s="135" t="str">
        <f t="shared" si="0"/>
        <v/>
      </c>
      <c r="E29" s="135" t="str">
        <f t="shared" si="1"/>
        <v/>
      </c>
      <c r="F29" s="135" t="str">
        <f t="shared" si="2"/>
        <v/>
      </c>
      <c r="G29" s="135" t="str">
        <f>IF(A29&lt;=$B$7,SUM(F$21:$F29),"")</f>
        <v/>
      </c>
      <c r="H29" s="135" t="str">
        <f t="shared" si="3"/>
        <v/>
      </c>
      <c r="I29" s="135" t="str">
        <f>IF(A29&lt;=$B$8,SUM($H$21:H29),"")</f>
        <v/>
      </c>
      <c r="J29" s="135" t="str">
        <f t="shared" si="4"/>
        <v/>
      </c>
      <c r="K29" s="135" t="str">
        <f t="shared" si="5"/>
        <v/>
      </c>
      <c r="L29" s="135">
        <f t="shared" si="6"/>
        <v>0</v>
      </c>
    </row>
    <row r="30" spans="1:12">
      <c r="A30" s="135">
        <v>9</v>
      </c>
      <c r="B30" s="135" t="str">
        <f t="shared" si="7"/>
        <v/>
      </c>
      <c r="C30" s="135" t="str">
        <f t="shared" si="8"/>
        <v/>
      </c>
      <c r="D30" s="135" t="str">
        <f t="shared" si="0"/>
        <v/>
      </c>
      <c r="E30" s="135" t="str">
        <f t="shared" si="1"/>
        <v/>
      </c>
      <c r="F30" s="135" t="str">
        <f t="shared" si="2"/>
        <v/>
      </c>
      <c r="G30" s="135" t="str">
        <f>IF(A30&lt;=$B$7,SUM(F$21:$F30),"")</f>
        <v/>
      </c>
      <c r="H30" s="135" t="str">
        <f t="shared" si="3"/>
        <v/>
      </c>
      <c r="I30" s="135" t="str">
        <f>IF(A30&lt;=$B$8,SUM($H$21:H30),"")</f>
        <v/>
      </c>
      <c r="J30" s="135" t="str">
        <f t="shared" si="4"/>
        <v/>
      </c>
      <c r="K30" s="135" t="str">
        <f t="shared" si="5"/>
        <v/>
      </c>
      <c r="L30" s="135">
        <f t="shared" si="6"/>
        <v>0</v>
      </c>
    </row>
    <row r="31" spans="1:12">
      <c r="A31" s="135">
        <v>10</v>
      </c>
      <c r="B31" s="135" t="str">
        <f t="shared" si="7"/>
        <v/>
      </c>
      <c r="C31" s="135" t="str">
        <f t="shared" si="8"/>
        <v/>
      </c>
      <c r="D31" s="135" t="str">
        <f t="shared" si="0"/>
        <v/>
      </c>
      <c r="E31" s="135" t="str">
        <f t="shared" si="1"/>
        <v/>
      </c>
      <c r="F31" s="135" t="str">
        <f t="shared" si="2"/>
        <v/>
      </c>
      <c r="G31" s="135" t="str">
        <f>IF(A31&lt;=$B$7,SUM(F$21:$F31),"")</f>
        <v/>
      </c>
      <c r="H31" s="135" t="str">
        <f t="shared" si="3"/>
        <v/>
      </c>
      <c r="I31" s="135" t="str">
        <f>IF(A31&lt;=$B$8,SUM($H$21:H31),"")</f>
        <v/>
      </c>
      <c r="J31" s="135" t="str">
        <f t="shared" si="4"/>
        <v/>
      </c>
      <c r="K31" s="135" t="str">
        <f t="shared" si="5"/>
        <v/>
      </c>
      <c r="L31" s="135">
        <f t="shared" si="6"/>
        <v>0</v>
      </c>
    </row>
    <row r="32" spans="1:12">
      <c r="A32" s="135">
        <v>11</v>
      </c>
      <c r="B32" s="135" t="str">
        <f t="shared" si="7"/>
        <v/>
      </c>
      <c r="C32" s="135" t="str">
        <f t="shared" si="8"/>
        <v/>
      </c>
      <c r="D32" s="135" t="str">
        <f t="shared" si="0"/>
        <v/>
      </c>
      <c r="E32" s="135" t="str">
        <f t="shared" si="1"/>
        <v/>
      </c>
      <c r="F32" s="135" t="str">
        <f t="shared" si="2"/>
        <v/>
      </c>
      <c r="G32" s="135" t="str">
        <f>IF(A32&lt;=$B$7,SUM(F$21:$F32),"")</f>
        <v/>
      </c>
      <c r="H32" s="135" t="str">
        <f t="shared" si="3"/>
        <v/>
      </c>
      <c r="I32" s="135" t="str">
        <f>IF(A32&lt;=$B$8,SUM($H$21:H32),"")</f>
        <v/>
      </c>
      <c r="J32" s="135" t="str">
        <f t="shared" si="4"/>
        <v/>
      </c>
      <c r="K32" s="135" t="str">
        <f t="shared" si="5"/>
        <v/>
      </c>
      <c r="L32" s="135">
        <f t="shared" si="6"/>
        <v>0</v>
      </c>
    </row>
    <row r="33" spans="1:12">
      <c r="A33" s="135">
        <v>12</v>
      </c>
      <c r="B33" s="135" t="str">
        <f t="shared" si="7"/>
        <v/>
      </c>
      <c r="C33" s="135" t="str">
        <f t="shared" si="8"/>
        <v/>
      </c>
      <c r="D33" s="135" t="str">
        <f t="shared" si="0"/>
        <v/>
      </c>
      <c r="E33" s="135" t="str">
        <f t="shared" si="1"/>
        <v/>
      </c>
      <c r="F33" s="135" t="str">
        <f t="shared" si="2"/>
        <v/>
      </c>
      <c r="G33" s="135" t="str">
        <f>IF(A33&lt;=$B$7,SUM(F$21:$F33),"")</f>
        <v/>
      </c>
      <c r="H33" s="135" t="str">
        <f t="shared" si="3"/>
        <v/>
      </c>
      <c r="I33" s="135" t="str">
        <f>IF(A33&lt;=$B$8,SUM($H$21:H33),"")</f>
        <v/>
      </c>
      <c r="J33" s="135" t="str">
        <f t="shared" si="4"/>
        <v/>
      </c>
      <c r="K33" s="135" t="str">
        <f t="shared" si="5"/>
        <v/>
      </c>
      <c r="L33" s="135">
        <f t="shared" si="6"/>
        <v>0</v>
      </c>
    </row>
    <row r="34" spans="1:12">
      <c r="A34" s="135">
        <v>13</v>
      </c>
      <c r="B34" s="135" t="str">
        <f t="shared" si="7"/>
        <v/>
      </c>
      <c r="C34" s="135" t="str">
        <f t="shared" si="8"/>
        <v/>
      </c>
      <c r="D34" s="135" t="str">
        <f t="shared" si="0"/>
        <v/>
      </c>
      <c r="E34" s="135" t="str">
        <f t="shared" si="1"/>
        <v/>
      </c>
      <c r="F34" s="135" t="str">
        <f t="shared" si="2"/>
        <v/>
      </c>
      <c r="G34" s="135" t="str">
        <f>IF(A34&lt;=$B$7,SUM(F$21:$F34),"")</f>
        <v/>
      </c>
      <c r="H34" s="135" t="str">
        <f t="shared" si="3"/>
        <v/>
      </c>
      <c r="I34" s="135" t="str">
        <f>IF(A34&lt;=$B$8,SUM($H$21:H34),"")</f>
        <v/>
      </c>
      <c r="J34" s="135" t="str">
        <f t="shared" si="4"/>
        <v/>
      </c>
      <c r="K34" s="135" t="str">
        <f t="shared" si="5"/>
        <v/>
      </c>
      <c r="L34" s="135">
        <f t="shared" si="6"/>
        <v>0</v>
      </c>
    </row>
    <row r="35" spans="1:12">
      <c r="A35" s="135">
        <v>14</v>
      </c>
      <c r="B35" s="135" t="str">
        <f t="shared" si="7"/>
        <v/>
      </c>
      <c r="C35" s="135" t="str">
        <f t="shared" si="8"/>
        <v/>
      </c>
      <c r="D35" s="135" t="str">
        <f t="shared" si="0"/>
        <v/>
      </c>
      <c r="E35" s="135" t="str">
        <f t="shared" si="1"/>
        <v/>
      </c>
      <c r="F35" s="135" t="str">
        <f t="shared" si="2"/>
        <v/>
      </c>
      <c r="G35" s="135" t="str">
        <f>IF(A35&lt;=$B$7,SUM(F$21:$F35),"")</f>
        <v/>
      </c>
      <c r="H35" s="135" t="str">
        <f t="shared" si="3"/>
        <v/>
      </c>
      <c r="I35" s="135" t="str">
        <f>IF(A35&lt;=$B$8,SUM($H$21:H35),"")</f>
        <v/>
      </c>
      <c r="J35" s="135" t="str">
        <f t="shared" si="4"/>
        <v/>
      </c>
      <c r="K35" s="135" t="str">
        <f t="shared" si="5"/>
        <v/>
      </c>
      <c r="L35" s="135">
        <f t="shared" si="6"/>
        <v>0</v>
      </c>
    </row>
    <row r="36" spans="1:12">
      <c r="A36" s="135">
        <v>15</v>
      </c>
      <c r="B36" s="135" t="str">
        <f t="shared" si="7"/>
        <v/>
      </c>
      <c r="C36" s="135" t="str">
        <f t="shared" si="8"/>
        <v/>
      </c>
      <c r="D36" s="135" t="str">
        <f t="shared" si="0"/>
        <v/>
      </c>
      <c r="E36" s="135" t="str">
        <f t="shared" si="1"/>
        <v/>
      </c>
      <c r="F36" s="135" t="str">
        <f t="shared" si="2"/>
        <v/>
      </c>
      <c r="G36" s="135" t="str">
        <f>IF(A36&lt;=$B$7,SUM(F$21:$F36),"")</f>
        <v/>
      </c>
      <c r="H36" s="135" t="str">
        <f t="shared" si="3"/>
        <v/>
      </c>
      <c r="I36" s="135" t="str">
        <f>IF(A36&lt;=$B$8,SUM($H$21:H36),"")</f>
        <v/>
      </c>
      <c r="J36" s="135" t="str">
        <f t="shared" si="4"/>
        <v/>
      </c>
      <c r="K36" s="135" t="str">
        <f t="shared" si="5"/>
        <v/>
      </c>
      <c r="L36" s="135">
        <f t="shared" si="6"/>
        <v>0</v>
      </c>
    </row>
    <row r="37" spans="1:12">
      <c r="A37" s="135">
        <v>16</v>
      </c>
      <c r="B37" s="135" t="str">
        <f t="shared" si="7"/>
        <v/>
      </c>
      <c r="C37" s="135" t="str">
        <f t="shared" si="8"/>
        <v/>
      </c>
      <c r="D37" s="135" t="str">
        <f t="shared" si="0"/>
        <v/>
      </c>
      <c r="E37" s="135" t="str">
        <f t="shared" si="1"/>
        <v/>
      </c>
      <c r="F37" s="135" t="str">
        <f t="shared" si="2"/>
        <v/>
      </c>
      <c r="G37" s="135" t="str">
        <f>IF(A37&lt;=$B$7,SUM(F$21:$F37),"")</f>
        <v/>
      </c>
      <c r="H37" s="135" t="str">
        <f t="shared" si="3"/>
        <v/>
      </c>
      <c r="I37" s="135" t="str">
        <f>IF(A37&lt;=$B$8,SUM($H$21:H37),"")</f>
        <v/>
      </c>
      <c r="J37" s="135" t="str">
        <f t="shared" si="4"/>
        <v/>
      </c>
      <c r="K37" s="135" t="str">
        <f t="shared" si="5"/>
        <v/>
      </c>
      <c r="L37" s="135">
        <f t="shared" si="6"/>
        <v>0</v>
      </c>
    </row>
    <row r="38" spans="1:12">
      <c r="A38" s="135">
        <v>17</v>
      </c>
      <c r="B38" s="135" t="str">
        <f t="shared" si="7"/>
        <v/>
      </c>
      <c r="C38" s="135" t="str">
        <f t="shared" si="8"/>
        <v/>
      </c>
      <c r="D38" s="135" t="str">
        <f t="shared" si="0"/>
        <v/>
      </c>
      <c r="E38" s="135" t="str">
        <f t="shared" si="1"/>
        <v/>
      </c>
      <c r="F38" s="135" t="str">
        <f t="shared" si="2"/>
        <v/>
      </c>
      <c r="G38" s="135" t="str">
        <f>IF(A38&lt;=$B$7,SUM(F$21:$F38),"")</f>
        <v/>
      </c>
      <c r="H38" s="135" t="str">
        <f t="shared" si="3"/>
        <v/>
      </c>
      <c r="I38" s="135" t="str">
        <f>IF(A38&lt;=$B$8,SUM($H$21:H38),"")</f>
        <v/>
      </c>
      <c r="J38" s="135" t="str">
        <f t="shared" si="4"/>
        <v/>
      </c>
      <c r="K38" s="135" t="str">
        <f t="shared" si="5"/>
        <v/>
      </c>
      <c r="L38" s="135">
        <f t="shared" si="6"/>
        <v>0</v>
      </c>
    </row>
    <row r="39" spans="1:12">
      <c r="A39" s="135">
        <v>18</v>
      </c>
      <c r="B39" s="135" t="str">
        <f t="shared" si="7"/>
        <v/>
      </c>
      <c r="C39" s="135" t="str">
        <f t="shared" si="8"/>
        <v/>
      </c>
      <c r="D39" s="135" t="str">
        <f t="shared" si="0"/>
        <v/>
      </c>
      <c r="E39" s="135" t="str">
        <f t="shared" si="1"/>
        <v/>
      </c>
      <c r="F39" s="135" t="str">
        <f t="shared" si="2"/>
        <v/>
      </c>
      <c r="G39" s="135" t="str">
        <f>IF(A39&lt;=$B$7,SUM(F$21:$F39),"")</f>
        <v/>
      </c>
      <c r="H39" s="135" t="str">
        <f t="shared" si="3"/>
        <v/>
      </c>
      <c r="I39" s="135" t="str">
        <f>IF(A39&lt;=$B$8,SUM($H$21:H39),"")</f>
        <v/>
      </c>
      <c r="J39" s="135" t="str">
        <f t="shared" si="4"/>
        <v/>
      </c>
      <c r="K39" s="135" t="str">
        <f t="shared" si="5"/>
        <v/>
      </c>
      <c r="L39" s="135">
        <f t="shared" si="6"/>
        <v>0</v>
      </c>
    </row>
    <row r="40" spans="1:12">
      <c r="A40" s="135">
        <v>19</v>
      </c>
      <c r="B40" s="135" t="str">
        <f t="shared" si="7"/>
        <v/>
      </c>
      <c r="C40" s="135" t="str">
        <f t="shared" si="8"/>
        <v/>
      </c>
      <c r="D40" s="135" t="str">
        <f t="shared" si="0"/>
        <v/>
      </c>
      <c r="E40" s="135" t="str">
        <f t="shared" si="1"/>
        <v/>
      </c>
      <c r="F40" s="135" t="str">
        <f t="shared" si="2"/>
        <v/>
      </c>
      <c r="G40" s="135" t="str">
        <f>IF(A40&lt;=$B$7,SUM(F$21:$F40),"")</f>
        <v/>
      </c>
      <c r="H40" s="135" t="str">
        <f t="shared" si="3"/>
        <v/>
      </c>
      <c r="I40" s="135" t="str">
        <f>IF(A40&lt;=$B$8,SUM($H$21:H40),"")</f>
        <v/>
      </c>
      <c r="J40" s="135" t="str">
        <f t="shared" si="4"/>
        <v/>
      </c>
      <c r="K40" s="135" t="str">
        <f t="shared" si="5"/>
        <v/>
      </c>
      <c r="L40" s="135">
        <f t="shared" si="6"/>
        <v>0</v>
      </c>
    </row>
    <row r="41" spans="1:12">
      <c r="A41" s="135">
        <v>20</v>
      </c>
      <c r="B41" s="135" t="str">
        <f t="shared" si="7"/>
        <v/>
      </c>
      <c r="C41" s="135" t="str">
        <f t="shared" si="8"/>
        <v/>
      </c>
      <c r="D41" s="135" t="str">
        <f t="shared" si="0"/>
        <v/>
      </c>
      <c r="E41" s="135" t="str">
        <f t="shared" si="1"/>
        <v/>
      </c>
      <c r="F41" s="135" t="str">
        <f t="shared" si="2"/>
        <v/>
      </c>
      <c r="G41" s="135" t="str">
        <f>IF(A41&lt;=$B$7,SUM(F$21:$F41),"")</f>
        <v/>
      </c>
      <c r="H41" s="135" t="str">
        <f t="shared" si="3"/>
        <v/>
      </c>
      <c r="I41" s="135" t="str">
        <f>IF(A41&lt;=$B$8,SUM($H$21:H41),"")</f>
        <v/>
      </c>
      <c r="J41" s="135" t="str">
        <f t="shared" si="4"/>
        <v/>
      </c>
      <c r="K41" s="135" t="str">
        <f t="shared" si="5"/>
        <v/>
      </c>
      <c r="L41" s="135">
        <f t="shared" si="6"/>
        <v>0</v>
      </c>
    </row>
    <row r="42" spans="1:12">
      <c r="A42" s="135">
        <v>21</v>
      </c>
      <c r="B42" s="135" t="str">
        <f t="shared" si="7"/>
        <v/>
      </c>
      <c r="C42" s="135" t="str">
        <f t="shared" si="8"/>
        <v/>
      </c>
      <c r="D42" s="135" t="str">
        <f t="shared" si="0"/>
        <v/>
      </c>
      <c r="E42" s="135" t="str">
        <f t="shared" si="1"/>
        <v/>
      </c>
      <c r="F42" s="135" t="str">
        <f t="shared" si="2"/>
        <v/>
      </c>
      <c r="G42" s="135" t="str">
        <f>IF(A42&lt;=$B$7,SUM(F$21:$F42),"")</f>
        <v/>
      </c>
      <c r="H42" s="135" t="str">
        <f t="shared" si="3"/>
        <v/>
      </c>
      <c r="I42" s="135" t="str">
        <f>IF(A42&lt;=$B$8,SUM($H$21:H42),"")</f>
        <v/>
      </c>
      <c r="J42" s="135" t="str">
        <f t="shared" si="4"/>
        <v/>
      </c>
      <c r="K42" s="135" t="str">
        <f t="shared" si="5"/>
        <v/>
      </c>
      <c r="L42" s="135">
        <f t="shared" si="6"/>
        <v>0</v>
      </c>
    </row>
    <row r="43" spans="1:12">
      <c r="A43" s="135">
        <v>22</v>
      </c>
      <c r="B43" s="135" t="str">
        <f t="shared" si="7"/>
        <v/>
      </c>
      <c r="C43" s="135" t="str">
        <f t="shared" si="8"/>
        <v/>
      </c>
      <c r="D43" s="135" t="str">
        <f t="shared" si="0"/>
        <v/>
      </c>
      <c r="E43" s="135" t="str">
        <f t="shared" si="1"/>
        <v/>
      </c>
      <c r="F43" s="135" t="str">
        <f t="shared" si="2"/>
        <v/>
      </c>
      <c r="G43" s="135" t="str">
        <f>IF(A43&lt;=$B$7,SUM(F$21:$F43),"")</f>
        <v/>
      </c>
      <c r="H43" s="135" t="str">
        <f t="shared" si="3"/>
        <v/>
      </c>
      <c r="I43" s="135" t="str">
        <f>IF(A43&lt;=$B$8,SUM($H$21:H43),"")</f>
        <v/>
      </c>
      <c r="J43" s="135" t="str">
        <f t="shared" si="4"/>
        <v/>
      </c>
      <c r="K43" s="135" t="str">
        <f t="shared" si="5"/>
        <v/>
      </c>
      <c r="L43" s="135">
        <f t="shared" si="6"/>
        <v>0</v>
      </c>
    </row>
    <row r="44" spans="1:12">
      <c r="A44" s="135">
        <v>23</v>
      </c>
      <c r="B44" s="135" t="str">
        <f t="shared" si="7"/>
        <v/>
      </c>
      <c r="C44" s="135" t="str">
        <f t="shared" si="8"/>
        <v/>
      </c>
      <c r="D44" s="135" t="str">
        <f t="shared" si="0"/>
        <v/>
      </c>
      <c r="E44" s="135" t="str">
        <f t="shared" si="1"/>
        <v/>
      </c>
      <c r="F44" s="135" t="str">
        <f t="shared" si="2"/>
        <v/>
      </c>
      <c r="G44" s="135" t="str">
        <f>IF(A44&lt;=$B$7,SUM(F$21:$F44),"")</f>
        <v/>
      </c>
      <c r="H44" s="135" t="str">
        <f t="shared" si="3"/>
        <v/>
      </c>
      <c r="I44" s="135" t="str">
        <f>IF(A44&lt;=$B$8,SUM($H$21:H44),"")</f>
        <v/>
      </c>
      <c r="J44" s="135" t="str">
        <f t="shared" si="4"/>
        <v/>
      </c>
      <c r="K44" s="135" t="str">
        <f t="shared" si="5"/>
        <v/>
      </c>
      <c r="L44" s="135">
        <f t="shared" si="6"/>
        <v>0</v>
      </c>
    </row>
    <row r="45" spans="1:12">
      <c r="A45" s="135">
        <v>24</v>
      </c>
      <c r="B45" s="135" t="str">
        <f t="shared" si="7"/>
        <v/>
      </c>
      <c r="C45" s="135" t="str">
        <f t="shared" si="8"/>
        <v/>
      </c>
      <c r="D45" s="135" t="str">
        <f t="shared" si="0"/>
        <v/>
      </c>
      <c r="E45" s="135" t="str">
        <f t="shared" si="1"/>
        <v/>
      </c>
      <c r="F45" s="135" t="str">
        <f t="shared" si="2"/>
        <v/>
      </c>
      <c r="G45" s="135" t="str">
        <f>IF(A45&lt;=$B$7,SUM(F$21:$F45),"")</f>
        <v/>
      </c>
      <c r="H45" s="135" t="str">
        <f t="shared" si="3"/>
        <v/>
      </c>
      <c r="I45" s="135" t="str">
        <f>IF(A45&lt;=$B$8,SUM($H$21:H45),"")</f>
        <v/>
      </c>
      <c r="J45" s="135" t="str">
        <f t="shared" si="4"/>
        <v/>
      </c>
      <c r="K45" s="135" t="str">
        <f t="shared" si="5"/>
        <v/>
      </c>
      <c r="L45" s="135">
        <f t="shared" si="6"/>
        <v>0</v>
      </c>
    </row>
    <row r="46" spans="1:12">
      <c r="A46" s="135">
        <v>25</v>
      </c>
      <c r="B46" s="135" t="str">
        <f t="shared" si="7"/>
        <v/>
      </c>
      <c r="C46" s="135" t="str">
        <f t="shared" si="8"/>
        <v/>
      </c>
      <c r="D46" s="135" t="str">
        <f t="shared" si="0"/>
        <v/>
      </c>
      <c r="E46" s="135" t="str">
        <f t="shared" si="1"/>
        <v/>
      </c>
      <c r="F46" s="135" t="str">
        <f t="shared" si="2"/>
        <v/>
      </c>
      <c r="G46" s="135" t="str">
        <f>IF(A46&lt;=$B$7,SUM(F$21:$F46),"")</f>
        <v/>
      </c>
      <c r="H46" s="135" t="str">
        <f t="shared" si="3"/>
        <v/>
      </c>
      <c r="I46" s="135" t="str">
        <f>IF(A46&lt;=$B$8,SUM($H$21:H46),"")</f>
        <v/>
      </c>
      <c r="J46" s="135" t="str">
        <f t="shared" si="4"/>
        <v/>
      </c>
      <c r="K46" s="135" t="str">
        <f t="shared" si="5"/>
        <v/>
      </c>
      <c r="L46" s="135">
        <f t="shared" si="6"/>
        <v>0</v>
      </c>
    </row>
    <row r="47" spans="1:12">
      <c r="A47" s="135">
        <v>26</v>
      </c>
      <c r="B47" s="135" t="str">
        <f t="shared" si="7"/>
        <v/>
      </c>
      <c r="C47" s="135" t="str">
        <f t="shared" si="8"/>
        <v/>
      </c>
      <c r="D47" s="135" t="str">
        <f t="shared" si="0"/>
        <v/>
      </c>
      <c r="E47" s="135" t="str">
        <f t="shared" si="1"/>
        <v/>
      </c>
      <c r="F47" s="135" t="str">
        <f t="shared" si="2"/>
        <v/>
      </c>
      <c r="G47" s="135" t="str">
        <f>IF(A47&lt;=$B$7,SUM(F$21:$F47),"")</f>
        <v/>
      </c>
      <c r="H47" s="135" t="str">
        <f t="shared" si="3"/>
        <v/>
      </c>
      <c r="I47" s="135" t="str">
        <f>IF(A47&lt;=$B$8,SUM($H$21:H47),"")</f>
        <v/>
      </c>
      <c r="J47" s="135" t="str">
        <f t="shared" si="4"/>
        <v/>
      </c>
      <c r="K47" s="135" t="str">
        <f t="shared" si="5"/>
        <v/>
      </c>
      <c r="L47" s="135">
        <f t="shared" si="6"/>
        <v>0</v>
      </c>
    </row>
    <row r="48" spans="1:12">
      <c r="A48" s="135">
        <v>27</v>
      </c>
      <c r="B48" s="135" t="str">
        <f t="shared" si="7"/>
        <v/>
      </c>
      <c r="C48" s="135" t="str">
        <f t="shared" si="8"/>
        <v/>
      </c>
      <c r="D48" s="135" t="str">
        <f t="shared" si="0"/>
        <v/>
      </c>
      <c r="E48" s="135" t="str">
        <f t="shared" si="1"/>
        <v/>
      </c>
      <c r="F48" s="135" t="str">
        <f t="shared" si="2"/>
        <v/>
      </c>
      <c r="G48" s="135" t="str">
        <f>IF(A48&lt;=$B$7,SUM(F$21:$F48),"")</f>
        <v/>
      </c>
      <c r="H48" s="135" t="str">
        <f t="shared" si="3"/>
        <v/>
      </c>
      <c r="I48" s="135" t="str">
        <f>IF(A48&lt;=$B$8,SUM($H$21:H48),"")</f>
        <v/>
      </c>
      <c r="J48" s="135" t="str">
        <f t="shared" si="4"/>
        <v/>
      </c>
      <c r="K48" s="135" t="str">
        <f t="shared" si="5"/>
        <v/>
      </c>
      <c r="L48" s="135">
        <f t="shared" si="6"/>
        <v>0</v>
      </c>
    </row>
    <row r="49" spans="1:12">
      <c r="A49" s="135">
        <v>28</v>
      </c>
      <c r="B49" s="135" t="str">
        <f t="shared" si="7"/>
        <v/>
      </c>
      <c r="C49" s="135" t="str">
        <f t="shared" si="8"/>
        <v/>
      </c>
      <c r="D49" s="135" t="str">
        <f t="shared" si="0"/>
        <v/>
      </c>
      <c r="E49" s="135" t="str">
        <f t="shared" si="1"/>
        <v/>
      </c>
      <c r="F49" s="135" t="str">
        <f t="shared" si="2"/>
        <v/>
      </c>
      <c r="G49" s="135" t="str">
        <f>IF(A49&lt;=$B$7,SUM(F$21:$F49),"")</f>
        <v/>
      </c>
      <c r="H49" s="135" t="str">
        <f t="shared" si="3"/>
        <v/>
      </c>
      <c r="I49" s="135" t="str">
        <f>IF(A49&lt;=$B$8,SUM($H$21:H49),"")</f>
        <v/>
      </c>
      <c r="J49" s="135" t="str">
        <f t="shared" si="4"/>
        <v/>
      </c>
      <c r="K49" s="135" t="str">
        <f t="shared" si="5"/>
        <v/>
      </c>
      <c r="L49" s="135">
        <f t="shared" si="6"/>
        <v>0</v>
      </c>
    </row>
    <row r="50" spans="1:12">
      <c r="A50" s="135">
        <v>29</v>
      </c>
      <c r="B50" s="135" t="str">
        <f t="shared" si="7"/>
        <v/>
      </c>
      <c r="C50" s="135" t="str">
        <f t="shared" si="8"/>
        <v/>
      </c>
      <c r="D50" s="135" t="str">
        <f t="shared" si="0"/>
        <v/>
      </c>
      <c r="E50" s="135" t="str">
        <f t="shared" si="1"/>
        <v/>
      </c>
      <c r="F50" s="135" t="str">
        <f t="shared" si="2"/>
        <v/>
      </c>
      <c r="G50" s="135" t="str">
        <f>IF(A50&lt;=$B$7,SUM(F$21:$F50),"")</f>
        <v/>
      </c>
      <c r="H50" s="135" t="str">
        <f t="shared" si="3"/>
        <v/>
      </c>
      <c r="I50" s="135" t="str">
        <f>IF(A50&lt;=$B$8,SUM($H$21:H50),"")</f>
        <v/>
      </c>
      <c r="J50" s="135" t="str">
        <f t="shared" si="4"/>
        <v/>
      </c>
      <c r="K50" s="135" t="str">
        <f t="shared" si="5"/>
        <v/>
      </c>
      <c r="L50" s="135">
        <f t="shared" si="6"/>
        <v>0</v>
      </c>
    </row>
    <row r="51" spans="1:12">
      <c r="A51" s="135">
        <v>30</v>
      </c>
      <c r="B51" s="135" t="str">
        <f t="shared" si="7"/>
        <v/>
      </c>
      <c r="C51" s="135" t="str">
        <f t="shared" si="8"/>
        <v/>
      </c>
      <c r="D51" s="135" t="str">
        <f t="shared" si="0"/>
        <v/>
      </c>
      <c r="E51" s="135" t="str">
        <f t="shared" si="1"/>
        <v/>
      </c>
      <c r="F51" s="135" t="str">
        <f t="shared" si="2"/>
        <v/>
      </c>
      <c r="G51" s="135" t="str">
        <f>IF(A51&lt;=$B$7,SUM(F$21:$F51),"")</f>
        <v/>
      </c>
      <c r="H51" s="135" t="str">
        <f t="shared" si="3"/>
        <v/>
      </c>
      <c r="I51" s="135" t="str">
        <f>IF(A51&lt;=$B$8,SUM($H$21:H51),"")</f>
        <v/>
      </c>
      <c r="J51" s="135" t="str">
        <f t="shared" si="4"/>
        <v/>
      </c>
      <c r="K51" s="135" t="str">
        <f t="shared" si="5"/>
        <v/>
      </c>
      <c r="L51" s="135">
        <f t="shared" si="6"/>
        <v>0</v>
      </c>
    </row>
    <row r="52" spans="1:12">
      <c r="A52" s="135">
        <v>31</v>
      </c>
      <c r="B52" s="135" t="str">
        <f t="shared" si="7"/>
        <v/>
      </c>
      <c r="C52" s="135" t="str">
        <f t="shared" si="8"/>
        <v/>
      </c>
      <c r="D52" s="135" t="str">
        <f t="shared" si="0"/>
        <v/>
      </c>
      <c r="E52" s="135" t="str">
        <f t="shared" si="1"/>
        <v/>
      </c>
      <c r="F52" s="135" t="str">
        <f t="shared" si="2"/>
        <v/>
      </c>
      <c r="G52" s="135" t="str">
        <f>IF(A52&lt;=$B$7,SUM(F$21:$F52),"")</f>
        <v/>
      </c>
      <c r="H52" s="135" t="str">
        <f t="shared" si="3"/>
        <v/>
      </c>
      <c r="I52" s="135" t="str">
        <f>IF(A52&lt;=$B$8,SUM($H$21:H52),"")</f>
        <v/>
      </c>
      <c r="J52" s="135" t="str">
        <f t="shared" si="4"/>
        <v/>
      </c>
      <c r="K52" s="135" t="str">
        <f t="shared" si="5"/>
        <v/>
      </c>
      <c r="L52" s="135">
        <f t="shared" si="6"/>
        <v>0</v>
      </c>
    </row>
  </sheetData>
  <pageMargins left="0.75" right="0.75" top="1" bottom="1" header="0.5" footer="0.5"/>
  <pageSetup orientation="portrait"/>
  <headerFooter alignWithMargins="0"/>
  <drawing r:id="rId1"/>
  <legacyDrawing r:id="rId2"/>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8"/>
  <sheetViews>
    <sheetView workbookViewId="0">
      <selection activeCell="S54" sqref="S54"/>
    </sheetView>
  </sheetViews>
  <sheetFormatPr baseColWidth="10" defaultRowHeight="15" x14ac:dyDescent="0"/>
  <cols>
    <col min="1" max="1" width="22.83203125" style="2" customWidth="1"/>
    <col min="2" max="2" width="10.83203125" style="2"/>
    <col min="3" max="3" width="9.6640625" style="2" bestFit="1" customWidth="1"/>
    <col min="4" max="16384" width="10.83203125" style="2"/>
  </cols>
  <sheetData>
    <row r="1" spans="1:8" ht="18">
      <c r="A1" s="39" t="s">
        <v>823</v>
      </c>
    </row>
    <row r="3" spans="1:8" ht="18">
      <c r="A3" s="3" t="s">
        <v>811</v>
      </c>
      <c r="B3" s="3" t="s">
        <v>812</v>
      </c>
      <c r="C3" s="3"/>
      <c r="D3" s="3"/>
      <c r="E3" s="3"/>
      <c r="F3" s="3"/>
      <c r="G3" s="3"/>
      <c r="H3" s="3"/>
    </row>
    <row r="4" spans="1:8">
      <c r="A4" s="1"/>
      <c r="B4" s="1"/>
    </row>
    <row r="6" spans="1:8" ht="16" thickBot="1">
      <c r="A6" s="5" t="s">
        <v>1</v>
      </c>
    </row>
    <row r="7" spans="1:8">
      <c r="A7" s="8" t="s">
        <v>813</v>
      </c>
      <c r="B7" s="85">
        <v>1</v>
      </c>
    </row>
    <row r="8" spans="1:8">
      <c r="A8" s="10" t="s">
        <v>814</v>
      </c>
      <c r="B8" s="11">
        <v>100</v>
      </c>
    </row>
    <row r="9" spans="1:8" ht="16" thickBot="1">
      <c r="A9" s="12" t="s">
        <v>815</v>
      </c>
      <c r="B9" s="484">
        <v>0.8</v>
      </c>
      <c r="C9" s="2" t="s">
        <v>824</v>
      </c>
    </row>
    <row r="11" spans="1:8">
      <c r="A11" s="2" t="s">
        <v>816</v>
      </c>
      <c r="B11" s="69">
        <f>B8/B7^(LN(B9)/LN(2))</f>
        <v>100</v>
      </c>
    </row>
    <row r="12" spans="1:8">
      <c r="A12" s="2" t="s">
        <v>817</v>
      </c>
      <c r="B12" s="69">
        <f>LOG(B9)/LOG(2)</f>
        <v>-0.32192809488736229</v>
      </c>
    </row>
    <row r="14" spans="1:8" ht="16" thickBot="1">
      <c r="A14" s="23" t="s">
        <v>82</v>
      </c>
    </row>
    <row r="15" spans="1:8" ht="30">
      <c r="A15" s="29" t="s">
        <v>818</v>
      </c>
      <c r="B15" s="30" t="s">
        <v>632</v>
      </c>
      <c r="C15" s="485" t="s">
        <v>819</v>
      </c>
    </row>
    <row r="16" spans="1:8">
      <c r="A16" s="28" t="s">
        <v>820</v>
      </c>
      <c r="B16" s="27">
        <f>$B$11*POWER( 1,$B$12)</f>
        <v>100</v>
      </c>
      <c r="C16" s="35">
        <f>SUM(B16:B16)</f>
        <v>100</v>
      </c>
    </row>
    <row r="17" spans="1:3">
      <c r="A17" s="28" t="s">
        <v>821</v>
      </c>
      <c r="B17" s="27">
        <f>$B$11*POWER( 2,$B$12)</f>
        <v>80</v>
      </c>
      <c r="C17" s="35">
        <f>SUM(B16:B17)</f>
        <v>180</v>
      </c>
    </row>
    <row r="18" spans="1:3" ht="16" thickBot="1">
      <c r="A18" s="31" t="s">
        <v>822</v>
      </c>
      <c r="B18" s="32">
        <f>$B$11*POWER( 3,$B$12)</f>
        <v>70.210370277856015</v>
      </c>
      <c r="C18" s="36">
        <f>SUM(B16:B18)</f>
        <v>250.21037027785601</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2"/>
  <sheetViews>
    <sheetView workbookViewId="0">
      <selection activeCell="B13" sqref="B13"/>
    </sheetView>
  </sheetViews>
  <sheetFormatPr baseColWidth="10" defaultRowHeight="15" x14ac:dyDescent="0"/>
  <cols>
    <col min="1" max="1" width="22.83203125" style="2" customWidth="1"/>
    <col min="2" max="2" width="10.83203125" style="2"/>
    <col min="3" max="3" width="9.6640625" style="2" bestFit="1" customWidth="1"/>
    <col min="4" max="16384" width="10.83203125" style="2"/>
  </cols>
  <sheetData>
    <row r="1" spans="1:8" ht="18">
      <c r="A1" s="39" t="s">
        <v>871</v>
      </c>
    </row>
    <row r="3" spans="1:8" ht="18">
      <c r="A3" s="3" t="s">
        <v>811</v>
      </c>
      <c r="B3" s="3" t="s">
        <v>825</v>
      </c>
      <c r="C3" s="3"/>
      <c r="D3" s="3"/>
      <c r="E3" s="3"/>
      <c r="F3" s="3"/>
      <c r="G3" s="3"/>
      <c r="H3" s="3"/>
    </row>
    <row r="4" spans="1:8">
      <c r="A4" s="1"/>
      <c r="B4" s="1"/>
    </row>
    <row r="6" spans="1:8" ht="16" thickBot="1">
      <c r="A6" s="5" t="s">
        <v>1</v>
      </c>
    </row>
    <row r="7" spans="1:8">
      <c r="A7" s="8"/>
      <c r="B7" s="90" t="s">
        <v>826</v>
      </c>
      <c r="C7" s="85" t="s">
        <v>632</v>
      </c>
    </row>
    <row r="8" spans="1:8">
      <c r="A8" s="10" t="s">
        <v>827</v>
      </c>
      <c r="B8" s="7">
        <v>1</v>
      </c>
      <c r="C8" s="11">
        <v>448</v>
      </c>
    </row>
    <row r="9" spans="1:8" ht="16" thickBot="1">
      <c r="A9" s="12" t="s">
        <v>828</v>
      </c>
      <c r="B9" s="40">
        <v>45</v>
      </c>
      <c r="C9" s="13">
        <v>184</v>
      </c>
    </row>
    <row r="11" spans="1:8" ht="16" thickBot="1">
      <c r="A11" s="23" t="s">
        <v>82</v>
      </c>
    </row>
    <row r="12" spans="1:8">
      <c r="A12" s="29" t="s">
        <v>817</v>
      </c>
      <c r="B12" s="68">
        <f>LN(C9/C8)/LN(B9/B8)</f>
        <v>-0.23376316581712248</v>
      </c>
    </row>
    <row r="13" spans="1:8">
      <c r="A13" s="28" t="s">
        <v>815</v>
      </c>
      <c r="B13" s="35">
        <f>EXP(B12 * LN(2))</f>
        <v>0.85041375333234281</v>
      </c>
    </row>
    <row r="14" spans="1:8" ht="16" thickBot="1">
      <c r="A14" s="31" t="s">
        <v>816</v>
      </c>
      <c r="B14" s="36">
        <f>C8/B8^(LN(B13)/LN(2))</f>
        <v>448</v>
      </c>
    </row>
    <row r="16" spans="1:8" ht="16" thickBot="1"/>
    <row r="17" spans="1:3" ht="30">
      <c r="A17" s="29" t="s">
        <v>818</v>
      </c>
      <c r="B17" s="30" t="s">
        <v>632</v>
      </c>
      <c r="C17" s="485" t="s">
        <v>819</v>
      </c>
    </row>
    <row r="18" spans="1:3">
      <c r="A18" s="28" t="s">
        <v>820</v>
      </c>
      <c r="B18" s="27">
        <f>B14*POWER( 1,B12)</f>
        <v>448</v>
      </c>
      <c r="C18" s="35">
        <f>SUM(B18:B18)</f>
        <v>448</v>
      </c>
    </row>
    <row r="19" spans="1:3">
      <c r="A19" s="28" t="s">
        <v>821</v>
      </c>
      <c r="B19" s="27">
        <f>B14*POWER( 2,B12)</f>
        <v>380.98536149288958</v>
      </c>
      <c r="C19" s="35">
        <f>SUM(B18:B19)</f>
        <v>828.98536149288952</v>
      </c>
    </row>
    <row r="20" spans="1:3">
      <c r="A20" s="28" t="s">
        <v>822</v>
      </c>
      <c r="B20" s="27">
        <f>B14*POWER( 3,B12)</f>
        <v>346.53303244241994</v>
      </c>
      <c r="C20" s="35">
        <f>SUM(B18:B20)</f>
        <v>1175.5183939353094</v>
      </c>
    </row>
    <row r="21" spans="1:3">
      <c r="A21" s="28" t="s">
        <v>829</v>
      </c>
      <c r="B21" s="27">
        <f>B14*POWER( 4,B12)</f>
        <v>323.99519123184768</v>
      </c>
      <c r="C21" s="35">
        <f>SUM(B18:B21)</f>
        <v>1499.5135851671571</v>
      </c>
    </row>
    <row r="22" spans="1:3">
      <c r="A22" s="28" t="s">
        <v>830</v>
      </c>
      <c r="B22" s="27">
        <f>B14*POWER( 5,B12)</f>
        <v>307.52793566717156</v>
      </c>
      <c r="C22" s="35">
        <f>SUM(B18:B22)</f>
        <v>1807.0415208343286</v>
      </c>
    </row>
    <row r="23" spans="1:3">
      <c r="A23" s="28" t="s">
        <v>831</v>
      </c>
      <c r="B23" s="27">
        <f>B14*POWER( 6,B12)</f>
        <v>294.69645677299684</v>
      </c>
      <c r="C23" s="35">
        <f>SUM(B18:B23)</f>
        <v>2101.7379776073253</v>
      </c>
    </row>
    <row r="24" spans="1:3">
      <c r="A24" s="28" t="s">
        <v>832</v>
      </c>
      <c r="B24" s="27">
        <f>B14*POWER( 7,B12)</f>
        <v>284.26619786375528</v>
      </c>
      <c r="C24" s="35">
        <f>SUM(B18:B24)</f>
        <v>2386.0041754710805</v>
      </c>
    </row>
    <row r="25" spans="1:3">
      <c r="A25" s="28" t="s">
        <v>833</v>
      </c>
      <c r="B25" s="27">
        <f>B14*POWER( 8,B12)</f>
        <v>275.52996663710576</v>
      </c>
      <c r="C25" s="35">
        <f>SUM(B18:B25)</f>
        <v>2661.5341421081862</v>
      </c>
    </row>
    <row r="26" spans="1:3">
      <c r="A26" s="28" t="s">
        <v>834</v>
      </c>
      <c r="B26" s="27">
        <f>B14*POWER( 9,B12)</f>
        <v>268.04719324495369</v>
      </c>
      <c r="C26" s="35">
        <f>SUM(B18:B26)</f>
        <v>2929.5813353531398</v>
      </c>
    </row>
    <row r="27" spans="1:3">
      <c r="A27" s="28" t="s">
        <v>835</v>
      </c>
      <c r="B27" s="27">
        <f>B14*POWER( 10,B12)</f>
        <v>261.5259860252666</v>
      </c>
      <c r="C27" s="35">
        <f>SUM(B18:B27)</f>
        <v>3191.1073213784066</v>
      </c>
    </row>
    <row r="28" spans="1:3">
      <c r="A28" s="28" t="s">
        <v>836</v>
      </c>
      <c r="B28" s="27">
        <f>B14*POWER( 11,B12)</f>
        <v>255.76361580599564</v>
      </c>
      <c r="C28" s="35">
        <f>SUM(B18:B28)</f>
        <v>3446.8709371844025</v>
      </c>
    </row>
    <row r="29" spans="1:3">
      <c r="A29" s="28" t="s">
        <v>837</v>
      </c>
      <c r="B29" s="27">
        <f>B14*POWER( 12,B12)</f>
        <v>250.61391989806674</v>
      </c>
      <c r="C29" s="35">
        <f>SUM(B18:B29)</f>
        <v>3697.4848570824693</v>
      </c>
    </row>
    <row r="30" spans="1:3">
      <c r="A30" s="28" t="s">
        <v>838</v>
      </c>
      <c r="B30" s="27">
        <f>B14*POWER( 13,B12)</f>
        <v>245.96827161866179</v>
      </c>
      <c r="C30" s="35">
        <f>SUM(B18:B30)</f>
        <v>3943.4531287011309</v>
      </c>
    </row>
    <row r="31" spans="1:3">
      <c r="A31" s="28" t="s">
        <v>839</v>
      </c>
      <c r="B31" s="27">
        <f>B14*POWER( 14,B12)</f>
        <v>241.74388427083056</v>
      </c>
      <c r="C31" s="35">
        <f>SUM(B18:B31)</f>
        <v>4185.1970129719612</v>
      </c>
    </row>
    <row r="32" spans="1:3">
      <c r="A32" s="28" t="s">
        <v>840</v>
      </c>
      <c r="B32" s="27">
        <f>B14*POWER( 15,B12)</f>
        <v>237.87631273996064</v>
      </c>
      <c r="C32" s="35">
        <f>SUM(B18:B32)</f>
        <v>4423.0733257119218</v>
      </c>
    </row>
    <row r="33" spans="1:3">
      <c r="A33" s="28" t="s">
        <v>841</v>
      </c>
      <c r="B33" s="27">
        <f>B14*POWER( 16,B12)</f>
        <v>234.31447308339631</v>
      </c>
      <c r="C33" s="35">
        <f>SUM(B18:B33)</f>
        <v>4657.3877987953183</v>
      </c>
    </row>
    <row r="34" spans="1:3">
      <c r="A34" s="28" t="s">
        <v>842</v>
      </c>
      <c r="B34" s="27">
        <f>B14*POWER( 17,B12)</f>
        <v>231.0172335087608</v>
      </c>
      <c r="C34" s="35">
        <f>SUM(B18:B34)</f>
        <v>4888.4050323040792</v>
      </c>
    </row>
    <row r="35" spans="1:3">
      <c r="A35" s="28" t="s">
        <v>843</v>
      </c>
      <c r="B35" s="27">
        <f>B14*POWER( 18,B12)</f>
        <v>227.95101967764083</v>
      </c>
      <c r="C35" s="35">
        <f>SUM(B18:B35)</f>
        <v>5116.3560519817202</v>
      </c>
    </row>
    <row r="36" spans="1:3">
      <c r="A36" s="28" t="s">
        <v>844</v>
      </c>
      <c r="B36" s="27">
        <f>B14*POWER( 19,B12)</f>
        <v>225.08809414041613</v>
      </c>
      <c r="C36" s="35">
        <f>SUM(B18:B36)</f>
        <v>5341.4441461221359</v>
      </c>
    </row>
    <row r="37" spans="1:3">
      <c r="A37" s="28" t="s">
        <v>845</v>
      </c>
      <c r="B37" s="27">
        <f>B14*POWER( 20,B12)</f>
        <v>222.40529536968884</v>
      </c>
      <c r="C37" s="35">
        <f>SUM(B18:B37)</f>
        <v>5563.849441491825</v>
      </c>
    </row>
    <row r="38" spans="1:3">
      <c r="A38" s="28" t="s">
        <v>846</v>
      </c>
      <c r="B38" s="27">
        <f>B14*POWER( 21,B12)</f>
        <v>219.88309724688403</v>
      </c>
      <c r="C38" s="35">
        <f>SUM(B18:B38)</f>
        <v>5783.7325387387091</v>
      </c>
    </row>
    <row r="39" spans="1:3">
      <c r="A39" s="28" t="s">
        <v>847</v>
      </c>
      <c r="B39" s="27">
        <f>B14*POWER( 22,B12)</f>
        <v>217.50489648342804</v>
      </c>
      <c r="C39" s="35">
        <f>SUM(B18:B39)</f>
        <v>6001.2374352221368</v>
      </c>
    </row>
    <row r="40" spans="1:3">
      <c r="A40" s="28" t="s">
        <v>848</v>
      </c>
      <c r="B40" s="27">
        <f>B14*POWER( 23,B12)</f>
        <v>215.25646508569403</v>
      </c>
      <c r="C40" s="35">
        <f>SUM(B18:B40)</f>
        <v>6216.4939003078307</v>
      </c>
    </row>
    <row r="41" spans="1:3">
      <c r="A41" s="28" t="s">
        <v>849</v>
      </c>
      <c r="B41" s="27">
        <f>B14*POWER( 24,B12)</f>
        <v>213.12552425784608</v>
      </c>
      <c r="C41" s="35">
        <f>SUM(B18:B41)</f>
        <v>6429.619424565677</v>
      </c>
    </row>
    <row r="42" spans="1:3">
      <c r="A42" s="28" t="s">
        <v>850</v>
      </c>
      <c r="B42" s="27">
        <f>B14*POWER( 25,B12)</f>
        <v>211.10140896364283</v>
      </c>
      <c r="C42" s="35">
        <f>SUM(B18:B42)</f>
        <v>6640.7208335293199</v>
      </c>
    </row>
    <row r="43" spans="1:3">
      <c r="A43" s="28" t="s">
        <v>851</v>
      </c>
      <c r="B43" s="27">
        <f>B14*POWER( 26,B12)</f>
        <v>209.17480106789532</v>
      </c>
      <c r="C43" s="35">
        <f>SUM(B18:B43)</f>
        <v>6849.8956345972156</v>
      </c>
    </row>
    <row r="44" spans="1:3">
      <c r="A44" s="28" t="s">
        <v>852</v>
      </c>
      <c r="B44" s="27">
        <f>B14*POWER( 27,B12)</f>
        <v>207.33751498404712</v>
      </c>
      <c r="C44" s="35">
        <f>SUM(B18:B44)</f>
        <v>7057.2331495812623</v>
      </c>
    </row>
    <row r="45" spans="1:3">
      <c r="A45" s="28" t="s">
        <v>853</v>
      </c>
      <c r="B45" s="27">
        <f>B14*POWER( 28,B12)</f>
        <v>205.58232396789654</v>
      </c>
      <c r="C45" s="35">
        <f>SUM(B18:B45)</f>
        <v>7262.8154735491589</v>
      </c>
    </row>
    <row r="46" spans="1:3">
      <c r="A46" s="28" t="s">
        <v>854</v>
      </c>
      <c r="B46" s="27">
        <f>B14*POWER( 29,B12)</f>
        <v>203.90281819766327</v>
      </c>
      <c r="C46" s="35">
        <f>SUM(B18:B46)</f>
        <v>7466.7182917468226</v>
      </c>
    </row>
    <row r="47" spans="1:3">
      <c r="A47" s="28" t="s">
        <v>855</v>
      </c>
      <c r="B47" s="27">
        <f>B14*POWER( 30,B12)</f>
        <v>202.29328794604817</v>
      </c>
      <c r="C47" s="35">
        <f>SUM(B18:B47)</f>
        <v>7669.0115796928712</v>
      </c>
    </row>
    <row r="48" spans="1:3">
      <c r="A48" s="28" t="s">
        <v>856</v>
      </c>
      <c r="B48" s="27">
        <f>B14*POWER( 31,B12)</f>
        <v>200.74862673260142</v>
      </c>
      <c r="C48" s="35">
        <f>SUM(B18:B48)</f>
        <v>7869.7602064254725</v>
      </c>
    </row>
    <row r="49" spans="1:3">
      <c r="A49" s="28" t="s">
        <v>857</v>
      </c>
      <c r="B49" s="27">
        <f>B14*POWER( 32,B12)</f>
        <v>199.2642505149413</v>
      </c>
      <c r="C49" s="35">
        <f>SUM(B18:B49)</f>
        <v>8069.024456940414</v>
      </c>
    </row>
    <row r="50" spans="1:3">
      <c r="A50" s="28" t="s">
        <v>858</v>
      </c>
      <c r="B50" s="27">
        <f>B14*POWER( 33,B12)</f>
        <v>197.83602985198593</v>
      </c>
      <c r="C50" s="35">
        <f>SUM(B18:B50)</f>
        <v>8266.8604867924005</v>
      </c>
    </row>
    <row r="51" spans="1:3">
      <c r="A51" s="28" t="s">
        <v>859</v>
      </c>
      <c r="B51" s="27">
        <f>B14*POWER( 34,B12)</f>
        <v>196.46023263263953</v>
      </c>
      <c r="C51" s="35">
        <f>SUM(B18:B51)</f>
        <v>8463.3207194250408</v>
      </c>
    </row>
    <row r="52" spans="1:3">
      <c r="A52" s="28" t="s">
        <v>860</v>
      </c>
      <c r="B52" s="27">
        <f>B14*POWER( 35,B12)</f>
        <v>195.13347546650976</v>
      </c>
      <c r="C52" s="35">
        <f>SUM(B18:B52)</f>
        <v>8658.4541948915503</v>
      </c>
    </row>
    <row r="53" spans="1:3">
      <c r="A53" s="28" t="s">
        <v>861</v>
      </c>
      <c r="B53" s="27">
        <f>B14*POWER( 36,B12)</f>
        <v>193.85268221999729</v>
      </c>
      <c r="C53" s="35">
        <f>SUM(B18:B53)</f>
        <v>8852.3068771115468</v>
      </c>
    </row>
    <row r="54" spans="1:3">
      <c r="A54" s="28" t="s">
        <v>862</v>
      </c>
      <c r="B54" s="27">
        <f>B14*POWER( 37,B12)</f>
        <v>192.61504848084886</v>
      </c>
      <c r="C54" s="35">
        <f>SUM(B18:B54)</f>
        <v>9044.9219255923963</v>
      </c>
    </row>
    <row r="55" spans="1:3">
      <c r="A55" s="28" t="s">
        <v>863</v>
      </c>
      <c r="B55" s="27">
        <f>B14*POWER( 38,B12)</f>
        <v>191.418010968375</v>
      </c>
      <c r="C55" s="35">
        <f>SUM(B18:B55)</f>
        <v>9236.3399365607711</v>
      </c>
    </row>
    <row r="56" spans="1:3">
      <c r="A56" s="28" t="s">
        <v>864</v>
      </c>
      <c r="B56" s="27">
        <f>B14*POWER( 39,B12)</f>
        <v>190.25922109070464</v>
      </c>
      <c r="C56" s="35">
        <f>SUM(B18:B56)</f>
        <v>9426.5991576514753</v>
      </c>
    </row>
    <row r="57" spans="1:3">
      <c r="A57" s="28" t="s">
        <v>865</v>
      </c>
      <c r="B57" s="27">
        <f>B14*POWER( 40,B12)</f>
        <v>189.13652199632537</v>
      </c>
      <c r="C57" s="35">
        <f>SUM(B18:B57)</f>
        <v>9615.7356796477998</v>
      </c>
    </row>
    <row r="58" spans="1:3">
      <c r="A58" s="28" t="s">
        <v>866</v>
      </c>
      <c r="B58" s="27">
        <f>B14*POWER( 41,B12)</f>
        <v>188.04792858345508</v>
      </c>
      <c r="C58" s="35">
        <f>SUM(B18:B58)</f>
        <v>9803.7836082312551</v>
      </c>
    </row>
    <row r="59" spans="1:3">
      <c r="A59" s="28" t="s">
        <v>867</v>
      </c>
      <c r="B59" s="27">
        <f>B14*POWER( 42,B12)</f>
        <v>186.99161002406322</v>
      </c>
      <c r="C59" s="35">
        <f>SUM(B18:B59)</f>
        <v>9990.7752182553177</v>
      </c>
    </row>
    <row r="60" spans="1:3">
      <c r="A60" s="28" t="s">
        <v>868</v>
      </c>
      <c r="B60" s="27">
        <f>B14*POWER( 43,B12)</f>
        <v>185.96587443461351</v>
      </c>
      <c r="C60" s="35">
        <f>SUM(B18:B60)</f>
        <v>10176.741092689932</v>
      </c>
    </row>
    <row r="61" spans="1:3">
      <c r="A61" s="28" t="s">
        <v>869</v>
      </c>
      <c r="B61" s="27">
        <f>B14*POWER( 44,B12)</f>
        <v>184.96915538663478</v>
      </c>
      <c r="C61" s="35">
        <f>SUM(B18:B61)</f>
        <v>10361.710248076566</v>
      </c>
    </row>
    <row r="62" spans="1:3" ht="16" thickBot="1">
      <c r="A62" s="31" t="s">
        <v>870</v>
      </c>
      <c r="B62" s="32">
        <f>B14*POWER( 45,B12)</f>
        <v>184</v>
      </c>
      <c r="C62" s="36">
        <f>SUM(B18:B62)</f>
        <v>10545.710248076566</v>
      </c>
    </row>
  </sheetData>
  <phoneticPr fontId="59" type="noConversion"/>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5" enableFormatConditionsCalculation="0"/>
  <dimension ref="A1:M28"/>
  <sheetViews>
    <sheetView topLeftCell="A2" workbookViewId="0">
      <selection activeCell="I39" sqref="I39"/>
    </sheetView>
  </sheetViews>
  <sheetFormatPr baseColWidth="10" defaultColWidth="8.6640625" defaultRowHeight="15" x14ac:dyDescent="0"/>
  <cols>
    <col min="1" max="1" width="14.83203125" style="135" bestFit="1" customWidth="1"/>
    <col min="2" max="2" width="15.1640625" style="135" bestFit="1" customWidth="1"/>
    <col min="3" max="3" width="8.6640625" style="135"/>
    <col min="4" max="4" width="17.5" style="135" bestFit="1" customWidth="1"/>
    <col min="5" max="5" width="15.33203125" style="153" bestFit="1" customWidth="1"/>
    <col min="6" max="7" width="10.83203125" style="135" customWidth="1"/>
    <col min="8" max="8" width="10" style="135" customWidth="1"/>
    <col min="9" max="9" width="4.33203125" style="135" customWidth="1"/>
    <col min="10" max="10" width="8.5" style="135" customWidth="1"/>
    <col min="11" max="11" width="16.6640625" style="135" bestFit="1" customWidth="1"/>
    <col min="12" max="12" width="11.5" style="135" customWidth="1"/>
    <col min="13" max="13" width="10.6640625" style="135" customWidth="1"/>
    <col min="14" max="16384" width="8.6640625" style="135"/>
  </cols>
  <sheetData>
    <row r="1" spans="1:13" ht="18">
      <c r="A1" s="157" t="s">
        <v>872</v>
      </c>
    </row>
    <row r="3" spans="1:13" ht="16">
      <c r="A3" s="380" t="s">
        <v>872</v>
      </c>
      <c r="B3" s="204"/>
      <c r="C3" s="204"/>
      <c r="D3" s="204"/>
      <c r="E3" s="495"/>
      <c r="F3" s="204"/>
      <c r="G3" s="204"/>
      <c r="H3" s="204"/>
    </row>
    <row r="6" spans="1:13" ht="16" thickBot="1">
      <c r="B6" s="181" t="s">
        <v>1</v>
      </c>
      <c r="F6" s="138" t="s">
        <v>873</v>
      </c>
      <c r="J6" s="138" t="s">
        <v>874</v>
      </c>
    </row>
    <row r="7" spans="1:13" ht="31" thickBot="1">
      <c r="A7" s="486" t="s">
        <v>875</v>
      </c>
      <c r="B7" s="182" t="s">
        <v>876</v>
      </c>
      <c r="C7" s="389" t="s">
        <v>616</v>
      </c>
      <c r="D7" s="384" t="s">
        <v>877</v>
      </c>
      <c r="F7" s="490" t="s">
        <v>428</v>
      </c>
      <c r="G7" s="491" t="s">
        <v>767</v>
      </c>
      <c r="H7" s="492" t="s">
        <v>878</v>
      </c>
      <c r="I7" s="482"/>
      <c r="J7" s="209" t="s">
        <v>616</v>
      </c>
      <c r="K7" s="493" t="s">
        <v>879</v>
      </c>
      <c r="L7" s="493" t="s">
        <v>880</v>
      </c>
      <c r="M7" s="494" t="s">
        <v>881</v>
      </c>
    </row>
    <row r="8" spans="1:13">
      <c r="A8" s="392">
        <v>1</v>
      </c>
      <c r="B8" s="182" t="s">
        <v>882</v>
      </c>
      <c r="C8" s="489">
        <v>0</v>
      </c>
      <c r="D8" s="183">
        <v>10</v>
      </c>
      <c r="F8" s="423">
        <f t="shared" ref="F8:F13" si="0">D8/$D$14</f>
        <v>0.05</v>
      </c>
      <c r="G8" s="422">
        <f>F8</f>
        <v>0.05</v>
      </c>
      <c r="H8" s="428">
        <f t="shared" ref="H8:H13" si="1">C8*D8</f>
        <v>0</v>
      </c>
      <c r="J8" s="195">
        <f t="shared" ref="J8:J13" si="2">C8</f>
        <v>0</v>
      </c>
      <c r="K8" s="376">
        <f t="array" aca="1" ref="K8:K13" ca="1">FREQUENCY($C$18:$C$27,$J$8:$J$14)</f>
        <v>1</v>
      </c>
      <c r="L8" s="376">
        <f t="shared" ref="L8:L13" ca="1" si="3">K8/$K$14</f>
        <v>0.1</v>
      </c>
      <c r="M8" s="197">
        <f t="shared" ref="M8:M13" ca="1" si="4">K8*J8</f>
        <v>0</v>
      </c>
    </row>
    <row r="9" spans="1:13">
      <c r="A9" s="392">
        <f>100*G8+1</f>
        <v>6</v>
      </c>
      <c r="B9" s="184" t="s">
        <v>883</v>
      </c>
      <c r="C9" s="201">
        <v>1</v>
      </c>
      <c r="D9" s="185">
        <v>20</v>
      </c>
      <c r="F9" s="423">
        <f t="shared" si="0"/>
        <v>0.1</v>
      </c>
      <c r="G9" s="422">
        <f>F9+G8</f>
        <v>0.15000000000000002</v>
      </c>
      <c r="H9" s="428">
        <f t="shared" si="1"/>
        <v>20</v>
      </c>
      <c r="J9" s="195">
        <f t="shared" si="2"/>
        <v>1</v>
      </c>
      <c r="K9" s="376">
        <f ca="1"/>
        <v>0</v>
      </c>
      <c r="L9" s="376">
        <f t="shared" ca="1" si="3"/>
        <v>0</v>
      </c>
      <c r="M9" s="197">
        <f t="shared" ca="1" si="4"/>
        <v>0</v>
      </c>
    </row>
    <row r="10" spans="1:13">
      <c r="A10" s="392">
        <f>100*G9+1</f>
        <v>16</v>
      </c>
      <c r="B10" s="184" t="s">
        <v>887</v>
      </c>
      <c r="C10" s="201">
        <v>2</v>
      </c>
      <c r="D10" s="185">
        <v>40</v>
      </c>
      <c r="F10" s="423">
        <f t="shared" si="0"/>
        <v>0.2</v>
      </c>
      <c r="G10" s="422">
        <f>F10+G9</f>
        <v>0.35000000000000003</v>
      </c>
      <c r="H10" s="428">
        <f t="shared" si="1"/>
        <v>80</v>
      </c>
      <c r="J10" s="195">
        <f t="shared" si="2"/>
        <v>2</v>
      </c>
      <c r="K10" s="376">
        <f ca="1"/>
        <v>2</v>
      </c>
      <c r="L10" s="376">
        <f t="shared" ca="1" si="3"/>
        <v>0.2</v>
      </c>
      <c r="M10" s="197">
        <f t="shared" ca="1" si="4"/>
        <v>4</v>
      </c>
    </row>
    <row r="11" spans="1:13">
      <c r="A11" s="392">
        <f>100*G10+1</f>
        <v>36</v>
      </c>
      <c r="B11" s="184" t="s">
        <v>888</v>
      </c>
      <c r="C11" s="201">
        <v>3</v>
      </c>
      <c r="D11" s="185">
        <v>60</v>
      </c>
      <c r="F11" s="423">
        <f t="shared" si="0"/>
        <v>0.3</v>
      </c>
      <c r="G11" s="422">
        <f>F11+G10</f>
        <v>0.65</v>
      </c>
      <c r="H11" s="428">
        <f t="shared" si="1"/>
        <v>180</v>
      </c>
      <c r="J11" s="195">
        <f t="shared" si="2"/>
        <v>3</v>
      </c>
      <c r="K11" s="376">
        <f ca="1"/>
        <v>3</v>
      </c>
      <c r="L11" s="376">
        <f t="shared" ca="1" si="3"/>
        <v>0.3</v>
      </c>
      <c r="M11" s="197">
        <f t="shared" ca="1" si="4"/>
        <v>9</v>
      </c>
    </row>
    <row r="12" spans="1:13">
      <c r="A12" s="392">
        <f>100*G11+1</f>
        <v>66</v>
      </c>
      <c r="B12" s="184" t="s">
        <v>889</v>
      </c>
      <c r="C12" s="201">
        <v>4</v>
      </c>
      <c r="D12" s="185">
        <v>40</v>
      </c>
      <c r="F12" s="423">
        <f t="shared" si="0"/>
        <v>0.2</v>
      </c>
      <c r="G12" s="422">
        <f>F12+G11</f>
        <v>0.85000000000000009</v>
      </c>
      <c r="H12" s="428">
        <f t="shared" si="1"/>
        <v>160</v>
      </c>
      <c r="J12" s="195">
        <f t="shared" si="2"/>
        <v>4</v>
      </c>
      <c r="K12" s="376">
        <f ca="1"/>
        <v>3</v>
      </c>
      <c r="L12" s="376">
        <f t="shared" ca="1" si="3"/>
        <v>0.3</v>
      </c>
      <c r="M12" s="197">
        <f t="shared" ca="1" si="4"/>
        <v>12</v>
      </c>
    </row>
    <row r="13" spans="1:13" ht="16" thickBot="1">
      <c r="A13" s="392">
        <f>100*G12+1</f>
        <v>86.000000000000014</v>
      </c>
      <c r="B13" s="186" t="s">
        <v>890</v>
      </c>
      <c r="C13" s="375">
        <v>5</v>
      </c>
      <c r="D13" s="187">
        <v>30</v>
      </c>
      <c r="F13" s="425">
        <f t="shared" si="0"/>
        <v>0.15</v>
      </c>
      <c r="G13" s="426">
        <f>F13+G12</f>
        <v>1</v>
      </c>
      <c r="H13" s="429">
        <f t="shared" si="1"/>
        <v>150</v>
      </c>
      <c r="J13" s="188">
        <f t="shared" si="2"/>
        <v>5</v>
      </c>
      <c r="K13" s="387">
        <f ca="1"/>
        <v>1</v>
      </c>
      <c r="L13" s="387">
        <f t="shared" ca="1" si="3"/>
        <v>0.1</v>
      </c>
      <c r="M13" s="388">
        <f t="shared" ca="1" si="4"/>
        <v>5</v>
      </c>
    </row>
    <row r="14" spans="1:13">
      <c r="B14" s="135" t="s">
        <v>18</v>
      </c>
      <c r="D14" s="135">
        <f>SUM(D8:D13)</f>
        <v>200</v>
      </c>
      <c r="E14" s="135"/>
      <c r="G14" s="138" t="s">
        <v>438</v>
      </c>
      <c r="H14" s="138">
        <f>SUM(H8:H13)/D14</f>
        <v>2.95</v>
      </c>
      <c r="J14" s="487" t="s">
        <v>514</v>
      </c>
      <c r="K14" s="487">
        <f ca="1">SUM(K8:K13)</f>
        <v>10</v>
      </c>
      <c r="L14" s="487">
        <v>1</v>
      </c>
      <c r="M14" s="487">
        <f ca="1">SUM(M8:M13)</f>
        <v>30</v>
      </c>
    </row>
    <row r="15" spans="1:13">
      <c r="J15" s="138"/>
      <c r="K15" s="138"/>
      <c r="L15" s="487" t="s">
        <v>19</v>
      </c>
      <c r="M15" s="487">
        <f ca="1">M14/K14</f>
        <v>3</v>
      </c>
    </row>
    <row r="16" spans="1:13" ht="16" thickBot="1">
      <c r="A16" s="138" t="s">
        <v>884</v>
      </c>
    </row>
    <row r="17" spans="1:11">
      <c r="A17" s="209" t="s">
        <v>885</v>
      </c>
      <c r="B17" s="377" t="s">
        <v>886</v>
      </c>
      <c r="C17" s="210" t="s">
        <v>3</v>
      </c>
      <c r="D17" s="138" t="s">
        <v>933</v>
      </c>
      <c r="E17" s="506" t="s">
        <v>934</v>
      </c>
      <c r="F17" s="138" t="s">
        <v>935</v>
      </c>
      <c r="G17" s="138" t="s">
        <v>664</v>
      </c>
      <c r="H17" s="138" t="s">
        <v>936</v>
      </c>
    </row>
    <row r="18" spans="1:11">
      <c r="A18" s="195">
        <v>1</v>
      </c>
      <c r="B18" s="376">
        <f ca="1">ROUNDDOWN(100*RAND(),0)</f>
        <v>28</v>
      </c>
      <c r="C18" s="197">
        <f t="shared" ref="C18:C27" ca="1" si="5">VLOOKUP(B18,$A$8:$C$13,3)</f>
        <v>2</v>
      </c>
      <c r="D18" s="138">
        <v>10</v>
      </c>
      <c r="E18" s="506">
        <f ca="1">MAX(D18-C18,0)</f>
        <v>8</v>
      </c>
      <c r="F18" s="138">
        <f ca="1">IF(E18&lt;6, 10, 0)</f>
        <v>0</v>
      </c>
      <c r="G18" s="138">
        <f ca="1">IF(F18=10, RANDBETWEEN(1,3),0)</f>
        <v>0</v>
      </c>
      <c r="H18" s="138">
        <f t="shared" ref="H18:H26" ca="1" si="6">MIN(D18-C18,0)</f>
        <v>0</v>
      </c>
      <c r="K18" s="488"/>
    </row>
    <row r="19" spans="1:11">
      <c r="A19" s="195">
        <v>2</v>
      </c>
      <c r="B19" s="376">
        <f t="shared" ref="B19:B27" ca="1" si="7">ROUNDDOWN(100*RAND(),0)</f>
        <v>21</v>
      </c>
      <c r="C19" s="197">
        <f t="shared" ca="1" si="5"/>
        <v>2</v>
      </c>
      <c r="D19" s="138">
        <f ca="1">MAX(D18-C18,0)</f>
        <v>8</v>
      </c>
      <c r="E19" s="506">
        <f t="shared" ref="E19:E27" ca="1" si="8">MAX(D19-C19,0)</f>
        <v>6</v>
      </c>
      <c r="F19" s="138">
        <f ca="1">IF(AND(E19&lt;6, F18=0),10,0)</f>
        <v>0</v>
      </c>
      <c r="G19" s="138">
        <f t="shared" ref="G19:G27" ca="1" si="9">IF(F19=10, RANDBETWEEN(1,3),0)</f>
        <v>0</v>
      </c>
      <c r="H19" s="138">
        <f t="shared" ca="1" si="6"/>
        <v>0</v>
      </c>
      <c r="K19" s="488"/>
    </row>
    <row r="20" spans="1:11">
      <c r="A20" s="195">
        <v>3</v>
      </c>
      <c r="B20" s="376">
        <f t="shared" ca="1" si="7"/>
        <v>50</v>
      </c>
      <c r="C20" s="197">
        <f t="shared" ca="1" si="5"/>
        <v>3</v>
      </c>
      <c r="D20" s="138">
        <f ca="1">MAX(E19,0)+IF(G18 = 1, F18, 0)</f>
        <v>6</v>
      </c>
      <c r="E20" s="506">
        <f t="shared" ca="1" si="8"/>
        <v>3</v>
      </c>
      <c r="F20" s="138">
        <f ca="1">IF(AND(E20&lt;6, F19=0, G18 &lt; 2),10,0)</f>
        <v>10</v>
      </c>
      <c r="G20" s="138">
        <f t="shared" ca="1" si="9"/>
        <v>3</v>
      </c>
      <c r="H20" s="138">
        <f t="shared" ca="1" si="6"/>
        <v>0</v>
      </c>
      <c r="K20" s="488"/>
    </row>
    <row r="21" spans="1:11">
      <c r="A21" s="195">
        <v>4</v>
      </c>
      <c r="B21" s="376">
        <f t="shared" ca="1" si="7"/>
        <v>78</v>
      </c>
      <c r="C21" s="197">
        <f t="shared" ca="1" si="5"/>
        <v>4</v>
      </c>
      <c r="D21" s="138">
        <f ca="1">MAX(E20,0)+IF(G19 = 1, F19, 0) + IF(G18 = 2, F18, 0)</f>
        <v>3</v>
      </c>
      <c r="E21" s="506">
        <f t="shared" ca="1" si="8"/>
        <v>0</v>
      </c>
      <c r="F21" s="138">
        <f t="shared" ref="F21:F27" ca="1" si="10">IF(AND(E21&lt;6, F20=0, G20 = 0, G19 &lt; 2, G18 &lt; 2),10,0)</f>
        <v>0</v>
      </c>
      <c r="G21" s="138">
        <f t="shared" ca="1" si="9"/>
        <v>0</v>
      </c>
      <c r="H21" s="138">
        <f t="shared" ca="1" si="6"/>
        <v>-1</v>
      </c>
      <c r="K21" s="488"/>
    </row>
    <row r="22" spans="1:11">
      <c r="A22" s="195">
        <v>5</v>
      </c>
      <c r="B22" s="376">
        <f t="shared" ca="1" si="7"/>
        <v>59</v>
      </c>
      <c r="C22" s="197">
        <f t="shared" ca="1" si="5"/>
        <v>3</v>
      </c>
      <c r="D22" s="138">
        <f t="shared" ref="D22:D27" ca="1" si="11">MAX(E21,0)+IF(G20 = 1, F20, 0) + IF(G19 = 2, F19, 0) + IF(G18 = 3, F18, 0)</f>
        <v>0</v>
      </c>
      <c r="E22" s="506">
        <f t="shared" ca="1" si="8"/>
        <v>0</v>
      </c>
      <c r="F22" s="138">
        <f t="shared" ca="1" si="10"/>
        <v>0</v>
      </c>
      <c r="G22" s="138">
        <f t="shared" ca="1" si="9"/>
        <v>0</v>
      </c>
      <c r="H22" s="138">
        <f t="shared" ca="1" si="6"/>
        <v>-3</v>
      </c>
      <c r="K22" s="488"/>
    </row>
    <row r="23" spans="1:11">
      <c r="A23" s="195">
        <v>6</v>
      </c>
      <c r="B23" s="376">
        <f t="shared" ca="1" si="7"/>
        <v>5</v>
      </c>
      <c r="C23" s="197">
        <f t="shared" ca="1" si="5"/>
        <v>0</v>
      </c>
      <c r="D23" s="138">
        <f t="shared" ca="1" si="11"/>
        <v>0</v>
      </c>
      <c r="E23" s="506">
        <f t="shared" ca="1" si="8"/>
        <v>0</v>
      </c>
      <c r="F23" s="138">
        <f t="shared" ca="1" si="10"/>
        <v>0</v>
      </c>
      <c r="G23" s="138">
        <f t="shared" ca="1" si="9"/>
        <v>0</v>
      </c>
      <c r="H23" s="138">
        <f t="shared" ca="1" si="6"/>
        <v>0</v>
      </c>
      <c r="K23" s="488"/>
    </row>
    <row r="24" spans="1:11">
      <c r="A24" s="195">
        <v>7</v>
      </c>
      <c r="B24" s="376">
        <f t="shared" ca="1" si="7"/>
        <v>93</v>
      </c>
      <c r="C24" s="197">
        <f t="shared" ca="1" si="5"/>
        <v>5</v>
      </c>
      <c r="D24" s="138">
        <f t="shared" ca="1" si="11"/>
        <v>10</v>
      </c>
      <c r="E24" s="506">
        <f t="shared" ca="1" si="8"/>
        <v>5</v>
      </c>
      <c r="F24" s="138">
        <f t="shared" ca="1" si="10"/>
        <v>10</v>
      </c>
      <c r="G24" s="138">
        <f t="shared" ca="1" si="9"/>
        <v>3</v>
      </c>
      <c r="H24" s="138">
        <f t="shared" ca="1" si="6"/>
        <v>0</v>
      </c>
      <c r="K24" s="488"/>
    </row>
    <row r="25" spans="1:11">
      <c r="A25" s="195">
        <v>8</v>
      </c>
      <c r="B25" s="376">
        <f t="shared" ca="1" si="7"/>
        <v>62</v>
      </c>
      <c r="C25" s="197">
        <f t="shared" ca="1" si="5"/>
        <v>3</v>
      </c>
      <c r="D25" s="138">
        <f t="shared" ca="1" si="11"/>
        <v>5</v>
      </c>
      <c r="E25" s="506">
        <f t="shared" ca="1" si="8"/>
        <v>2</v>
      </c>
      <c r="F25" s="138">
        <f t="shared" ca="1" si="10"/>
        <v>0</v>
      </c>
      <c r="G25" s="138">
        <f t="shared" ca="1" si="9"/>
        <v>0</v>
      </c>
      <c r="H25" s="138">
        <f t="shared" ca="1" si="6"/>
        <v>0</v>
      </c>
      <c r="K25" s="488"/>
    </row>
    <row r="26" spans="1:11">
      <c r="A26" s="195">
        <v>9</v>
      </c>
      <c r="B26" s="376">
        <f t="shared" ca="1" si="7"/>
        <v>74</v>
      </c>
      <c r="C26" s="197">
        <f t="shared" ca="1" si="5"/>
        <v>4</v>
      </c>
      <c r="D26" s="138">
        <f t="shared" ca="1" si="11"/>
        <v>2</v>
      </c>
      <c r="E26" s="506">
        <f t="shared" ca="1" si="8"/>
        <v>0</v>
      </c>
      <c r="F26" s="138">
        <f t="shared" ca="1" si="10"/>
        <v>0</v>
      </c>
      <c r="G26" s="138">
        <f t="shared" ca="1" si="9"/>
        <v>0</v>
      </c>
      <c r="H26" s="138">
        <f t="shared" ca="1" si="6"/>
        <v>-2</v>
      </c>
      <c r="K26" s="488"/>
    </row>
    <row r="27" spans="1:11" ht="16" thickBot="1">
      <c r="A27" s="188">
        <v>10</v>
      </c>
      <c r="B27" s="387">
        <f t="shared" ca="1" si="7"/>
        <v>77</v>
      </c>
      <c r="C27" s="388">
        <f t="shared" ca="1" si="5"/>
        <v>4</v>
      </c>
      <c r="D27" s="138">
        <f t="shared" ca="1" si="11"/>
        <v>0</v>
      </c>
      <c r="E27" s="506">
        <f t="shared" ca="1" si="8"/>
        <v>0</v>
      </c>
      <c r="F27" s="138">
        <f t="shared" ca="1" si="10"/>
        <v>0</v>
      </c>
      <c r="G27" s="138">
        <f t="shared" ca="1" si="9"/>
        <v>0</v>
      </c>
      <c r="H27" s="138">
        <f ca="1">MIN(D27-C27,0)</f>
        <v>-4</v>
      </c>
    </row>
    <row r="28" spans="1:11">
      <c r="A28" s="138" t="s">
        <v>19</v>
      </c>
      <c r="E28" s="506">
        <f ca="1">AVERAGE(E18:E27)</f>
        <v>2.4</v>
      </c>
      <c r="F28" s="506">
        <f ca="1">AVERAGE(F18:F27)</f>
        <v>2</v>
      </c>
      <c r="G28" s="506"/>
      <c r="H28" s="506">
        <f ca="1">AVERAGE(H18:H27)</f>
        <v>-1</v>
      </c>
    </row>
  </sheetData>
  <pageMargins left="0.75" right="0.75" top="1" bottom="1" header="0.5" footer="0.5"/>
  <headerFooter alignWithMargins="0"/>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53</vt:i4>
      </vt:variant>
    </vt:vector>
  </HeadingPairs>
  <TitlesOfParts>
    <vt:vector size="53" baseType="lpstr">
      <vt:lpstr>Determining Moving Average</vt:lpstr>
      <vt:lpstr>Weighted Moving Average</vt:lpstr>
      <vt:lpstr>Exponential Smoothing</vt:lpstr>
      <vt:lpstr>Trend-Adjusted Smoothing</vt:lpstr>
      <vt:lpstr>Trend Projection</vt:lpstr>
      <vt:lpstr>Linear Regression</vt:lpstr>
      <vt:lpstr>Multiplicative Seasonal Model</vt:lpstr>
      <vt:lpstr>Regression Projector</vt:lpstr>
      <vt:lpstr>Error Analysis</vt:lpstr>
      <vt:lpstr>p-chart</vt:lpstr>
      <vt:lpstr>x-bar and R-charts</vt:lpstr>
      <vt:lpstr>c-chart</vt:lpstr>
      <vt:lpstr>Process Capability</vt:lpstr>
      <vt:lpstr>Crossover Volume </vt:lpstr>
      <vt:lpstr>Cost vs. Revenue</vt:lpstr>
      <vt:lpstr>Factor-Rating Method</vt:lpstr>
      <vt:lpstr>Center of Gravity</vt:lpstr>
      <vt:lpstr>Locational Analysis</vt:lpstr>
      <vt:lpstr>Process Layout</vt:lpstr>
      <vt:lpstr>Process Layout 2</vt:lpstr>
      <vt:lpstr>Assembly Line Balancing</vt:lpstr>
      <vt:lpstr>Time Study</vt:lpstr>
      <vt:lpstr>Computing the Sample Size</vt:lpstr>
      <vt:lpstr>ABC</vt:lpstr>
      <vt:lpstr>EOQ Model</vt:lpstr>
      <vt:lpstr>EOQ Model 2</vt:lpstr>
      <vt:lpstr>POQ Model</vt:lpstr>
      <vt:lpstr>Quantity Discount Model</vt:lpstr>
      <vt:lpstr>Marginal Safety Stock</vt:lpstr>
      <vt:lpstr>InvSSNorm</vt:lpstr>
      <vt:lpstr>Transportation Model</vt:lpstr>
      <vt:lpstr>Optimal Transportation Model</vt:lpstr>
      <vt:lpstr>Material Requirements Planning</vt:lpstr>
      <vt:lpstr>Lot-Sizing</vt:lpstr>
      <vt:lpstr>Assignment</vt:lpstr>
      <vt:lpstr>Answer Report 1</vt:lpstr>
      <vt:lpstr>Sensitivity Report 1</vt:lpstr>
      <vt:lpstr>Machine Scheduling 1</vt:lpstr>
      <vt:lpstr>Machine Scheduling 2</vt:lpstr>
      <vt:lpstr>Computing Number of Kanbans</vt:lpstr>
      <vt:lpstr>Identical Components</vt:lpstr>
      <vt:lpstr>Network</vt:lpstr>
      <vt:lpstr>Frequency Table</vt:lpstr>
      <vt:lpstr>Decision Table</vt:lpstr>
      <vt:lpstr>Linear Programming</vt:lpstr>
      <vt:lpstr>Transportation</vt:lpstr>
      <vt:lpstr>Single Channel Model</vt:lpstr>
      <vt:lpstr>Multiple Channel Model</vt:lpstr>
      <vt:lpstr>Constant Time Service Model</vt:lpstr>
      <vt:lpstr>Finite Population Model</vt:lpstr>
      <vt:lpstr>Determining Times</vt:lpstr>
      <vt:lpstr>Determining Rates</vt:lpstr>
      <vt:lpstr>Simulation</vt:lpstr>
    </vt:vector>
  </TitlesOfParts>
  <Company>Bronx High School of Science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Chittampalli Yashaswini</dc:creator>
  <cp:lastModifiedBy>Chittampalli Yashaswini</cp:lastModifiedBy>
  <dcterms:created xsi:type="dcterms:W3CDTF">2017-02-08T18:06:00Z</dcterms:created>
  <dcterms:modified xsi:type="dcterms:W3CDTF">2017-02-16T04:18:57Z</dcterms:modified>
</cp:coreProperties>
</file>