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Fangming/Documents/MATLAB/PUPD Sensor Project/"/>
    </mc:Choice>
  </mc:AlternateContent>
  <bookViews>
    <workbookView xWindow="0" yWindow="460" windowWidth="28800" windowHeight="17460" tabRatio="500" activeTab="5"/>
  </bookViews>
  <sheets>
    <sheet name="10knocap" sheetId="1" r:id="rId1"/>
    <sheet name="10k2cap" sheetId="2" r:id="rId2"/>
    <sheet name="1knocap" sheetId="3" r:id="rId3"/>
    <sheet name="1k1ap" sheetId="4" r:id="rId4"/>
    <sheet name="10knocap2" sheetId="7" r:id="rId5"/>
    <sheet name="10k1cap" sheetId="6" r:id="rId6"/>
    <sheet name="all" sheetId="5" r:id="rId7"/>
    <sheet name="10knocap_redo" sheetId="8" r:id="rId8"/>
    <sheet name="10k1cap_redo" sheetId="10" r:id="rId9"/>
    <sheet name="1k1cap_redo " sheetId="11" r:id="rId10"/>
    <sheet name="allredo" sheetId="9" r:id="rId1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44" i="10" l="1"/>
  <c r="U43" i="10"/>
  <c r="U42" i="10"/>
  <c r="U41" i="10"/>
  <c r="U40" i="10"/>
  <c r="U39" i="10"/>
  <c r="U38" i="10"/>
  <c r="U37" i="10"/>
  <c r="U36" i="10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2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R42" i="10"/>
  <c r="R41" i="10"/>
  <c r="R40" i="10"/>
  <c r="R39" i="10"/>
  <c r="R38" i="10"/>
  <c r="R37" i="10"/>
  <c r="R36" i="10"/>
  <c r="R35" i="10"/>
  <c r="R34" i="10"/>
  <c r="R33" i="10"/>
  <c r="R32" i="10"/>
  <c r="R31" i="10"/>
  <c r="R30" i="10"/>
  <c r="R29" i="10"/>
  <c r="R28" i="10"/>
  <c r="R27" i="10"/>
  <c r="R26" i="10"/>
  <c r="R25" i="10"/>
  <c r="R24" i="10"/>
  <c r="R23" i="10"/>
  <c r="R22" i="10"/>
  <c r="R21" i="10"/>
  <c r="R20" i="10"/>
  <c r="R19" i="10"/>
  <c r="R18" i="10"/>
  <c r="R17" i="10"/>
  <c r="R16" i="10"/>
  <c r="R15" i="10"/>
  <c r="R14" i="10"/>
  <c r="R13" i="10"/>
  <c r="R12" i="10"/>
  <c r="R11" i="10"/>
  <c r="R10" i="10"/>
  <c r="R9" i="10"/>
  <c r="R8" i="10"/>
  <c r="R7" i="10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O27" i="11"/>
  <c r="O26" i="11"/>
  <c r="O25" i="11"/>
  <c r="O24" i="11"/>
  <c r="O23" i="11"/>
  <c r="O22" i="11"/>
  <c r="O21" i="11"/>
  <c r="O20" i="11"/>
  <c r="O19" i="11"/>
  <c r="O18" i="11"/>
  <c r="O17" i="11"/>
  <c r="O16" i="11"/>
  <c r="O15" i="11"/>
  <c r="O14" i="11"/>
  <c r="O13" i="11"/>
  <c r="O12" i="11"/>
  <c r="O11" i="11"/>
  <c r="O10" i="11"/>
  <c r="O9" i="11"/>
  <c r="O8" i="11"/>
  <c r="O7" i="11"/>
  <c r="R28" i="11"/>
  <c r="R27" i="11"/>
  <c r="R26" i="11"/>
  <c r="R25" i="11"/>
  <c r="R24" i="11"/>
  <c r="R23" i="11"/>
  <c r="R22" i="11"/>
  <c r="R21" i="11"/>
  <c r="R20" i="11"/>
  <c r="R19" i="11"/>
  <c r="R18" i="11"/>
  <c r="R17" i="11"/>
  <c r="R16" i="11"/>
  <c r="R15" i="11"/>
  <c r="R14" i="11"/>
  <c r="R13" i="11"/>
  <c r="R12" i="11"/>
  <c r="R11" i="11"/>
  <c r="R10" i="11"/>
  <c r="R9" i="11"/>
  <c r="R8" i="11"/>
  <c r="R7" i="11"/>
  <c r="U30" i="11"/>
  <c r="U29" i="11"/>
  <c r="U28" i="11"/>
  <c r="U27" i="11"/>
  <c r="U26" i="11"/>
  <c r="U25" i="11"/>
  <c r="U24" i="11"/>
  <c r="U23" i="11"/>
  <c r="U22" i="11"/>
  <c r="U21" i="11"/>
  <c r="U20" i="11"/>
  <c r="U19" i="11"/>
  <c r="U18" i="11"/>
  <c r="U17" i="11"/>
  <c r="U16" i="11"/>
  <c r="U15" i="11"/>
  <c r="U14" i="11"/>
  <c r="U13" i="11"/>
  <c r="U12" i="11"/>
  <c r="U11" i="11"/>
  <c r="U10" i="11"/>
  <c r="U9" i="11"/>
  <c r="U8" i="11"/>
  <c r="U7" i="11"/>
  <c r="M3" i="11"/>
  <c r="M3" i="10"/>
  <c r="B30" i="1"/>
  <c r="B31" i="1"/>
  <c r="B32" i="1"/>
  <c r="B41" i="7"/>
  <c r="A41" i="7"/>
  <c r="I3" i="7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S28" i="6"/>
  <c r="S27" i="6"/>
  <c r="U40" i="6"/>
  <c r="U39" i="6"/>
  <c r="U38" i="6"/>
  <c r="U37" i="6"/>
  <c r="U36" i="6"/>
  <c r="U35" i="6"/>
  <c r="C35" i="6"/>
  <c r="B35" i="6"/>
  <c r="A35" i="6"/>
  <c r="U34" i="6"/>
  <c r="C34" i="6"/>
  <c r="B34" i="6"/>
  <c r="A34" i="6"/>
  <c r="U33" i="6"/>
  <c r="C33" i="6"/>
  <c r="B33" i="6"/>
  <c r="A33" i="6"/>
  <c r="U32" i="6"/>
  <c r="C32" i="6"/>
  <c r="B32" i="6"/>
  <c r="A32" i="6"/>
  <c r="U31" i="6"/>
  <c r="C31" i="6"/>
  <c r="B31" i="6"/>
  <c r="A31" i="6"/>
  <c r="U30" i="6"/>
  <c r="C30" i="6"/>
  <c r="B30" i="6"/>
  <c r="A30" i="6"/>
  <c r="U29" i="6"/>
  <c r="C29" i="6"/>
  <c r="B29" i="6"/>
  <c r="A29" i="6"/>
  <c r="U28" i="6"/>
  <c r="U27" i="6"/>
  <c r="M3" i="6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C30" i="1"/>
  <c r="C31" i="1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27" i="4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28" i="3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M3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29" i="2"/>
  <c r="B33" i="1"/>
  <c r="B35" i="1"/>
  <c r="A31" i="1"/>
  <c r="A32" i="1"/>
  <c r="C32" i="1"/>
  <c r="A33" i="1"/>
  <c r="C33" i="1"/>
  <c r="A34" i="1"/>
  <c r="B34" i="1"/>
  <c r="C34" i="1"/>
  <c r="A35" i="1"/>
  <c r="C35" i="1"/>
  <c r="A36" i="1"/>
  <c r="B36" i="1"/>
  <c r="C36" i="1"/>
  <c r="A30" i="1"/>
</calcChain>
</file>

<file path=xl/sharedStrings.xml><?xml version="1.0" encoding="utf-8"?>
<sst xmlns="http://schemas.openxmlformats.org/spreadsheetml/2006/main" count="233" uniqueCount="9">
  <si>
    <t>Rref = 10k</t>
  </si>
  <si>
    <t>Rfsr</t>
  </si>
  <si>
    <t>Error</t>
  </si>
  <si>
    <t>Time</t>
  </si>
  <si>
    <t>Rfsr 1k - 100k</t>
  </si>
  <si>
    <t>c=640</t>
  </si>
  <si>
    <t>c=640+2.25uf+2.25uf</t>
  </si>
  <si>
    <t>Rref = 1k</t>
  </si>
  <si>
    <t>c=640+2.25uF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</si>
</sst>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theme="1"/>
      <name val="Monac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4" fillId="0" borderId="0" xfId="0" applyNumberFormat="1" applyFont="1"/>
    <xf numFmtId="0" fontId="4" fillId="0" borderId="0" xfId="0" applyFont="1"/>
    <xf numFmtId="0" fontId="0" fillId="0" borderId="0" xfId="0" applyAlignment="1">
      <alignment horizontal="center" vertical="center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workbookViewId="0">
      <selection activeCell="E21" sqref="E21:E26"/>
    </sheetView>
  </sheetViews>
  <sheetFormatPr baseColWidth="10" defaultRowHeight="16" x14ac:dyDescent="0.2"/>
  <cols>
    <col min="16" max="16" width="12" bestFit="1" customWidth="1"/>
  </cols>
  <sheetData>
    <row r="1" spans="1:21" x14ac:dyDescent="0.2">
      <c r="A1" t="s">
        <v>4</v>
      </c>
    </row>
    <row r="2" spans="1:21" x14ac:dyDescent="0.2">
      <c r="A2" t="s">
        <v>0</v>
      </c>
    </row>
    <row r="3" spans="1:21" x14ac:dyDescent="0.2">
      <c r="A3" t="s">
        <v>5</v>
      </c>
    </row>
    <row r="4" spans="1:21" x14ac:dyDescent="0.2">
      <c r="O4" s="2">
        <v>2.0833299999999998E-8</v>
      </c>
    </row>
    <row r="6" spans="1:21" x14ac:dyDescent="0.2">
      <c r="A6" t="s">
        <v>1</v>
      </c>
      <c r="B6" t="s">
        <v>2</v>
      </c>
      <c r="C6" t="s">
        <v>3</v>
      </c>
      <c r="D6" t="s">
        <v>1</v>
      </c>
      <c r="E6" t="s">
        <v>2</v>
      </c>
      <c r="F6" t="s">
        <v>3</v>
      </c>
      <c r="G6" t="s">
        <v>1</v>
      </c>
      <c r="H6" t="s">
        <v>2</v>
      </c>
      <c r="I6" t="s">
        <v>3</v>
      </c>
      <c r="J6" t="s">
        <v>1</v>
      </c>
      <c r="K6" t="s">
        <v>2</v>
      </c>
      <c r="L6" t="s">
        <v>3</v>
      </c>
      <c r="M6" t="s">
        <v>1</v>
      </c>
      <c r="N6" t="s">
        <v>2</v>
      </c>
      <c r="O6" t="s">
        <v>3</v>
      </c>
      <c r="P6" t="s">
        <v>1</v>
      </c>
      <c r="Q6" t="s">
        <v>2</v>
      </c>
      <c r="R6" t="s">
        <v>3</v>
      </c>
      <c r="S6" t="s">
        <v>1</v>
      </c>
      <c r="T6" t="s">
        <v>2</v>
      </c>
      <c r="U6" t="s">
        <v>3</v>
      </c>
    </row>
    <row r="7" spans="1:21" x14ac:dyDescent="0.2">
      <c r="A7">
        <v>989</v>
      </c>
      <c r="B7" s="1">
        <v>27.854565000000001</v>
      </c>
      <c r="C7" s="2">
        <v>28.897120431199998</v>
      </c>
      <c r="D7">
        <v>2933</v>
      </c>
      <c r="E7" s="1">
        <v>8.4229409999999998</v>
      </c>
      <c r="F7" s="2"/>
      <c r="G7">
        <v>8081</v>
      </c>
      <c r="H7" s="1">
        <v>2.5187050000000002</v>
      </c>
      <c r="I7" s="2">
        <v>3.3463071458999996</v>
      </c>
      <c r="J7">
        <v>9878</v>
      </c>
      <c r="K7" s="1">
        <v>1.459471</v>
      </c>
      <c r="L7" s="2">
        <v>32.408906478999995</v>
      </c>
      <c r="M7">
        <v>29734</v>
      </c>
      <c r="N7" s="1">
        <v>0.53530699999999998</v>
      </c>
      <c r="P7">
        <v>80445</v>
      </c>
      <c r="Q7" s="1">
        <v>4.5251E-2</v>
      </c>
      <c r="S7">
        <v>99668</v>
      </c>
      <c r="T7" s="1">
        <v>0.91971599999999998</v>
      </c>
      <c r="U7" s="2">
        <v>68.840077355699989</v>
      </c>
    </row>
    <row r="8" spans="1:21" x14ac:dyDescent="0.2">
      <c r="B8" s="1">
        <v>28.399494000000001</v>
      </c>
      <c r="C8" s="2">
        <v>28.925932885099996</v>
      </c>
      <c r="E8" s="1">
        <v>8.9863630000000008</v>
      </c>
      <c r="F8" s="2"/>
      <c r="H8" s="1">
        <v>2.1587149999999999</v>
      </c>
      <c r="I8" s="2">
        <v>3.3624946199999997</v>
      </c>
      <c r="K8" s="1">
        <v>2.031873</v>
      </c>
      <c r="L8" s="2">
        <v>32.494552175300001</v>
      </c>
      <c r="N8" s="1">
        <v>1.222086</v>
      </c>
      <c r="Q8" s="1">
        <v>0.89524199999999998</v>
      </c>
      <c r="T8" s="1">
        <v>0.70156499999999999</v>
      </c>
      <c r="U8" s="2">
        <v>68.832577367699997</v>
      </c>
    </row>
    <row r="9" spans="1:21" x14ac:dyDescent="0.2">
      <c r="B9" s="1">
        <v>26.981695999999999</v>
      </c>
      <c r="C9" s="2">
        <v>28.879662125799999</v>
      </c>
      <c r="E9" s="1">
        <v>7.2434900000000004</v>
      </c>
      <c r="F9" s="2"/>
      <c r="H9" s="1">
        <v>2.6146750000000001</v>
      </c>
      <c r="I9" s="2">
        <v>3.3397446563999997</v>
      </c>
      <c r="K9" s="1">
        <v>2.6118540000000001</v>
      </c>
      <c r="L9" s="2">
        <v>32.426468950899995</v>
      </c>
      <c r="N9" s="1">
        <v>2.9908779999999999</v>
      </c>
      <c r="Q9" s="1">
        <v>1.18215</v>
      </c>
      <c r="T9" s="1">
        <v>3.0427840000000002</v>
      </c>
      <c r="U9" s="2">
        <v>68.766994139299996</v>
      </c>
    </row>
    <row r="10" spans="1:21" x14ac:dyDescent="0.2">
      <c r="B10" s="1">
        <v>28.016814</v>
      </c>
      <c r="C10" s="2">
        <v>28.846037179599996</v>
      </c>
      <c r="E10" s="1">
        <v>8.372655</v>
      </c>
      <c r="F10" s="2"/>
      <c r="H10" s="1">
        <v>2.386307</v>
      </c>
      <c r="I10" s="2">
        <v>3.3668279463999999</v>
      </c>
      <c r="K10" s="1">
        <v>2.8853680000000002</v>
      </c>
      <c r="L10" s="2">
        <v>32.448448082399999</v>
      </c>
      <c r="N10" s="1">
        <v>0.51174299999999995</v>
      </c>
      <c r="Q10" s="1">
        <v>0.36241600000000002</v>
      </c>
      <c r="T10" s="1">
        <v>1.9286000000000001</v>
      </c>
      <c r="U10" s="2">
        <v>68.89586893309999</v>
      </c>
    </row>
    <row r="11" spans="1:21" x14ac:dyDescent="0.2">
      <c r="B11" s="1">
        <v>27.473723</v>
      </c>
      <c r="C11" s="2">
        <v>28.895703766799997</v>
      </c>
      <c r="E11" s="1">
        <v>8.3680240000000001</v>
      </c>
      <c r="F11" s="2"/>
      <c r="H11" s="1">
        <v>2.4172799999999999</v>
      </c>
      <c r="I11" s="2">
        <v>3.3369529941999998</v>
      </c>
      <c r="K11" s="1">
        <v>2.0216940000000001</v>
      </c>
      <c r="L11" s="2">
        <v>32.430135611699995</v>
      </c>
      <c r="N11" s="1">
        <v>1.09093</v>
      </c>
      <c r="Q11" s="1">
        <v>0.60665800000000003</v>
      </c>
      <c r="T11" s="1">
        <v>0.29839599999999999</v>
      </c>
      <c r="U11" s="2">
        <v>68.820931552999994</v>
      </c>
    </row>
    <row r="12" spans="1:21" x14ac:dyDescent="0.2">
      <c r="B12" s="1">
        <v>31.229821999999999</v>
      </c>
      <c r="C12" s="2">
        <v>28.928912046999997</v>
      </c>
      <c r="E12" s="1">
        <v>8.2928639999999998</v>
      </c>
      <c r="F12" s="2"/>
      <c r="H12" s="1">
        <v>1.889351</v>
      </c>
      <c r="I12" s="2">
        <v>3.3442238159</v>
      </c>
      <c r="K12" s="1">
        <v>1.0764750000000001</v>
      </c>
      <c r="L12" s="2">
        <v>32.477573035799999</v>
      </c>
      <c r="N12" s="1">
        <v>1.8256669999999999</v>
      </c>
      <c r="Q12" s="1">
        <v>1.106223</v>
      </c>
      <c r="T12" s="1">
        <v>0.40854400000000002</v>
      </c>
      <c r="U12" s="2">
        <v>68.961660494499995</v>
      </c>
    </row>
    <row r="13" spans="1:21" x14ac:dyDescent="0.2">
      <c r="B13" s="1">
        <v>27.978859</v>
      </c>
      <c r="C13" s="2">
        <v>28.834391364899997</v>
      </c>
      <c r="E13" s="1">
        <v>7.7312459999999996</v>
      </c>
      <c r="F13" s="2"/>
      <c r="H13" s="1">
        <v>2.3123399999999998</v>
      </c>
      <c r="I13" s="2">
        <v>3.3371821604999998</v>
      </c>
      <c r="K13" s="1">
        <v>1.3659159999999999</v>
      </c>
      <c r="L13" s="2">
        <v>32.4399897626</v>
      </c>
      <c r="N13" s="1">
        <v>0.97131800000000001</v>
      </c>
      <c r="Q13" s="1">
        <v>1.18408</v>
      </c>
      <c r="T13" s="1">
        <v>1.087925</v>
      </c>
      <c r="U13" s="2">
        <v>68.777514955800001</v>
      </c>
    </row>
    <row r="14" spans="1:21" x14ac:dyDescent="0.2">
      <c r="B14" s="1">
        <v>30.614889999999999</v>
      </c>
      <c r="C14" s="2">
        <v>28.857620494399999</v>
      </c>
      <c r="E14" s="1">
        <v>7.0751720000000002</v>
      </c>
      <c r="F14" s="2"/>
      <c r="H14" s="1">
        <v>2.5322870000000002</v>
      </c>
      <c r="I14" s="2">
        <v>3.3428071514999997</v>
      </c>
      <c r="K14" s="1">
        <v>1.9118269999999999</v>
      </c>
      <c r="L14" s="2">
        <v>32.489093850699994</v>
      </c>
      <c r="N14" s="1">
        <v>4.3442090000000002</v>
      </c>
      <c r="Q14" s="1">
        <v>1.653497</v>
      </c>
      <c r="T14" s="1">
        <v>1.2506740000000001</v>
      </c>
      <c r="U14" s="2">
        <v>68.8420565192</v>
      </c>
    </row>
    <row r="15" spans="1:21" x14ac:dyDescent="0.2">
      <c r="B15" s="1">
        <v>28.700036000000001</v>
      </c>
      <c r="C15" s="2">
        <v>28.868682976699997</v>
      </c>
      <c r="E15" s="1">
        <v>7.7164760000000001</v>
      </c>
      <c r="F15" s="2"/>
      <c r="H15" s="1">
        <v>1.9495480000000001</v>
      </c>
      <c r="I15" s="2">
        <v>3.3477863101999996</v>
      </c>
      <c r="K15" s="1">
        <v>0.81083300000000003</v>
      </c>
      <c r="L15" s="2">
        <v>32.377906528600001</v>
      </c>
      <c r="N15" s="1">
        <v>0.40348299999999998</v>
      </c>
      <c r="Q15" s="1">
        <v>1.6106590000000001</v>
      </c>
      <c r="T15" s="1">
        <v>0.33669700000000002</v>
      </c>
      <c r="U15" s="2">
        <v>68.819077389299991</v>
      </c>
    </row>
    <row r="16" spans="1:21" x14ac:dyDescent="0.2">
      <c r="B16" s="1">
        <v>29.482678</v>
      </c>
      <c r="C16" s="2">
        <v>28.887495446599999</v>
      </c>
      <c r="E16" s="1">
        <v>8.5100499999999997</v>
      </c>
      <c r="F16" s="2"/>
      <c r="H16" s="1">
        <v>1.9941949999999999</v>
      </c>
      <c r="I16" s="2">
        <v>3.3251613463999998</v>
      </c>
      <c r="K16" s="1">
        <v>2.0607419999999999</v>
      </c>
      <c r="L16" s="2">
        <v>32.403343987899994</v>
      </c>
      <c r="N16" s="1">
        <v>1.0379579999999999</v>
      </c>
      <c r="Q16" s="1">
        <v>3.6469450000000001</v>
      </c>
      <c r="T16" s="1">
        <v>0.80391199999999996</v>
      </c>
      <c r="U16" s="2">
        <v>68.892202272299997</v>
      </c>
    </row>
    <row r="17" spans="1:21" x14ac:dyDescent="0.2">
      <c r="B17" s="1">
        <v>29.921251999999999</v>
      </c>
      <c r="C17" s="2">
        <v>28.856912162199997</v>
      </c>
      <c r="E17" s="1">
        <v>7.4193110000000004</v>
      </c>
      <c r="F17" s="2"/>
      <c r="H17" s="1">
        <v>1.8608990000000001</v>
      </c>
      <c r="I17" s="2">
        <v>3.3524529693999998</v>
      </c>
      <c r="K17" s="1">
        <v>2.7091449999999999</v>
      </c>
      <c r="L17" s="2">
        <v>32.505114658399997</v>
      </c>
      <c r="N17" s="1">
        <v>1.019207</v>
      </c>
      <c r="Q17" s="1">
        <v>0.18493799999999999</v>
      </c>
      <c r="T17" s="1">
        <v>1.8946460000000001</v>
      </c>
      <c r="U17" s="2">
        <v>68.8877856127</v>
      </c>
    </row>
    <row r="18" spans="1:21" x14ac:dyDescent="0.2">
      <c r="B18" s="1">
        <v>32.154034000000003</v>
      </c>
      <c r="C18" s="2">
        <v>28.849891340099997</v>
      </c>
      <c r="E18" s="1">
        <v>7.8884790000000002</v>
      </c>
      <c r="F18" s="2"/>
      <c r="H18" s="1">
        <v>1.9029929999999999</v>
      </c>
      <c r="I18" s="2">
        <v>3.3304738378999996</v>
      </c>
      <c r="K18" s="1">
        <v>1.6725460000000001</v>
      </c>
      <c r="L18" s="2">
        <v>32.3719273715</v>
      </c>
      <c r="N18" s="1">
        <v>0.44140499999999999</v>
      </c>
      <c r="Q18" s="1">
        <v>0.55606800000000001</v>
      </c>
      <c r="T18" s="1">
        <v>1.8577E-2</v>
      </c>
      <c r="U18" s="2">
        <v>68.785119110299988</v>
      </c>
    </row>
    <row r="19" spans="1:21" x14ac:dyDescent="0.2">
      <c r="B19" s="1">
        <v>28.979676000000001</v>
      </c>
      <c r="C19" s="2">
        <v>28.867745478199996</v>
      </c>
      <c r="E19" s="1">
        <v>9.0799610000000008</v>
      </c>
      <c r="F19" s="2"/>
      <c r="H19" s="1">
        <v>2.5197120000000002</v>
      </c>
      <c r="I19" s="2">
        <v>3.3684529437999999</v>
      </c>
      <c r="K19" s="1">
        <v>2.3110089999999999</v>
      </c>
      <c r="L19" s="2">
        <v>32.504135493299998</v>
      </c>
      <c r="N19" s="1">
        <v>0.67491000000000001</v>
      </c>
      <c r="Q19" s="1">
        <v>1.377192</v>
      </c>
      <c r="T19" s="1">
        <v>1.31613</v>
      </c>
      <c r="U19" s="2">
        <v>68.864035650699989</v>
      </c>
    </row>
    <row r="20" spans="1:21" x14ac:dyDescent="0.2">
      <c r="B20" s="1">
        <v>30.891255000000001</v>
      </c>
      <c r="C20" s="2">
        <v>28.842828851399997</v>
      </c>
      <c r="E20" s="1">
        <v>7.8876949999999999</v>
      </c>
      <c r="F20" s="2"/>
      <c r="H20" s="1">
        <v>1.3843289999999999</v>
      </c>
      <c r="I20" s="2">
        <v>3.3420571526999998</v>
      </c>
      <c r="K20" s="1">
        <v>1.3287439999999999</v>
      </c>
      <c r="L20" s="2">
        <v>32.380927357099999</v>
      </c>
      <c r="N20" s="1">
        <v>2.0871279999999999</v>
      </c>
      <c r="Q20" s="1">
        <v>2.7858260000000001</v>
      </c>
      <c r="T20" s="1">
        <v>0.86248800000000003</v>
      </c>
      <c r="U20" s="2">
        <v>68.956493836099995</v>
      </c>
    </row>
    <row r="21" spans="1:21" x14ac:dyDescent="0.2">
      <c r="B21" s="1"/>
      <c r="C21" s="1"/>
      <c r="E21" s="1"/>
      <c r="F21" s="1"/>
      <c r="H21" s="1"/>
      <c r="I21" s="1"/>
      <c r="K21" s="1"/>
      <c r="L21" s="1"/>
      <c r="N21" s="1"/>
      <c r="Q21" s="1"/>
      <c r="T21" s="1"/>
      <c r="U21" s="1"/>
    </row>
    <row r="22" spans="1:21" x14ac:dyDescent="0.2">
      <c r="B22" s="1"/>
      <c r="C22" s="1"/>
      <c r="E22" s="1"/>
      <c r="F22" s="1"/>
      <c r="H22" s="1"/>
      <c r="I22" s="1"/>
      <c r="K22" s="1"/>
      <c r="L22" s="1"/>
      <c r="N22" s="1"/>
      <c r="Q22" s="1"/>
      <c r="T22" s="1"/>
    </row>
    <row r="23" spans="1:21" x14ac:dyDescent="0.2">
      <c r="B23" s="1"/>
      <c r="C23" s="1"/>
      <c r="E23" s="1"/>
      <c r="F23" s="1"/>
      <c r="H23" s="1"/>
      <c r="I23" s="1"/>
      <c r="K23" s="1"/>
      <c r="L23" s="1"/>
      <c r="N23" s="1"/>
      <c r="Q23" s="1"/>
      <c r="T23" s="1"/>
    </row>
    <row r="24" spans="1:21" x14ac:dyDescent="0.2">
      <c r="B24" s="1"/>
      <c r="C24" s="1"/>
      <c r="E24" s="1"/>
      <c r="F24" s="1"/>
      <c r="H24" s="1"/>
      <c r="I24" s="1"/>
      <c r="K24" s="1"/>
      <c r="L24" s="1"/>
      <c r="N24" s="1"/>
      <c r="Q24" s="1"/>
      <c r="T24" s="1"/>
    </row>
    <row r="25" spans="1:21" x14ac:dyDescent="0.2">
      <c r="B25" s="1"/>
      <c r="C25" s="1"/>
      <c r="E25" s="1"/>
      <c r="F25" s="1"/>
      <c r="H25" s="1"/>
      <c r="I25" s="1"/>
      <c r="K25" s="1"/>
      <c r="L25" s="1"/>
      <c r="N25" s="1"/>
      <c r="Q25" s="1"/>
      <c r="T25" s="1"/>
    </row>
    <row r="26" spans="1:21" x14ac:dyDescent="0.2">
      <c r="B26" s="1"/>
      <c r="C26" s="1"/>
      <c r="E26" s="1"/>
      <c r="F26" s="1"/>
      <c r="H26" s="1"/>
      <c r="I26" s="1"/>
      <c r="K26" s="1"/>
      <c r="L26" s="1"/>
      <c r="N26" s="1"/>
      <c r="Q26" s="1"/>
      <c r="T26" s="1"/>
    </row>
    <row r="27" spans="1:21" x14ac:dyDescent="0.2">
      <c r="B27" s="1"/>
      <c r="C27" s="1"/>
      <c r="E27" s="1"/>
      <c r="F27" s="1"/>
      <c r="H27" s="1"/>
      <c r="I27" s="1"/>
      <c r="K27" s="1"/>
      <c r="L27" s="1"/>
      <c r="N27" s="1"/>
      <c r="Q27" s="1"/>
      <c r="T27" s="1"/>
    </row>
    <row r="28" spans="1:21" x14ac:dyDescent="0.2">
      <c r="B28" s="1"/>
      <c r="C28" s="1"/>
      <c r="E28" s="1"/>
      <c r="F28" s="1"/>
      <c r="H28" s="1"/>
      <c r="I28" s="1"/>
      <c r="K28" s="1"/>
      <c r="L28" s="1"/>
      <c r="N28" s="1"/>
      <c r="Q28" s="1"/>
      <c r="T28" s="1"/>
    </row>
    <row r="29" spans="1:21" x14ac:dyDescent="0.2">
      <c r="B29" s="1"/>
      <c r="C29" s="1"/>
      <c r="E29" s="1"/>
      <c r="F29" s="1"/>
      <c r="H29" s="1"/>
      <c r="I29" s="1"/>
      <c r="K29" s="1"/>
      <c r="L29" s="1"/>
      <c r="N29" s="1"/>
      <c r="Q29" s="1"/>
      <c r="T29" s="1"/>
    </row>
    <row r="30" spans="1:21" x14ac:dyDescent="0.2">
      <c r="A30">
        <f>AVERAGE(A7:A20)</f>
        <v>989</v>
      </c>
      <c r="B30">
        <f>AVERAGE(B7:B20)</f>
        <v>29.191342428571431</v>
      </c>
      <c r="C30">
        <f>AVERAGE(C7:C20)</f>
        <v>28.874209753571421</v>
      </c>
      <c r="E30" s="1"/>
      <c r="K30" s="1"/>
    </row>
    <row r="31" spans="1:21" x14ac:dyDescent="0.2">
      <c r="A31">
        <f>AVERAGE(D7:D20)</f>
        <v>2933</v>
      </c>
      <c r="B31">
        <f>AVERAGE(E7:E20)</f>
        <v>8.0710519285714266</v>
      </c>
      <c r="C31" t="e">
        <f>AVERAGE(F7:F20)</f>
        <v>#DIV/0!</v>
      </c>
      <c r="J31" s="2"/>
      <c r="K31" s="1"/>
      <c r="L31" s="1"/>
      <c r="N31" s="1"/>
      <c r="T31" s="1"/>
    </row>
    <row r="32" spans="1:21" x14ac:dyDescent="0.2">
      <c r="A32">
        <f>AVERAGE(G7:G20)</f>
        <v>8081</v>
      </c>
      <c r="B32">
        <f>AVERAGE(H7:H20)</f>
        <v>2.1743811428571429</v>
      </c>
      <c r="C32">
        <f>AVERAGE(I7:I20)</f>
        <v>3.3459232179428575</v>
      </c>
      <c r="J32" s="2"/>
      <c r="K32" s="1"/>
    </row>
    <row r="33" spans="1:11" x14ac:dyDescent="0.2">
      <c r="A33">
        <f>AVERAGE(J7:J20)</f>
        <v>9878</v>
      </c>
      <c r="B33">
        <f>AVERAGE(K7:K20)</f>
        <v>1.8755355</v>
      </c>
      <c r="C33">
        <f>AVERAGE(L7:L20)</f>
        <v>32.439894524657142</v>
      </c>
      <c r="J33" s="2"/>
      <c r="K33" s="1"/>
    </row>
    <row r="34" spans="1:11" x14ac:dyDescent="0.2">
      <c r="A34">
        <f>AVERAGE(M7:M20)</f>
        <v>29734</v>
      </c>
      <c r="B34">
        <f>AVERAGE(N7:N20)</f>
        <v>1.3683020714285714</v>
      </c>
      <c r="C34" t="e">
        <f>AVERAGE(O7:O20)</f>
        <v>#DIV/0!</v>
      </c>
      <c r="J34" s="2"/>
    </row>
    <row r="35" spans="1:11" x14ac:dyDescent="0.2">
      <c r="A35">
        <f>AVERAGE(P7:P20)</f>
        <v>80445</v>
      </c>
      <c r="B35">
        <f>AVERAGE(Q7:Q20)</f>
        <v>1.2283675000000003</v>
      </c>
      <c r="C35" t="e">
        <f>AVERAGE(R7:R20)</f>
        <v>#DIV/0!</v>
      </c>
      <c r="J35" s="2"/>
    </row>
    <row r="36" spans="1:11" x14ac:dyDescent="0.2">
      <c r="A36">
        <f>AVERAGE(S7:S20)</f>
        <v>99668</v>
      </c>
      <c r="B36">
        <f>AVERAGE(T7:T20)</f>
        <v>1.0621895714285714</v>
      </c>
      <c r="C36">
        <f>AVERAGE(U7:U20)</f>
        <v>68.853028227835708</v>
      </c>
      <c r="J36" s="2"/>
    </row>
    <row r="37" spans="1:11" x14ac:dyDescent="0.2">
      <c r="J37" s="2"/>
    </row>
    <row r="41" spans="1:11" x14ac:dyDescent="0.2">
      <c r="A41">
        <v>989</v>
      </c>
      <c r="B41">
        <v>22.335795312499997</v>
      </c>
    </row>
    <row r="42" spans="1:11" x14ac:dyDescent="0.2">
      <c r="A42">
        <v>2933</v>
      </c>
      <c r="B42">
        <v>5.785605125</v>
      </c>
    </row>
    <row r="43" spans="1:11" x14ac:dyDescent="0.2">
      <c r="A43">
        <v>8081</v>
      </c>
      <c r="B43">
        <v>1.8648031875000004</v>
      </c>
    </row>
    <row r="44" spans="1:11" x14ac:dyDescent="0.2">
      <c r="A44">
        <v>9878</v>
      </c>
      <c r="B44">
        <v>1.5413678749999999</v>
      </c>
    </row>
    <row r="45" spans="1:11" x14ac:dyDescent="0.2">
      <c r="A45">
        <v>29734</v>
      </c>
      <c r="B45">
        <v>1.0796546249999999</v>
      </c>
    </row>
    <row r="46" spans="1:11" x14ac:dyDescent="0.2">
      <c r="A46">
        <v>80445</v>
      </c>
      <c r="B46">
        <v>0.397321125</v>
      </c>
    </row>
    <row r="47" spans="1:11" x14ac:dyDescent="0.2">
      <c r="A47">
        <v>99668</v>
      </c>
      <c r="B47">
        <v>0.34073937500000001</v>
      </c>
    </row>
    <row r="52" spans="1:2" x14ac:dyDescent="0.2">
      <c r="A52">
        <v>989</v>
      </c>
      <c r="B52">
        <v>19.27563352941176</v>
      </c>
    </row>
    <row r="53" spans="1:2" x14ac:dyDescent="0.2">
      <c r="A53">
        <v>2933</v>
      </c>
      <c r="B53">
        <v>13.092927823529413</v>
      </c>
    </row>
    <row r="54" spans="1:2" x14ac:dyDescent="0.2">
      <c r="A54">
        <v>8081</v>
      </c>
      <c r="B54">
        <v>22.199739176470594</v>
      </c>
    </row>
    <row r="55" spans="1:2" x14ac:dyDescent="0.2">
      <c r="A55">
        <v>9878</v>
      </c>
      <c r="B55">
        <v>21.450674117647058</v>
      </c>
    </row>
    <row r="56" spans="1:2" x14ac:dyDescent="0.2">
      <c r="A56">
        <v>29734</v>
      </c>
      <c r="B56">
        <v>24.762945235294119</v>
      </c>
    </row>
    <row r="57" spans="1:2" x14ac:dyDescent="0.2">
      <c r="A57">
        <v>80445</v>
      </c>
      <c r="B57">
        <v>24.323580882352942</v>
      </c>
    </row>
    <row r="58" spans="1:2" x14ac:dyDescent="0.2">
      <c r="A58">
        <v>99668</v>
      </c>
      <c r="B58">
        <v>23.870857000000001</v>
      </c>
    </row>
    <row r="61" spans="1:2" x14ac:dyDescent="0.2">
      <c r="A61">
        <v>989</v>
      </c>
      <c r="B61">
        <v>6.0238392222222235</v>
      </c>
    </row>
    <row r="62" spans="1:2" x14ac:dyDescent="0.2">
      <c r="A62">
        <v>2933</v>
      </c>
      <c r="B62">
        <v>3.0696525000000001</v>
      </c>
    </row>
    <row r="63" spans="1:2" x14ac:dyDescent="0.2">
      <c r="A63">
        <v>8081</v>
      </c>
      <c r="B63">
        <v>6.2237518888888896</v>
      </c>
    </row>
    <row r="64" spans="1:2" x14ac:dyDescent="0.2">
      <c r="A64">
        <v>9878</v>
      </c>
      <c r="B64">
        <v>4.8164425</v>
      </c>
    </row>
    <row r="65" spans="1:2" x14ac:dyDescent="0.2">
      <c r="A65">
        <v>29734</v>
      </c>
      <c r="B65">
        <v>7.0592071111111103</v>
      </c>
    </row>
    <row r="66" spans="1:2" x14ac:dyDescent="0.2">
      <c r="A66">
        <v>80445</v>
      </c>
      <c r="B66">
        <v>7.2381873888888908</v>
      </c>
    </row>
    <row r="67" spans="1:2" x14ac:dyDescent="0.2">
      <c r="A67">
        <v>99668</v>
      </c>
      <c r="B67">
        <v>7.9564217222222213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1"/>
  <sheetViews>
    <sheetView zoomScale="75" workbookViewId="0">
      <selection activeCell="Q29" sqref="Q29"/>
    </sheetView>
  </sheetViews>
  <sheetFormatPr baseColWidth="10" defaultRowHeight="16" x14ac:dyDescent="0.2"/>
  <cols>
    <col min="13" max="13" width="11.83203125" bestFit="1" customWidth="1"/>
  </cols>
  <sheetData>
    <row r="1" spans="1:21" x14ac:dyDescent="0.2">
      <c r="A1" t="s">
        <v>4</v>
      </c>
    </row>
    <row r="2" spans="1:21" x14ac:dyDescent="0.2">
      <c r="A2" t="s">
        <v>0</v>
      </c>
    </row>
    <row r="3" spans="1:21" x14ac:dyDescent="0.2">
      <c r="A3" t="s">
        <v>6</v>
      </c>
      <c r="M3">
        <f>1/48000000</f>
        <v>2.0833333333333335E-8</v>
      </c>
    </row>
    <row r="4" spans="1:21" x14ac:dyDescent="0.2">
      <c r="O4" s="2"/>
    </row>
    <row r="6" spans="1:21" x14ac:dyDescent="0.2">
      <c r="A6" t="s">
        <v>1</v>
      </c>
      <c r="B6" t="s">
        <v>2</v>
      </c>
      <c r="C6" t="s">
        <v>3</v>
      </c>
      <c r="D6" t="s">
        <v>1</v>
      </c>
      <c r="E6" t="s">
        <v>2</v>
      </c>
      <c r="F6" t="s">
        <v>3</v>
      </c>
      <c r="G6" t="s">
        <v>1</v>
      </c>
      <c r="H6" t="s">
        <v>2</v>
      </c>
      <c r="I6" t="s">
        <v>3</v>
      </c>
      <c r="J6" t="s">
        <v>1</v>
      </c>
      <c r="K6" t="s">
        <v>2</v>
      </c>
      <c r="L6" t="s">
        <v>3</v>
      </c>
      <c r="M6" t="s">
        <v>1</v>
      </c>
      <c r="N6" t="s">
        <v>2</v>
      </c>
      <c r="O6" t="s">
        <v>3</v>
      </c>
      <c r="P6" t="s">
        <v>1</v>
      </c>
      <c r="Q6" t="s">
        <v>2</v>
      </c>
      <c r="R6" t="s">
        <v>3</v>
      </c>
      <c r="S6" t="s">
        <v>1</v>
      </c>
      <c r="T6" t="s">
        <v>2</v>
      </c>
      <c r="U6" t="s">
        <v>3</v>
      </c>
    </row>
    <row r="7" spans="1:21" x14ac:dyDescent="0.2">
      <c r="A7">
        <v>989</v>
      </c>
      <c r="B7" s="1">
        <v>-4.6215979999999997</v>
      </c>
      <c r="C7">
        <f>2339312000*(1/48000000)</f>
        <v>48.735666666666667</v>
      </c>
      <c r="D7">
        <v>2933</v>
      </c>
      <c r="E7" s="1">
        <v>2.390317</v>
      </c>
      <c r="F7">
        <f>2506286000*(1/48000000)</f>
        <v>52.214291666666668</v>
      </c>
      <c r="G7">
        <v>8081</v>
      </c>
      <c r="H7" s="1">
        <v>4.4389570000000003</v>
      </c>
      <c r="I7">
        <f>2940653000*(1/48000000)</f>
        <v>61.263604166666667</v>
      </c>
      <c r="J7">
        <v>9878</v>
      </c>
      <c r="K7">
        <v>3.981395</v>
      </c>
      <c r="L7">
        <f>3092206000*(1/48000000)</f>
        <v>64.420958333333331</v>
      </c>
      <c r="M7">
        <v>29734</v>
      </c>
      <c r="N7">
        <v>5.856935</v>
      </c>
      <c r="O7">
        <f>4778573000*(1/48000000)</f>
        <v>99.553604166666673</v>
      </c>
      <c r="P7">
        <v>80445</v>
      </c>
      <c r="Q7">
        <v>5.6060369999999997</v>
      </c>
      <c r="R7">
        <f>9093471000*(1/48000000)</f>
        <v>189.44731250000001</v>
      </c>
      <c r="S7">
        <v>99668</v>
      </c>
      <c r="T7">
        <v>7.023752</v>
      </c>
      <c r="U7">
        <f>10735904000*(1/48000000)</f>
        <v>223.66466666666668</v>
      </c>
    </row>
    <row r="8" spans="1:21" x14ac:dyDescent="0.2">
      <c r="B8" s="1">
        <v>-5.0880330000000002</v>
      </c>
      <c r="C8">
        <f>2340564000*(1/48000000)</f>
        <v>48.761750000000006</v>
      </c>
      <c r="E8" s="1">
        <v>2.3236669999999999</v>
      </c>
      <c r="F8">
        <f>2506117000*(1/48000000)</f>
        <v>52.210770833333335</v>
      </c>
      <c r="H8" s="1">
        <v>5.1563879999999997</v>
      </c>
      <c r="I8">
        <f>2940987000*(1/48000000)</f>
        <v>61.270562500000004</v>
      </c>
      <c r="K8">
        <v>4.0292089999999998</v>
      </c>
      <c r="L8">
        <f>3091693000*(1/48000000)</f>
        <v>64.410270833333342</v>
      </c>
      <c r="N8">
        <v>6.3881129999999997</v>
      </c>
      <c r="O8">
        <f>4779925000*(1/48000000)</f>
        <v>99.581770833333337</v>
      </c>
      <c r="Q8">
        <v>5.8966159999999999</v>
      </c>
      <c r="R8">
        <f>9093310000*(1/48000000)</f>
        <v>189.44395833333334</v>
      </c>
      <c r="T8">
        <v>7.0896779999999993</v>
      </c>
      <c r="U8">
        <f>10735178000*(1/48000000)</f>
        <v>223.64954166666669</v>
      </c>
    </row>
    <row r="9" spans="1:21" x14ac:dyDescent="0.2">
      <c r="B9" s="1">
        <v>-5.7966990000000003</v>
      </c>
      <c r="C9">
        <f>2339372000*(1/48000000)</f>
        <v>48.736916666666673</v>
      </c>
      <c r="E9" s="1">
        <v>2.5003129999999998</v>
      </c>
      <c r="F9">
        <f>2505964000*(1/48000000)</f>
        <v>52.207583333333339</v>
      </c>
      <c r="H9" s="1">
        <v>5.0083419999999998</v>
      </c>
      <c r="I9">
        <f>2941569000*(1/48000000)</f>
        <v>61.282687500000002</v>
      </c>
      <c r="K9">
        <v>4.8061100000000003</v>
      </c>
      <c r="L9">
        <f>3091134000*(1/48000000)</f>
        <v>64.39862500000001</v>
      </c>
      <c r="N9">
        <v>6.2169109999999996</v>
      </c>
      <c r="O9">
        <f>4779536000*(1/48000000)</f>
        <v>99.573666666666668</v>
      </c>
      <c r="Q9">
        <v>6.7346570000000003</v>
      </c>
      <c r="R9">
        <f>9090727000*(1/48000000)</f>
        <v>189.39014583333335</v>
      </c>
      <c r="T9">
        <v>5.8798719999999998</v>
      </c>
      <c r="U9">
        <f>10735201000*(1/48000000)</f>
        <v>223.65002083333334</v>
      </c>
    </row>
    <row r="10" spans="1:21" x14ac:dyDescent="0.2">
      <c r="B10" s="1">
        <v>-5.5736549999999996</v>
      </c>
      <c r="C10">
        <f>2340109000*(1/48000000)</f>
        <v>48.752270833333334</v>
      </c>
      <c r="E10" s="1">
        <v>2.8070979999999999</v>
      </c>
      <c r="F10">
        <f>2505941000*(1/48000000)</f>
        <v>52.207104166666667</v>
      </c>
      <c r="H10" s="1">
        <v>4.7647630000000003</v>
      </c>
      <c r="I10">
        <f>2941393000*(1/48000000)</f>
        <v>61.279020833333334</v>
      </c>
      <c r="K10">
        <v>5.4884409999999999</v>
      </c>
      <c r="L10">
        <f>3091331000*(1/48000000)</f>
        <v>64.402729166666674</v>
      </c>
      <c r="N10">
        <v>6.0418289999999999</v>
      </c>
      <c r="O10">
        <f>4777940000*(1/48000000)</f>
        <v>99.540416666666673</v>
      </c>
      <c r="Q10">
        <v>6.295814</v>
      </c>
      <c r="R10">
        <f>9091971000*(1/48000000)</f>
        <v>189.41606250000001</v>
      </c>
      <c r="T10">
        <v>8.6166440000000009</v>
      </c>
      <c r="U10">
        <f>10735192000*(1/48000000)</f>
        <v>223.64983333333333</v>
      </c>
    </row>
    <row r="11" spans="1:21" x14ac:dyDescent="0.2">
      <c r="B11" s="1">
        <v>-5.4525639999999997</v>
      </c>
      <c r="C11">
        <f>2339503000*(1/48000000)</f>
        <v>48.739645833333334</v>
      </c>
      <c r="E11" s="1">
        <v>2.3880210000000002</v>
      </c>
      <c r="F11">
        <f>2505626000*(1/48000000)</f>
        <v>52.200541666666673</v>
      </c>
      <c r="H11" s="1">
        <v>5.1539960000000002</v>
      </c>
      <c r="I11">
        <f>2940470000*(1/48000000)</f>
        <v>61.259791666666672</v>
      </c>
      <c r="K11">
        <v>4.8681660000000004</v>
      </c>
      <c r="L11">
        <f>3091890000*(1/48000000)</f>
        <v>64.414375000000007</v>
      </c>
      <c r="N11">
        <v>6.0092629999999998</v>
      </c>
      <c r="O11">
        <f>4779347000*(1/48000000)</f>
        <v>99.569729166666676</v>
      </c>
      <c r="Q11">
        <v>6.4063670000000004</v>
      </c>
      <c r="R11">
        <f>9090896000*(1/48000000)</f>
        <v>189.39366666666669</v>
      </c>
      <c r="T11">
        <v>6.5493249999999996</v>
      </c>
      <c r="U11">
        <f>10731764000*(1/48000000)</f>
        <v>223.57841666666667</v>
      </c>
    </row>
    <row r="12" spans="1:21" x14ac:dyDescent="0.2">
      <c r="B12" s="1">
        <v>-4.6054870000000001</v>
      </c>
      <c r="C12">
        <f>2340503000*(1/48000000)</f>
        <v>48.76047916666667</v>
      </c>
      <c r="E12" s="1">
        <v>3.0251380000000001</v>
      </c>
      <c r="F12">
        <f>2505215000*(1/48000000)</f>
        <v>52.19197916666667</v>
      </c>
      <c r="H12" s="1">
        <v>4.9352210000000003</v>
      </c>
      <c r="I12">
        <f>2938804000*(1/48000000)</f>
        <v>61.225083333333338</v>
      </c>
      <c r="K12">
        <v>4.6732560000000003</v>
      </c>
      <c r="L12">
        <f>3091629000*(1/48000000)</f>
        <v>64.408937500000008</v>
      </c>
      <c r="N12">
        <v>6.270308</v>
      </c>
      <c r="O12">
        <f>4778263000*(1/48000000)</f>
        <v>99.547145833333346</v>
      </c>
      <c r="Q12">
        <v>6.4550650000000003</v>
      </c>
      <c r="R12">
        <f>9093822000*(1/48000000)</f>
        <v>189.45462500000002</v>
      </c>
      <c r="T12">
        <v>6.18588</v>
      </c>
      <c r="U12">
        <f>10733872000*(1/48000000)</f>
        <v>223.62233333333336</v>
      </c>
    </row>
    <row r="13" spans="1:21" x14ac:dyDescent="0.2">
      <c r="B13" s="1">
        <v>-4.5208000000000004</v>
      </c>
      <c r="C13">
        <f>2339061000*(1/48000000)</f>
        <v>48.730437500000001</v>
      </c>
      <c r="E13" s="1">
        <v>2.8769939999999998</v>
      </c>
      <c r="F13">
        <f>2505095000*(1/48000000)</f>
        <v>52.189479166666672</v>
      </c>
      <c r="H13" s="1">
        <v>5.1733310000000001</v>
      </c>
      <c r="I13">
        <f>2939872000*(1/48000000)</f>
        <v>61.247333333333337</v>
      </c>
      <c r="K13">
        <v>4.7872310000000002</v>
      </c>
      <c r="L13">
        <f>3093052000*(1/48000000)</f>
        <v>64.438583333333341</v>
      </c>
      <c r="N13">
        <v>5.7366460000000004</v>
      </c>
      <c r="O13">
        <f>4780843000*(1/48000000)</f>
        <v>99.60089583333334</v>
      </c>
      <c r="Q13">
        <v>6.5433219999999999</v>
      </c>
      <c r="R13">
        <f>9093131000*(1/48000000)</f>
        <v>189.44022916666668</v>
      </c>
      <c r="T13">
        <v>8.226051</v>
      </c>
      <c r="U13">
        <f>10734499000*(1/48000000)</f>
        <v>223.63539583333335</v>
      </c>
    </row>
    <row r="14" spans="1:21" x14ac:dyDescent="0.2">
      <c r="B14" s="1">
        <v>-4.4116710000000001</v>
      </c>
      <c r="C14">
        <f>2338813000*(1/48000000)</f>
        <v>48.725270833333333</v>
      </c>
      <c r="E14" s="1">
        <v>2.7605040000000001</v>
      </c>
      <c r="F14">
        <f>2506283000*(1/48000000)</f>
        <v>52.214229166666669</v>
      </c>
      <c r="H14" s="1">
        <v>5.1273479999999996</v>
      </c>
      <c r="I14">
        <f>2941209000*(1/48000000)</f>
        <v>61.275187500000001</v>
      </c>
      <c r="K14">
        <v>5.2567279999999998</v>
      </c>
      <c r="L14">
        <f>3091665000*(1/48000000)</f>
        <v>64.409687500000004</v>
      </c>
      <c r="N14">
        <v>6.235392</v>
      </c>
      <c r="O14">
        <f>4779255000*(1/48000000)</f>
        <v>99.567812500000002</v>
      </c>
      <c r="Q14">
        <v>5.8090260000000002</v>
      </c>
      <c r="R14">
        <f>9094159000*(1/48000000)</f>
        <v>189.46164583333334</v>
      </c>
      <c r="T14">
        <v>8.8516429999999993</v>
      </c>
      <c r="U14">
        <f>10731530000*(1/48000000)</f>
        <v>223.57354166666667</v>
      </c>
    </row>
    <row r="15" spans="1:21" x14ac:dyDescent="0.2">
      <c r="B15" s="1">
        <v>-4.9873010000000004</v>
      </c>
      <c r="C15">
        <f>2340156000*(1/48000000)</f>
        <v>48.753250000000001</v>
      </c>
      <c r="E15" s="1">
        <v>3.3304779999999998</v>
      </c>
      <c r="F15">
        <f>2504755000*(1/48000000)</f>
        <v>52.182395833333338</v>
      </c>
      <c r="H15" s="1">
        <v>4.8417130000000004</v>
      </c>
      <c r="I15">
        <f>2940791000*(1/48000000)</f>
        <v>61.26647916666667</v>
      </c>
      <c r="K15">
        <v>4.9909359999999996</v>
      </c>
      <c r="L15">
        <f>3092362000*(1/48000000)</f>
        <v>64.42420833333334</v>
      </c>
      <c r="N15">
        <v>6.2724510000000002</v>
      </c>
      <c r="O15">
        <f>4779412000*(1/48000000)</f>
        <v>99.571083333333334</v>
      </c>
      <c r="Q15">
        <v>5.831175</v>
      </c>
      <c r="R15">
        <f>9089564000*(1/48000000)</f>
        <v>189.36591666666669</v>
      </c>
      <c r="T15">
        <v>5.5475849999999998</v>
      </c>
      <c r="U15">
        <f>10733118000*(1/48000000)</f>
        <v>223.60662500000001</v>
      </c>
    </row>
    <row r="16" spans="1:21" x14ac:dyDescent="0.2">
      <c r="B16" s="1">
        <v>-5.3361210000000003</v>
      </c>
      <c r="C16">
        <f>2339301000*(1/48000000)</f>
        <v>48.735437500000003</v>
      </c>
      <c r="E16" s="1">
        <v>2.7032310000000002</v>
      </c>
      <c r="F16">
        <f>2506603000*(1/48000000)</f>
        <v>52.220895833333337</v>
      </c>
      <c r="H16" s="1">
        <v>5.3779820000000003</v>
      </c>
      <c r="I16">
        <f>2939664000*(1/48000000)</f>
        <v>61.243000000000002</v>
      </c>
      <c r="K16">
        <v>4.7571079999999997</v>
      </c>
      <c r="L16">
        <f>3091662000*(1/48000000)</f>
        <v>64.409625000000005</v>
      </c>
      <c r="N16">
        <v>6.326092</v>
      </c>
      <c r="O16">
        <f>4779592000*(1/48000000)</f>
        <v>99.574833333333345</v>
      </c>
      <c r="Q16">
        <v>5.67239</v>
      </c>
      <c r="R16">
        <f>9094965000*(1/48000000)</f>
        <v>189.47843750000001</v>
      </c>
      <c r="T16">
        <v>7.9491440000000004</v>
      </c>
      <c r="U16">
        <f>10735601000*(1/48000000)</f>
        <v>223.65835416666667</v>
      </c>
    </row>
    <row r="17" spans="2:21" x14ac:dyDescent="0.2">
      <c r="B17" s="1">
        <v>-5.2057460000000004</v>
      </c>
      <c r="C17">
        <f>2338878000*(1/48000000)</f>
        <v>48.726625000000006</v>
      </c>
      <c r="E17" s="1">
        <v>2.8116289999999999</v>
      </c>
      <c r="F17">
        <f>2506400000*(1/48000000)</f>
        <v>52.216666666666669</v>
      </c>
      <c r="H17" s="1">
        <v>4.4217680000000001</v>
      </c>
      <c r="I17">
        <f>2940520000*(1/48000000)</f>
        <v>61.260833333333338</v>
      </c>
      <c r="K17">
        <v>5.283785</v>
      </c>
      <c r="L17">
        <f>3091479000*(1/48000000)</f>
        <v>64.40581250000001</v>
      </c>
      <c r="N17">
        <v>5.8968970000000001</v>
      </c>
      <c r="O17">
        <f>4779554000*(1/48000000)</f>
        <v>99.574041666666673</v>
      </c>
      <c r="Q17">
        <v>6.4616749999999996</v>
      </c>
      <c r="R17">
        <f>9094322000*(1/48000000)</f>
        <v>189.46504166666668</v>
      </c>
      <c r="T17">
        <v>7.2048889999999997</v>
      </c>
      <c r="U17">
        <f>10736209000*(1/48000000)</f>
        <v>223.67102083333336</v>
      </c>
    </row>
    <row r="18" spans="2:21" x14ac:dyDescent="0.2">
      <c r="B18" s="1">
        <v>-5.393796</v>
      </c>
      <c r="C18">
        <f>2338866000*(1/48000000)</f>
        <v>48.726375000000004</v>
      </c>
      <c r="E18" s="1">
        <v>3.4286490000000001</v>
      </c>
      <c r="F18">
        <f>2505918000*(1/48000000)</f>
        <v>52.206625000000003</v>
      </c>
      <c r="H18" s="1">
        <v>5.0316000000000001</v>
      </c>
      <c r="I18">
        <f>2941057000*(1/48000000)</f>
        <v>61.272020833333336</v>
      </c>
      <c r="K18">
        <v>4.651675</v>
      </c>
      <c r="L18">
        <f>3091442000*(1/48000000)</f>
        <v>64.405041666666676</v>
      </c>
      <c r="N18">
        <v>6.1695089999999997</v>
      </c>
      <c r="O18">
        <f>4780682000*(1/48000000)</f>
        <v>99.597541666666672</v>
      </c>
      <c r="Q18">
        <v>6.5795149999999998</v>
      </c>
      <c r="R18">
        <f>9095321000*(1/48000000)</f>
        <v>189.48585416666668</v>
      </c>
      <c r="T18">
        <v>6.5485429999999996</v>
      </c>
      <c r="U18">
        <f>10732038000*(1/48000000)</f>
        <v>223.584125</v>
      </c>
    </row>
    <row r="19" spans="2:21" x14ac:dyDescent="0.2">
      <c r="B19" s="1">
        <v>-5.434412</v>
      </c>
      <c r="C19">
        <f>2339698000*(1/48000000)</f>
        <v>48.743708333333338</v>
      </c>
      <c r="E19" s="1">
        <v>2.904576</v>
      </c>
      <c r="F19">
        <f>2506806000*(1/48000000)</f>
        <v>52.225125000000006</v>
      </c>
      <c r="H19" s="1">
        <v>4.5148010000000003</v>
      </c>
      <c r="I19">
        <f>2939883000*(1/48000000)</f>
        <v>61.247562500000001</v>
      </c>
      <c r="K19">
        <v>5.0932269999999997</v>
      </c>
      <c r="L19">
        <f>3092363000*(1/48000000)</f>
        <v>64.424229166666677</v>
      </c>
      <c r="N19">
        <v>6.3176009999999998</v>
      </c>
      <c r="O19">
        <f>4779264000*(1/48000000)</f>
        <v>99.568000000000012</v>
      </c>
      <c r="Q19">
        <v>6.5524649999999998</v>
      </c>
      <c r="R19">
        <f>9093962000*(1/48000000)</f>
        <v>189.45754166666669</v>
      </c>
      <c r="T19">
        <v>5.8445720000000003</v>
      </c>
      <c r="U19">
        <f>10735277000*(1/48000000)</f>
        <v>223.65160416666669</v>
      </c>
    </row>
    <row r="20" spans="2:21" x14ac:dyDescent="0.2">
      <c r="B20" s="1">
        <v>-5.6407090000000002</v>
      </c>
      <c r="C20">
        <f>2339001000*(1/48000000)</f>
        <v>48.729187500000002</v>
      </c>
      <c r="E20" s="1">
        <v>2.7144780000000002</v>
      </c>
      <c r="F20">
        <f>2507217000*(1/48000000)</f>
        <v>52.233687500000002</v>
      </c>
      <c r="H20" s="1">
        <v>4.755363</v>
      </c>
      <c r="I20">
        <f>2940680000*(1/48000000)</f>
        <v>61.264166666666668</v>
      </c>
      <c r="K20">
        <v>4.1861300000000004</v>
      </c>
      <c r="L20">
        <f>3091169000*(1/48000000)</f>
        <v>64.399354166666669</v>
      </c>
      <c r="N20">
        <v>5.4977510000000001</v>
      </c>
      <c r="O20">
        <f>4779925000*(1/48000000)</f>
        <v>99.581770833333337</v>
      </c>
      <c r="Q20">
        <v>6.1195380000000004</v>
      </c>
      <c r="R20">
        <f>9098426000*(1/48000000)</f>
        <v>189.55054166666667</v>
      </c>
      <c r="T20">
        <v>5.4708209999999999</v>
      </c>
      <c r="U20">
        <f>10731559000*(1/48000000)</f>
        <v>223.57414583333335</v>
      </c>
    </row>
    <row r="21" spans="2:21" x14ac:dyDescent="0.2">
      <c r="B21" s="1">
        <v>-5.1586369999999997</v>
      </c>
      <c r="C21">
        <f>2339444000*(1/48000000)</f>
        <v>48.738416666666673</v>
      </c>
      <c r="E21" s="1">
        <v>3.2372719999999999</v>
      </c>
      <c r="F21">
        <f>2506000000*(1/48000000)</f>
        <v>52.208333333333336</v>
      </c>
      <c r="H21" s="1">
        <v>4.5251239999999999</v>
      </c>
      <c r="I21">
        <f>2939518000*(1/48000000)</f>
        <v>61.239958333333334</v>
      </c>
      <c r="K21">
        <v>5.2615720000000001</v>
      </c>
      <c r="L21">
        <f>3091154000*(1/48000000)</f>
        <v>64.399041666666676</v>
      </c>
      <c r="N21">
        <v>5.9280160000000004</v>
      </c>
      <c r="O21">
        <f>4779852000*(1/48000000)</f>
        <v>99.580250000000007</v>
      </c>
      <c r="Q21">
        <v>5.9229159999999998</v>
      </c>
      <c r="R21">
        <f>9094683000*(1/48000000)</f>
        <v>189.47256250000001</v>
      </c>
      <c r="T21">
        <v>8.6127470000000006</v>
      </c>
      <c r="U21">
        <f>10733329000*(1/48000000)</f>
        <v>223.61102083333336</v>
      </c>
    </row>
    <row r="22" spans="2:21" x14ac:dyDescent="0.2">
      <c r="B22" s="1">
        <v>-4.925395</v>
      </c>
      <c r="C22">
        <f>2339900000*(1/48000000)</f>
        <v>48.747916666666669</v>
      </c>
      <c r="E22" s="1">
        <v>2.5805150000000001</v>
      </c>
      <c r="F22">
        <f>2506486000*(1/48000000)</f>
        <v>52.218458333333338</v>
      </c>
      <c r="H22" s="1">
        <v>3.505738</v>
      </c>
      <c r="I22">
        <f>2940582000*(1/48000000)</f>
        <v>61.262125000000005</v>
      </c>
      <c r="K22">
        <v>4.9868300000000003</v>
      </c>
      <c r="L22">
        <f>3092007000*(1/48000000)</f>
        <v>64.416812500000006</v>
      </c>
      <c r="N22">
        <v>6.2402639999999998</v>
      </c>
      <c r="O22">
        <f>4780164000*(1/48000000)</f>
        <v>99.586750000000009</v>
      </c>
      <c r="Q22">
        <v>6.2934409999999996</v>
      </c>
      <c r="R22">
        <f>9096510000*(1/48000000)</f>
        <v>189.510625</v>
      </c>
      <c r="T22">
        <v>5.9004479999999999</v>
      </c>
      <c r="U22">
        <f>10735287000*(1/48000000)</f>
        <v>223.65181250000001</v>
      </c>
    </row>
    <row r="23" spans="2:21" x14ac:dyDescent="0.2">
      <c r="B23" s="1">
        <v>-6.1688859999999996</v>
      </c>
      <c r="C23">
        <f>2340279000*(1/48000000)</f>
        <v>48.755812500000005</v>
      </c>
      <c r="E23" s="1">
        <v>3.092962</v>
      </c>
      <c r="F23">
        <f>2506161000*(1/48000000)</f>
        <v>52.211687500000004</v>
      </c>
      <c r="H23" s="1">
        <v>4.1046170000000002</v>
      </c>
      <c r="I23">
        <f>2940804000*(1/48000000)</f>
        <v>61.266750000000002</v>
      </c>
      <c r="K23">
        <v>5.1012370000000002</v>
      </c>
      <c r="L23">
        <f>3091399000*(1/48000000)</f>
        <v>64.404145833333331</v>
      </c>
      <c r="N23">
        <v>6.0888080000000002</v>
      </c>
      <c r="O23">
        <f>4780214000*(1/48000000)</f>
        <v>99.587791666666675</v>
      </c>
      <c r="Q23">
        <v>6.5572530000000002</v>
      </c>
      <c r="R23">
        <f>9087925000*(1/48000000)</f>
        <v>189.33177083333334</v>
      </c>
      <c r="T23">
        <v>8.4603350000000006</v>
      </c>
      <c r="U23">
        <f>10733213000*(1/48000000)</f>
        <v>223.60860416666668</v>
      </c>
    </row>
    <row r="24" spans="2:21" x14ac:dyDescent="0.2">
      <c r="B24" s="1">
        <v>-5.0145439999999999</v>
      </c>
      <c r="C24">
        <f>2339921000*(1/48000000)</f>
        <v>48.748354166666672</v>
      </c>
      <c r="E24" s="1">
        <v>3.3235679999999999</v>
      </c>
      <c r="F24">
        <f>2506518000*(1/48000000)</f>
        <v>52.219125000000005</v>
      </c>
      <c r="H24" s="1">
        <v>3.5260470000000002</v>
      </c>
      <c r="I24">
        <f>2940618000*(1/48000000)</f>
        <v>61.262875000000001</v>
      </c>
      <c r="K24">
        <v>4.4929290000000002</v>
      </c>
      <c r="L24">
        <f>3091238000*(1/48000000)</f>
        <v>64.400791666666677</v>
      </c>
      <c r="N24">
        <v>5.5729420000000003</v>
      </c>
      <c r="O24">
        <f>4779778000*(1/48000000)</f>
        <v>99.578708333333338</v>
      </c>
      <c r="Q24">
        <v>6.5501009999999997</v>
      </c>
      <c r="R24">
        <f>9095450000*(1/48000000)</f>
        <v>189.48854166666669</v>
      </c>
      <c r="T24">
        <v>5.2536620000000003</v>
      </c>
      <c r="U24">
        <f>10732871000*(1/48000000)</f>
        <v>223.60147916666668</v>
      </c>
    </row>
    <row r="25" spans="2:21" x14ac:dyDescent="0.2">
      <c r="B25" s="1"/>
      <c r="C25">
        <f>2339637000*(1/48000000)</f>
        <v>48.742437500000001</v>
      </c>
      <c r="E25" s="1"/>
      <c r="F25">
        <f>2505601000*(1/48000000)</f>
        <v>52.200020833333333</v>
      </c>
      <c r="H25" s="1"/>
      <c r="I25">
        <f>2941372000*(1/48000000)</f>
        <v>61.278583333333337</v>
      </c>
      <c r="K25" s="1"/>
      <c r="L25">
        <f>3093257000*(1/48000000)</f>
        <v>64.442854166666677</v>
      </c>
      <c r="N25" s="1"/>
      <c r="O25">
        <f>4780397000*(1/48000000)</f>
        <v>99.59160416666667</v>
      </c>
      <c r="Q25" s="1"/>
      <c r="R25">
        <f>9094914000*(1/48000000)</f>
        <v>189.47737500000002</v>
      </c>
      <c r="T25" s="1"/>
      <c r="U25">
        <f>10734707000*(1/48000000)</f>
        <v>223.63972916666668</v>
      </c>
    </row>
    <row r="26" spans="2:21" x14ac:dyDescent="0.2">
      <c r="B26" s="1"/>
      <c r="C26">
        <f>2340428000*(1/48000000)</f>
        <v>48.758916666666671</v>
      </c>
      <c r="E26" s="1"/>
      <c r="F26">
        <f>2506678000*(1/48000000)</f>
        <v>52.222458333333336</v>
      </c>
      <c r="H26" s="1"/>
      <c r="I26">
        <f>2942315000*(1/48000000)</f>
        <v>61.298229166666673</v>
      </c>
      <c r="K26" s="1"/>
      <c r="L26">
        <f>3092009000*(1/48000000)</f>
        <v>64.416854166666667</v>
      </c>
      <c r="N26" s="1"/>
      <c r="O26">
        <f>4780420000*(1/48000000)</f>
        <v>99.592083333333335</v>
      </c>
      <c r="Q26" s="1"/>
      <c r="R26">
        <f>9094456000*(1/48000000)</f>
        <v>189.46783333333335</v>
      </c>
      <c r="T26" s="1"/>
      <c r="U26">
        <f>10733628000*(1/48000000)</f>
        <v>223.61725000000001</v>
      </c>
    </row>
    <row r="27" spans="2:21" x14ac:dyDescent="0.2">
      <c r="B27" s="1"/>
      <c r="C27">
        <f>2339796000*(1/48000000)</f>
        <v>48.745750000000001</v>
      </c>
      <c r="E27" s="1"/>
      <c r="F27">
        <f>2506269000*(1/48000000)</f>
        <v>52.2139375</v>
      </c>
      <c r="H27" s="1"/>
      <c r="I27">
        <f>2941116000*(1/48000000)</f>
        <v>61.273250000000004</v>
      </c>
      <c r="K27" s="1"/>
      <c r="L27">
        <f>3092588000*(1/48000000)</f>
        <v>64.428916666666666</v>
      </c>
      <c r="N27" s="1"/>
      <c r="O27">
        <f>4780548000*(1/48000000)</f>
        <v>99.594750000000005</v>
      </c>
      <c r="Q27" s="1"/>
      <c r="R27">
        <f>9097123000*(1/48000000)</f>
        <v>189.52339583333335</v>
      </c>
      <c r="T27" s="1"/>
      <c r="U27">
        <f>10733883000*(1/48000000)</f>
        <v>223.62256250000002</v>
      </c>
    </row>
    <row r="28" spans="2:21" x14ac:dyDescent="0.2">
      <c r="B28" s="1"/>
      <c r="C28">
        <f>2340716000*(1/48000000)</f>
        <v>48.764916666666672</v>
      </c>
      <c r="E28" s="1"/>
      <c r="F28">
        <f>2505447000*(1/48000000)</f>
        <v>52.1968125</v>
      </c>
      <c r="H28" s="1"/>
      <c r="I28">
        <f>2940892000*(1/48000000)</f>
        <v>61.268583333333339</v>
      </c>
      <c r="K28" s="1"/>
      <c r="L28">
        <f>3091997000*(1/48000000)</f>
        <v>64.416604166666673</v>
      </c>
      <c r="N28" s="1"/>
      <c r="Q28" s="1"/>
      <c r="R28">
        <f>9094570000*(1/48000000)</f>
        <v>189.47020833333335</v>
      </c>
      <c r="T28" s="1"/>
      <c r="U28">
        <f>10734946000*(1/48000000)</f>
        <v>223.64470833333334</v>
      </c>
    </row>
    <row r="29" spans="2:21" x14ac:dyDescent="0.2">
      <c r="B29" s="1"/>
      <c r="E29" s="1"/>
      <c r="F29">
        <f>2505890000*(1/48000000)</f>
        <v>52.206041666666671</v>
      </c>
      <c r="H29" s="1"/>
      <c r="I29">
        <f>2940097000*(1/48000000)</f>
        <v>61.25202083333334</v>
      </c>
      <c r="K29" s="1"/>
      <c r="L29">
        <f>0*(1/48000000)</f>
        <v>0</v>
      </c>
      <c r="N29" s="1"/>
      <c r="Q29" s="1"/>
      <c r="T29" s="1"/>
      <c r="U29">
        <f>10733060000*(1/48000000)</f>
        <v>223.60541666666668</v>
      </c>
    </row>
    <row r="30" spans="2:21" x14ac:dyDescent="0.2">
      <c r="B30" s="1"/>
      <c r="E30" s="1"/>
      <c r="F30">
        <f>0*(1/48000000)</f>
        <v>0</v>
      </c>
      <c r="H30" s="1"/>
      <c r="I30">
        <f>2941720000*(1/48000000)</f>
        <v>61.285833333333336</v>
      </c>
      <c r="K30" s="1"/>
      <c r="N30" s="1"/>
      <c r="Q30" s="1"/>
      <c r="T30" s="1"/>
      <c r="U30">
        <f>10736236000*(1/48000000)</f>
        <v>223.67158333333336</v>
      </c>
    </row>
    <row r="31" spans="2:21" x14ac:dyDescent="0.2">
      <c r="B31" s="1"/>
      <c r="E31" s="1"/>
      <c r="H31" s="1"/>
      <c r="I31">
        <f>2940271000*(1/48000000)</f>
        <v>61.25564583333334</v>
      </c>
      <c r="K31" s="1"/>
      <c r="N31" s="1"/>
      <c r="Q31" s="1"/>
      <c r="T31" s="1"/>
    </row>
    <row r="32" spans="2:21" x14ac:dyDescent="0.2">
      <c r="B32" s="1"/>
      <c r="E32" s="1"/>
      <c r="H32" s="1"/>
      <c r="K32" s="1"/>
      <c r="N32" s="1"/>
      <c r="Q32" s="1"/>
      <c r="T32" s="1"/>
    </row>
    <row r="33" spans="2:20" x14ac:dyDescent="0.2">
      <c r="B33" s="1"/>
      <c r="E33" s="1"/>
      <c r="H33" s="1"/>
      <c r="K33" s="1"/>
      <c r="N33" s="1"/>
      <c r="Q33" s="1"/>
      <c r="T33" s="1"/>
    </row>
    <row r="34" spans="2:20" x14ac:dyDescent="0.2">
      <c r="B34" s="1"/>
      <c r="E34" s="1"/>
      <c r="H34" s="1"/>
      <c r="K34" s="1"/>
      <c r="N34" s="1"/>
      <c r="Q34" s="1"/>
      <c r="T34" s="1"/>
    </row>
    <row r="35" spans="2:20" x14ac:dyDescent="0.2">
      <c r="B35" s="1"/>
      <c r="E35" s="1"/>
      <c r="H35" s="1"/>
      <c r="K35" s="1"/>
      <c r="N35" s="1"/>
      <c r="Q35" s="1"/>
      <c r="T35" s="1"/>
    </row>
    <row r="36" spans="2:20" x14ac:dyDescent="0.2">
      <c r="B36" s="1"/>
      <c r="E36" s="1"/>
      <c r="H36" s="1"/>
      <c r="K36" s="1"/>
      <c r="N36" s="1"/>
      <c r="Q36" s="1"/>
      <c r="T36" s="1"/>
    </row>
    <row r="37" spans="2:20" x14ac:dyDescent="0.2">
      <c r="B37" s="1"/>
      <c r="E37" s="1"/>
      <c r="H37" s="1"/>
      <c r="K37" s="1"/>
      <c r="N37" s="1"/>
      <c r="Q37" s="1"/>
      <c r="T37" s="1"/>
    </row>
    <row r="38" spans="2:20" x14ac:dyDescent="0.2">
      <c r="B38" s="1"/>
      <c r="E38" s="1"/>
      <c r="H38" s="1"/>
      <c r="K38" s="1"/>
      <c r="N38" s="1"/>
      <c r="Q38" s="1"/>
      <c r="T38" s="1"/>
    </row>
    <row r="39" spans="2:20" x14ac:dyDescent="0.2">
      <c r="B39" s="1"/>
      <c r="E39" s="1"/>
      <c r="H39" s="1"/>
      <c r="K39" s="1"/>
      <c r="N39" s="1"/>
      <c r="Q39" s="1"/>
      <c r="T39" s="1"/>
    </row>
    <row r="40" spans="2:20" x14ac:dyDescent="0.2">
      <c r="B40" s="1"/>
      <c r="E40" s="1"/>
      <c r="H40" s="1"/>
      <c r="K40" s="1"/>
      <c r="N40" s="1"/>
      <c r="Q40" s="1"/>
      <c r="T40" s="1"/>
    </row>
    <row r="41" spans="2:20" x14ac:dyDescent="0.2">
      <c r="B41" s="1"/>
      <c r="E41" s="1"/>
      <c r="H41" s="1"/>
      <c r="K41" s="1"/>
      <c r="Q41" s="1"/>
      <c r="T41" s="1"/>
    </row>
    <row r="42" spans="2:20" x14ac:dyDescent="0.2">
      <c r="B42" s="1"/>
      <c r="E42" s="1"/>
      <c r="H42" s="1"/>
      <c r="K42" s="1"/>
      <c r="T42" s="1"/>
    </row>
    <row r="43" spans="2:20" x14ac:dyDescent="0.2">
      <c r="B43" s="1"/>
      <c r="E43" s="1"/>
      <c r="H43" s="1"/>
      <c r="K43" s="1"/>
      <c r="T43" s="1"/>
    </row>
    <row r="44" spans="2:20" x14ac:dyDescent="0.2">
      <c r="B44" s="1"/>
      <c r="E44" s="1"/>
      <c r="H44" s="1"/>
      <c r="K44" s="1"/>
    </row>
    <row r="45" spans="2:20" x14ac:dyDescent="0.2">
      <c r="B45" s="1"/>
      <c r="E45" s="1"/>
      <c r="H45" s="1"/>
      <c r="K45" s="1"/>
    </row>
    <row r="46" spans="2:20" x14ac:dyDescent="0.2">
      <c r="B46" s="1"/>
      <c r="K46" s="1"/>
    </row>
    <row r="47" spans="2:20" x14ac:dyDescent="0.2">
      <c r="B47" s="1"/>
      <c r="K47" s="1"/>
    </row>
    <row r="48" spans="2:20" x14ac:dyDescent="0.2">
      <c r="B48" s="1"/>
      <c r="K48" s="1"/>
    </row>
    <row r="49" spans="2:11" x14ac:dyDescent="0.2">
      <c r="B49" s="1"/>
      <c r="K49" s="1"/>
    </row>
    <row r="50" spans="2:11" x14ac:dyDescent="0.2">
      <c r="B50" s="1"/>
      <c r="K50" s="1"/>
    </row>
    <row r="51" spans="2:11" x14ac:dyDescent="0.2">
      <c r="B51" s="1"/>
      <c r="K51" s="1"/>
    </row>
    <row r="52" spans="2:11" x14ac:dyDescent="0.2">
      <c r="B52" s="1"/>
      <c r="K52" s="1"/>
    </row>
    <row r="53" spans="2:11" x14ac:dyDescent="0.2">
      <c r="B53" s="1"/>
      <c r="K53" s="1"/>
    </row>
    <row r="54" spans="2:11" x14ac:dyDescent="0.2">
      <c r="B54" s="1"/>
      <c r="K54" s="1"/>
    </row>
    <row r="55" spans="2:11" x14ac:dyDescent="0.2">
      <c r="B55" s="1"/>
      <c r="K55" s="1"/>
    </row>
    <row r="56" spans="2:11" x14ac:dyDescent="0.2">
      <c r="B56" s="1"/>
      <c r="K56" s="1"/>
    </row>
    <row r="57" spans="2:11" x14ac:dyDescent="0.2">
      <c r="B57" s="1"/>
      <c r="K57" s="1"/>
    </row>
    <row r="58" spans="2:11" x14ac:dyDescent="0.2">
      <c r="B58" s="1"/>
      <c r="K58" s="1"/>
    </row>
    <row r="59" spans="2:11" x14ac:dyDescent="0.2">
      <c r="B59" s="1"/>
      <c r="K59" s="1"/>
    </row>
    <row r="60" spans="2:11" x14ac:dyDescent="0.2">
      <c r="B60" s="1"/>
      <c r="K60" s="1"/>
    </row>
    <row r="61" spans="2:11" x14ac:dyDescent="0.2">
      <c r="B61" s="1"/>
      <c r="K61" s="1"/>
    </row>
    <row r="62" spans="2:11" x14ac:dyDescent="0.2">
      <c r="B62" s="1"/>
      <c r="K62" s="1"/>
    </row>
    <row r="63" spans="2:11" x14ac:dyDescent="0.2">
      <c r="B63" s="1"/>
      <c r="K63" s="1"/>
    </row>
    <row r="64" spans="2:11" x14ac:dyDescent="0.2">
      <c r="B64" s="1"/>
      <c r="K64" s="1"/>
    </row>
    <row r="65" spans="2:11" x14ac:dyDescent="0.2">
      <c r="B65" s="1"/>
      <c r="K65" s="1"/>
    </row>
    <row r="66" spans="2:11" x14ac:dyDescent="0.2">
      <c r="B66" s="1"/>
    </row>
    <row r="67" spans="2:11" x14ac:dyDescent="0.2">
      <c r="B67" s="1"/>
    </row>
    <row r="68" spans="2:11" x14ac:dyDescent="0.2">
      <c r="B68" s="1"/>
    </row>
    <row r="69" spans="2:11" x14ac:dyDescent="0.2">
      <c r="B69" s="1"/>
    </row>
    <row r="70" spans="2:11" x14ac:dyDescent="0.2">
      <c r="B70" s="1"/>
    </row>
    <row r="71" spans="2:11" x14ac:dyDescent="0.2">
      <c r="B71" s="1"/>
    </row>
    <row r="72" spans="2:11" x14ac:dyDescent="0.2">
      <c r="B72" s="1"/>
    </row>
    <row r="73" spans="2:11" x14ac:dyDescent="0.2">
      <c r="B73" s="1"/>
    </row>
    <row r="74" spans="2:11" x14ac:dyDescent="0.2">
      <c r="B74" s="1"/>
    </row>
    <row r="75" spans="2:11" x14ac:dyDescent="0.2">
      <c r="B75" s="1"/>
    </row>
    <row r="76" spans="2:11" x14ac:dyDescent="0.2">
      <c r="B76" s="1"/>
    </row>
    <row r="77" spans="2:11" x14ac:dyDescent="0.2">
      <c r="B77" s="1"/>
    </row>
    <row r="78" spans="2:11" x14ac:dyDescent="0.2">
      <c r="B78" s="1"/>
    </row>
    <row r="79" spans="2:11" x14ac:dyDescent="0.2">
      <c r="B79" s="1"/>
    </row>
    <row r="80" spans="2:11" x14ac:dyDescent="0.2">
      <c r="B80" s="1"/>
    </row>
    <row r="81" spans="2:2" x14ac:dyDescent="0.2">
      <c r="B81" s="1"/>
    </row>
    <row r="82" spans="2:2" x14ac:dyDescent="0.2">
      <c r="B82" s="1"/>
    </row>
    <row r="83" spans="2:2" x14ac:dyDescent="0.2">
      <c r="B83" s="1"/>
    </row>
    <row r="84" spans="2:2" x14ac:dyDescent="0.2">
      <c r="B84" s="1"/>
    </row>
    <row r="85" spans="2:2" x14ac:dyDescent="0.2">
      <c r="B85" s="1"/>
    </row>
    <row r="86" spans="2:2" x14ac:dyDescent="0.2">
      <c r="B86" s="1"/>
    </row>
    <row r="87" spans="2:2" x14ac:dyDescent="0.2">
      <c r="B87" s="1"/>
    </row>
    <row r="88" spans="2:2" x14ac:dyDescent="0.2">
      <c r="B88" s="1"/>
    </row>
    <row r="89" spans="2:2" x14ac:dyDescent="0.2">
      <c r="B89" s="1"/>
    </row>
    <row r="90" spans="2:2" x14ac:dyDescent="0.2">
      <c r="B90" s="1"/>
    </row>
    <row r="91" spans="2:2" x14ac:dyDescent="0.2">
      <c r="B91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K26" sqref="K26"/>
    </sheetView>
  </sheetViews>
  <sheetFormatPr baseColWidth="10" defaultRowHeight="16" x14ac:dyDescent="0.2"/>
  <sheetData>
    <row r="1" spans="1:5" x14ac:dyDescent="0.2">
      <c r="A1" t="s">
        <v>1</v>
      </c>
      <c r="B1" t="s">
        <v>2</v>
      </c>
      <c r="C1" t="s">
        <v>3</v>
      </c>
      <c r="D1" s="4">
        <v>1</v>
      </c>
    </row>
    <row r="2" spans="1:5" x14ac:dyDescent="0.2">
      <c r="A2">
        <v>989</v>
      </c>
      <c r="B2">
        <v>29.917541142857143</v>
      </c>
      <c r="C2">
        <v>28.562240171842856</v>
      </c>
      <c r="D2" s="4"/>
      <c r="E2">
        <v>28</v>
      </c>
    </row>
    <row r="3" spans="1:5" x14ac:dyDescent="0.2">
      <c r="A3">
        <v>2933</v>
      </c>
      <c r="B3">
        <v>11.079200642857144</v>
      </c>
      <c r="C3">
        <v>29.355853485392856</v>
      </c>
      <c r="D3" s="4"/>
    </row>
    <row r="4" spans="1:5" x14ac:dyDescent="0.2">
      <c r="A4">
        <v>8081</v>
      </c>
      <c r="B4">
        <v>2.1743811428571429</v>
      </c>
      <c r="C4">
        <v>31.345923217942858</v>
      </c>
      <c r="D4" s="4"/>
    </row>
    <row r="5" spans="1:5" x14ac:dyDescent="0.2">
      <c r="A5">
        <v>9878</v>
      </c>
      <c r="B5">
        <v>1.8755355</v>
      </c>
      <c r="C5">
        <v>32.067587241849999</v>
      </c>
      <c r="D5" s="4"/>
    </row>
    <row r="6" spans="1:5" x14ac:dyDescent="0.2">
      <c r="A6">
        <v>29734</v>
      </c>
      <c r="B6">
        <v>1.3683020714285714</v>
      </c>
      <c r="C6">
        <v>40.097561011904759</v>
      </c>
      <c r="D6" s="4"/>
    </row>
    <row r="7" spans="1:5" x14ac:dyDescent="0.2">
      <c r="A7">
        <v>80445</v>
      </c>
      <c r="B7">
        <v>1.2283675000000003</v>
      </c>
      <c r="C7">
        <v>60.771111607142856</v>
      </c>
      <c r="D7" s="4"/>
    </row>
    <row r="8" spans="1:5" x14ac:dyDescent="0.2">
      <c r="A8">
        <v>99668</v>
      </c>
      <c r="B8">
        <v>1.0621895714285714</v>
      </c>
      <c r="C8">
        <v>68.359877976190489</v>
      </c>
      <c r="D8" s="4"/>
    </row>
    <row r="9" spans="1:5" x14ac:dyDescent="0.2">
      <c r="A9" t="s">
        <v>1</v>
      </c>
      <c r="B9" t="s">
        <v>2</v>
      </c>
      <c r="C9" t="s">
        <v>3</v>
      </c>
      <c r="D9" s="4">
        <v>2</v>
      </c>
    </row>
    <row r="10" spans="1:5" x14ac:dyDescent="0.2">
      <c r="A10">
        <v>989</v>
      </c>
      <c r="B10">
        <v>9.291167642857145</v>
      </c>
      <c r="C10">
        <v>64.315699218749998</v>
      </c>
      <c r="D10" s="4"/>
      <c r="E10">
        <v>57</v>
      </c>
    </row>
    <row r="11" spans="1:5" x14ac:dyDescent="0.2">
      <c r="A11">
        <v>2933</v>
      </c>
      <c r="B11">
        <v>4.4974821875000002</v>
      </c>
      <c r="C11">
        <v>67.652649739583339</v>
      </c>
      <c r="D11" s="4"/>
    </row>
    <row r="12" spans="1:5" x14ac:dyDescent="0.2">
      <c r="A12">
        <v>8081</v>
      </c>
      <c r="B12">
        <v>1.0745609375</v>
      </c>
      <c r="C12">
        <v>76.504723958333344</v>
      </c>
      <c r="D12" s="4"/>
    </row>
    <row r="13" spans="1:5" x14ac:dyDescent="0.2">
      <c r="A13">
        <v>9878</v>
      </c>
      <c r="B13">
        <v>1.1845030000000001</v>
      </c>
      <c r="C13">
        <v>79.851027343750005</v>
      </c>
      <c r="D13" s="4"/>
    </row>
    <row r="14" spans="1:5" x14ac:dyDescent="0.2">
      <c r="A14">
        <v>29734</v>
      </c>
      <c r="B14">
        <v>0.77965462500000005</v>
      </c>
      <c r="C14">
        <v>114.23212369791668</v>
      </c>
      <c r="D14" s="4"/>
    </row>
    <row r="15" spans="1:5" x14ac:dyDescent="0.2">
      <c r="A15">
        <v>80445</v>
      </c>
      <c r="B15">
        <v>0.397321125</v>
      </c>
      <c r="C15">
        <v>202.26764973958333</v>
      </c>
      <c r="D15" s="4"/>
    </row>
    <row r="16" spans="1:5" x14ac:dyDescent="0.2">
      <c r="A16">
        <v>99668</v>
      </c>
      <c r="B16">
        <v>0.34073937500000001</v>
      </c>
      <c r="C16">
        <v>235.62173958333332</v>
      </c>
      <c r="D16" s="4"/>
    </row>
    <row r="17" spans="1:5" x14ac:dyDescent="0.2">
      <c r="A17" t="s">
        <v>1</v>
      </c>
      <c r="B17" t="s">
        <v>2</v>
      </c>
      <c r="C17" t="s">
        <v>3</v>
      </c>
      <c r="D17" s="4">
        <v>3</v>
      </c>
      <c r="E17">
        <v>13</v>
      </c>
    </row>
    <row r="18" spans="1:5" x14ac:dyDescent="0.2">
      <c r="A18">
        <v>989</v>
      </c>
      <c r="B18">
        <v>19.27563352941176</v>
      </c>
      <c r="C18">
        <v>13.541290800600001</v>
      </c>
      <c r="D18" s="4"/>
    </row>
    <row r="19" spans="1:5" x14ac:dyDescent="0.2">
      <c r="A19">
        <v>2933</v>
      </c>
      <c r="B19">
        <v>13.092927823529413</v>
      </c>
      <c r="C19">
        <v>14.300923163617647</v>
      </c>
      <c r="D19" s="4"/>
    </row>
    <row r="20" spans="1:5" x14ac:dyDescent="0.2">
      <c r="A20">
        <v>8081</v>
      </c>
      <c r="B20">
        <v>22.199739176470594</v>
      </c>
      <c r="C20">
        <v>16.3690154429</v>
      </c>
      <c r="D20" s="4"/>
    </row>
    <row r="21" spans="1:5" x14ac:dyDescent="0.2">
      <c r="A21">
        <v>9878</v>
      </c>
      <c r="B21">
        <v>21.450674117647058</v>
      </c>
      <c r="C21">
        <v>17.140335287217646</v>
      </c>
      <c r="D21" s="4"/>
    </row>
    <row r="22" spans="1:5" x14ac:dyDescent="0.2">
      <c r="A22">
        <v>29734</v>
      </c>
      <c r="B22">
        <v>24.762945235294119</v>
      </c>
      <c r="C22">
        <v>25.148133749229409</v>
      </c>
      <c r="D22" s="4"/>
    </row>
    <row r="23" spans="1:5" x14ac:dyDescent="0.2">
      <c r="A23">
        <v>80445</v>
      </c>
      <c r="B23">
        <v>24.323580882352942</v>
      </c>
      <c r="C23">
        <v>45.768616687776465</v>
      </c>
      <c r="D23" s="4"/>
    </row>
    <row r="24" spans="1:5" x14ac:dyDescent="0.2">
      <c r="A24">
        <v>99668</v>
      </c>
      <c r="B24">
        <v>23.870857000000001</v>
      </c>
      <c r="C24">
        <v>53.59150245545294</v>
      </c>
      <c r="D24" s="4"/>
    </row>
    <row r="25" spans="1:5" x14ac:dyDescent="0.2">
      <c r="A25" t="s">
        <v>1</v>
      </c>
      <c r="B25" t="s">
        <v>2</v>
      </c>
      <c r="C25" t="s">
        <v>3</v>
      </c>
      <c r="D25" s="4">
        <v>4</v>
      </c>
    </row>
    <row r="26" spans="1:5" x14ac:dyDescent="0.2">
      <c r="A26">
        <v>989</v>
      </c>
      <c r="B26">
        <v>3.6822118333333336</v>
      </c>
      <c r="C26">
        <v>48.824329288355557</v>
      </c>
      <c r="D26" s="4"/>
    </row>
    <row r="27" spans="1:5" x14ac:dyDescent="0.2">
      <c r="A27">
        <v>2933</v>
      </c>
      <c r="B27">
        <v>2.8444116666666668</v>
      </c>
      <c r="C27">
        <v>52.734644791100003</v>
      </c>
      <c r="D27" s="4"/>
    </row>
    <row r="28" spans="1:5" x14ac:dyDescent="0.2">
      <c r="A28">
        <v>8081</v>
      </c>
      <c r="B28">
        <v>6.2237518888888896</v>
      </c>
      <c r="C28">
        <v>61.115945038405549</v>
      </c>
      <c r="D28" s="4"/>
      <c r="E28">
        <v>61</v>
      </c>
    </row>
    <row r="29" spans="1:5" x14ac:dyDescent="0.2">
      <c r="A29">
        <v>9878</v>
      </c>
      <c r="B29">
        <v>4.8164425</v>
      </c>
      <c r="C29">
        <v>68.486349912405558</v>
      </c>
      <c r="D29" s="4"/>
    </row>
    <row r="30" spans="1:5" x14ac:dyDescent="0.2">
      <c r="A30">
        <v>29734</v>
      </c>
      <c r="B30">
        <v>7.0592071111111103</v>
      </c>
      <c r="C30">
        <v>97.964165016344452</v>
      </c>
      <c r="D30" s="4"/>
    </row>
    <row r="31" spans="1:5" x14ac:dyDescent="0.2">
      <c r="A31">
        <v>80445</v>
      </c>
      <c r="B31">
        <v>7.2381873888888908</v>
      </c>
      <c r="C31">
        <v>184.70020563660557</v>
      </c>
      <c r="D31" s="4"/>
    </row>
    <row r="32" spans="1:5" x14ac:dyDescent="0.2">
      <c r="A32">
        <v>99668</v>
      </c>
      <c r="B32">
        <v>7.9564217222222213</v>
      </c>
      <c r="C32">
        <v>217.91476128952775</v>
      </c>
      <c r="D32" s="4"/>
    </row>
    <row r="34" spans="1:2" x14ac:dyDescent="0.2">
      <c r="A34">
        <v>989</v>
      </c>
      <c r="B34">
        <v>37.958553882352945</v>
      </c>
    </row>
    <row r="35" spans="1:2" x14ac:dyDescent="0.2">
      <c r="A35">
        <v>2933</v>
      </c>
      <c r="B35">
        <v>10.576929823529413</v>
      </c>
    </row>
    <row r="36" spans="1:2" x14ac:dyDescent="0.2">
      <c r="A36">
        <v>8081</v>
      </c>
      <c r="B36">
        <v>3.8061686470588239</v>
      </c>
    </row>
    <row r="37" spans="1:2" x14ac:dyDescent="0.2">
      <c r="A37">
        <v>9878</v>
      </c>
      <c r="B37">
        <v>2.6311317647058829</v>
      </c>
    </row>
    <row r="38" spans="1:2" x14ac:dyDescent="0.2">
      <c r="A38">
        <v>29734</v>
      </c>
      <c r="B38">
        <v>0.47503817647058827</v>
      </c>
    </row>
    <row r="39" spans="1:2" x14ac:dyDescent="0.2">
      <c r="A39">
        <v>80445</v>
      </c>
      <c r="B39">
        <v>0.28659488235294117</v>
      </c>
    </row>
    <row r="40" spans="1:2" x14ac:dyDescent="0.2">
      <c r="A40">
        <v>99668</v>
      </c>
      <c r="B40">
        <v>0.1050575294117647</v>
      </c>
    </row>
  </sheetData>
  <mergeCells count="4">
    <mergeCell ref="D1:D8"/>
    <mergeCell ref="D9:D16"/>
    <mergeCell ref="D17:D24"/>
    <mergeCell ref="D25:D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workbookViewId="0">
      <selection activeCell="U27" sqref="U27:U40"/>
    </sheetView>
  </sheetViews>
  <sheetFormatPr baseColWidth="10" defaultRowHeight="16" x14ac:dyDescent="0.2"/>
  <cols>
    <col min="13" max="13" width="11.83203125" bestFit="1" customWidth="1"/>
  </cols>
  <sheetData>
    <row r="1" spans="1:21" x14ac:dyDescent="0.2">
      <c r="A1" t="s">
        <v>4</v>
      </c>
    </row>
    <row r="2" spans="1:21" x14ac:dyDescent="0.2">
      <c r="A2" t="s">
        <v>0</v>
      </c>
    </row>
    <row r="3" spans="1:21" x14ac:dyDescent="0.2">
      <c r="A3" t="s">
        <v>6</v>
      </c>
      <c r="M3">
        <f>1/48000000</f>
        <v>2.0833333333333335E-8</v>
      </c>
    </row>
    <row r="4" spans="1:21" x14ac:dyDescent="0.2">
      <c r="O4" s="2"/>
    </row>
    <row r="6" spans="1:21" x14ac:dyDescent="0.2">
      <c r="A6" t="s">
        <v>1</v>
      </c>
      <c r="B6" t="s">
        <v>2</v>
      </c>
      <c r="C6" t="s">
        <v>3</v>
      </c>
      <c r="D6" t="s">
        <v>1</v>
      </c>
      <c r="E6" t="s">
        <v>2</v>
      </c>
      <c r="F6" t="s">
        <v>3</v>
      </c>
      <c r="G6" t="s">
        <v>1</v>
      </c>
      <c r="H6" t="s">
        <v>2</v>
      </c>
      <c r="I6" t="s">
        <v>3</v>
      </c>
      <c r="J6" t="s">
        <v>1</v>
      </c>
      <c r="K6" t="s">
        <v>2</v>
      </c>
      <c r="L6" t="s">
        <v>3</v>
      </c>
      <c r="M6" t="s">
        <v>1</v>
      </c>
      <c r="N6" t="s">
        <v>2</v>
      </c>
      <c r="O6" t="s">
        <v>3</v>
      </c>
      <c r="P6" t="s">
        <v>1</v>
      </c>
      <c r="Q6" t="s">
        <v>2</v>
      </c>
      <c r="R6" t="s">
        <v>3</v>
      </c>
      <c r="S6" t="s">
        <v>1</v>
      </c>
      <c r="T6" t="s">
        <v>2</v>
      </c>
      <c r="U6" t="s">
        <v>3</v>
      </c>
    </row>
    <row r="7" spans="1:21" x14ac:dyDescent="0.2">
      <c r="A7">
        <v>989</v>
      </c>
      <c r="B7" s="1">
        <v>22.038264000000002</v>
      </c>
      <c r="C7">
        <f>196529000*(1/48000000)</f>
        <v>4.0943541666666672</v>
      </c>
      <c r="D7">
        <v>2933</v>
      </c>
      <c r="E7" s="1">
        <v>7.3839779999999999</v>
      </c>
      <c r="F7">
        <f>482472000*(1/48000000)</f>
        <v>10.051500000000001</v>
      </c>
      <c r="G7">
        <v>8081</v>
      </c>
      <c r="H7" s="1">
        <v>1.870433</v>
      </c>
      <c r="I7">
        <f>1249338000*(1/48000000)</f>
        <v>26.027875000000002</v>
      </c>
      <c r="J7">
        <v>9878</v>
      </c>
      <c r="K7" s="1">
        <v>1.861237</v>
      </c>
      <c r="L7">
        <f>1518214000*(1/48000000)</f>
        <v>31.629458333333336</v>
      </c>
      <c r="M7">
        <v>29734</v>
      </c>
      <c r="N7" s="1">
        <v>1.090355</v>
      </c>
      <c r="O7">
        <f>4536914000*(1/48000000)</f>
        <v>94.519041666666666</v>
      </c>
      <c r="P7">
        <v>80445</v>
      </c>
      <c r="Q7" s="1">
        <v>0.15674199999999999</v>
      </c>
      <c r="R7">
        <f>12238716000*(1/48000000)</f>
        <v>254.97325000000001</v>
      </c>
      <c r="S7">
        <v>99668</v>
      </c>
      <c r="T7" s="1">
        <v>0.19442499999999999</v>
      </c>
      <c r="U7">
        <f>15159490000*(1/48000000)</f>
        <v>315.82270833333337</v>
      </c>
    </row>
    <row r="8" spans="1:21" x14ac:dyDescent="0.2">
      <c r="B8" s="1">
        <v>22.905728</v>
      </c>
      <c r="C8">
        <f>195518000*(1/48000000)</f>
        <v>4.073291666666667</v>
      </c>
      <c r="E8" s="1">
        <v>6.6939609999999998</v>
      </c>
      <c r="F8">
        <f>478770000*(1/48000000)</f>
        <v>9.9743750000000002</v>
      </c>
      <c r="H8" s="1">
        <v>1.493133</v>
      </c>
      <c r="I8">
        <f>1249154000*(1/48000000)</f>
        <v>26.024041666666669</v>
      </c>
      <c r="K8" s="1">
        <v>1.317652</v>
      </c>
      <c r="L8">
        <f>1520981000*(1/48000000)</f>
        <v>31.687104166666668</v>
      </c>
      <c r="N8" s="1">
        <v>1.0395719999999999</v>
      </c>
      <c r="O8">
        <f>4502069000*(1/48000000)</f>
        <v>93.793104166666666</v>
      </c>
      <c r="Q8" s="1">
        <v>0.17601</v>
      </c>
      <c r="R8">
        <f>12228924000*(1/48000000)</f>
        <v>254.76925000000003</v>
      </c>
      <c r="T8" s="1">
        <v>0.30655399999999999</v>
      </c>
      <c r="U8">
        <f>15150272000*(1/48000000)</f>
        <v>315.63066666666668</v>
      </c>
    </row>
    <row r="9" spans="1:21" x14ac:dyDescent="0.2">
      <c r="B9" s="1">
        <v>25.3049</v>
      </c>
      <c r="C9">
        <f>194401000*(1/48000000)</f>
        <v>4.0500208333333338</v>
      </c>
      <c r="E9" s="1">
        <v>6.3451320000000004</v>
      </c>
      <c r="F9">
        <f>479487000*(1/48000000)</f>
        <v>9.9893125000000005</v>
      </c>
      <c r="H9" s="1">
        <v>2.1082139999999998</v>
      </c>
      <c r="I9">
        <f>1249085000*(1/48000000)</f>
        <v>26.022604166666667</v>
      </c>
      <c r="K9" s="1">
        <v>1.773793</v>
      </c>
      <c r="L9">
        <f>1509114000*(1/48000000)</f>
        <v>31.439875000000001</v>
      </c>
      <c r="N9" s="1">
        <v>1.4147160000000001</v>
      </c>
      <c r="O9">
        <f>4517550000*(1/48000000)</f>
        <v>94.115625000000009</v>
      </c>
      <c r="Q9" s="1">
        <v>5.6839000000000001E-2</v>
      </c>
      <c r="R9">
        <f>12209969000*(1/48000000)</f>
        <v>254.37435416666668</v>
      </c>
      <c r="T9" s="1">
        <v>3.4286999999999998E-2</v>
      </c>
      <c r="U9">
        <f>15171638000*(1/48000000)</f>
        <v>316.0757916666667</v>
      </c>
    </row>
    <row r="10" spans="1:21" x14ac:dyDescent="0.2">
      <c r="B10" s="1">
        <v>23.165407999999999</v>
      </c>
      <c r="C10">
        <f>192872000*(1/48000000)</f>
        <v>4.0181666666666667</v>
      </c>
      <c r="E10" s="1">
        <v>6.172301</v>
      </c>
      <c r="F10">
        <f>479487000*(1/48000000)</f>
        <v>9.9893125000000005</v>
      </c>
      <c r="H10" s="1">
        <v>2.0497450000000002</v>
      </c>
      <c r="I10">
        <f>1240180000*(1/48000000)</f>
        <v>25.837083333333336</v>
      </c>
      <c r="K10" s="1">
        <v>1.5732790000000001</v>
      </c>
      <c r="L10">
        <f>1518213000*(1/48000000)</f>
        <v>31.629437500000002</v>
      </c>
      <c r="N10" s="1">
        <v>0.53573300000000001</v>
      </c>
      <c r="O10">
        <f>4534282000*(1/48000000)</f>
        <v>94.464208333333346</v>
      </c>
      <c r="Q10" s="1">
        <v>0.24216699999999999</v>
      </c>
      <c r="R10">
        <f>12221295000*(1/48000000)</f>
        <v>254.61031250000002</v>
      </c>
      <c r="T10" s="1">
        <v>0.32130900000000001</v>
      </c>
      <c r="U10">
        <f>15162756000*(1/48000000)</f>
        <v>315.89075000000003</v>
      </c>
    </row>
    <row r="11" spans="1:21" x14ac:dyDescent="0.2">
      <c r="B11" s="1">
        <v>22.816980999999998</v>
      </c>
      <c r="C11">
        <f>194656000*(1/48000000)</f>
        <v>4.0553333333333335</v>
      </c>
      <c r="E11" s="1">
        <v>6.5044690000000003</v>
      </c>
      <c r="F11">
        <f>481582000*(1/48000000)</f>
        <v>10.032958333333333</v>
      </c>
      <c r="H11" s="1">
        <v>1.6266750000000001</v>
      </c>
      <c r="I11">
        <f>1248591000*(1/48000000)</f>
        <v>26.0123125</v>
      </c>
      <c r="K11" s="1">
        <v>1.8276520000000001</v>
      </c>
      <c r="L11">
        <f>1520359000*(1/48000000)</f>
        <v>31.674145833333334</v>
      </c>
      <c r="N11" s="1">
        <v>1.018159</v>
      </c>
      <c r="O11">
        <f>4535157000*(1/48000000)</f>
        <v>94.482437500000003</v>
      </c>
      <c r="Q11" s="1">
        <v>0.15060399999999999</v>
      </c>
      <c r="R11">
        <f>12227648000*(1/48000000)</f>
        <v>254.74266666666668</v>
      </c>
      <c r="T11" s="1">
        <v>1.9668999999999999E-2</v>
      </c>
      <c r="U11">
        <f>15143358000*(1/48000000)</f>
        <v>315.486625</v>
      </c>
    </row>
    <row r="12" spans="1:21" x14ac:dyDescent="0.2">
      <c r="B12" s="1">
        <v>23.264538000000002</v>
      </c>
      <c r="C12">
        <f>194737000*(1/48000000)</f>
        <v>4.0570208333333335</v>
      </c>
      <c r="E12" s="1">
        <v>5.3569170000000002</v>
      </c>
      <c r="F12">
        <f>477747000*(1/48000000)</f>
        <v>9.9530625000000015</v>
      </c>
      <c r="H12" s="1">
        <v>2.0305110000000002</v>
      </c>
      <c r="I12">
        <f>1248844000*(1/48000000)</f>
        <v>26.017583333333334</v>
      </c>
      <c r="K12" s="1">
        <v>1.112323</v>
      </c>
      <c r="L12">
        <f>1516759000*(1/48000000)</f>
        <v>31.599145833333335</v>
      </c>
      <c r="N12" s="1">
        <v>0.67339700000000002</v>
      </c>
      <c r="O12">
        <f>4530255000*(1/48000000)</f>
        <v>94.380312500000002</v>
      </c>
      <c r="Q12" s="1">
        <v>3.4099999999999998E-2</v>
      </c>
      <c r="R12">
        <f>12224275000*(1/48000000)</f>
        <v>254.67239583333335</v>
      </c>
      <c r="T12" s="1">
        <v>7.0039999999999998E-3</v>
      </c>
      <c r="U12">
        <f>15166668000*(1/48000000)</f>
        <v>315.97225000000003</v>
      </c>
    </row>
    <row r="13" spans="1:21" x14ac:dyDescent="0.2">
      <c r="B13" s="1">
        <v>22.699283999999999</v>
      </c>
      <c r="C13">
        <f>194618000*(1/48000000)</f>
        <v>4.0545416666666672</v>
      </c>
      <c r="E13" s="1">
        <v>5.3496110000000003</v>
      </c>
      <c r="F13">
        <f>481649000*(1/48000000)</f>
        <v>10.034354166666667</v>
      </c>
      <c r="H13" s="1">
        <v>2.2278709999999999</v>
      </c>
      <c r="I13">
        <f>1248945000*(1/48000000)</f>
        <v>26.0196875</v>
      </c>
      <c r="K13" s="1">
        <v>1.3166789999999999</v>
      </c>
      <c r="L13">
        <f>1517763000*(1/48000000)</f>
        <v>31.620062500000003</v>
      </c>
      <c r="N13" s="1">
        <v>0.35625499999999999</v>
      </c>
      <c r="O13">
        <f>4530180000*(1/48000000)</f>
        <v>94.378750000000011</v>
      </c>
      <c r="Q13" s="1">
        <v>0.18468200000000001</v>
      </c>
      <c r="R13">
        <f>12205560000*(1/48000000)</f>
        <v>254.28250000000003</v>
      </c>
      <c r="T13" s="1">
        <v>0.110305</v>
      </c>
      <c r="U13">
        <f>15156188000*(1/48000000)</f>
        <v>315.75391666666667</v>
      </c>
    </row>
    <row r="14" spans="1:21" x14ac:dyDescent="0.2">
      <c r="B14" s="1">
        <v>20.315895999999999</v>
      </c>
      <c r="C14">
        <f>194591000*(1/48000000)</f>
        <v>4.0539791666666671</v>
      </c>
      <c r="E14" s="1">
        <v>5.6332839999999997</v>
      </c>
      <c r="F14">
        <f>482752000*(1/48000000)</f>
        <v>10.057333333333334</v>
      </c>
      <c r="H14" s="1">
        <v>2.0829330000000001</v>
      </c>
      <c r="I14">
        <f>1248170000*(1/48000000)</f>
        <v>26.003541666666667</v>
      </c>
      <c r="K14" s="1">
        <v>1.598131</v>
      </c>
      <c r="L14">
        <f>1515283000*(1/48000000)</f>
        <v>31.568395833333334</v>
      </c>
      <c r="N14" s="1">
        <v>1.1564989999999999</v>
      </c>
      <c r="O14">
        <f>4527359000*(1/48000000)</f>
        <v>94.31997916666667</v>
      </c>
      <c r="Q14" s="1">
        <v>1.9503E-2</v>
      </c>
      <c r="R14">
        <f>12230736000*(1/48000000)</f>
        <v>254.80700000000002</v>
      </c>
      <c r="T14" s="1">
        <v>0.58712900000000001</v>
      </c>
      <c r="U14">
        <f>15174798000*(1/48000000)</f>
        <v>316.14162500000003</v>
      </c>
    </row>
    <row r="15" spans="1:21" x14ac:dyDescent="0.2">
      <c r="B15" s="1">
        <v>22.329186</v>
      </c>
      <c r="C15">
        <f>194494000*(1/48000000)</f>
        <v>4.0519583333333333</v>
      </c>
      <c r="E15" s="1">
        <v>5.8506349999999996</v>
      </c>
      <c r="F15">
        <f>479798000*(1/48000000)</f>
        <v>9.9957916666666673</v>
      </c>
      <c r="H15" s="1">
        <v>1.7251050000000001</v>
      </c>
      <c r="I15">
        <f>1248973000*(1/48000000)</f>
        <v>26.020270833333335</v>
      </c>
      <c r="K15" s="1">
        <v>1.815207</v>
      </c>
      <c r="L15">
        <f>1510205000*(1/48000000)</f>
        <v>31.462604166666669</v>
      </c>
      <c r="N15" s="1">
        <v>0.73353999999999997</v>
      </c>
      <c r="O15">
        <f>4530294000*(1/48000000)</f>
        <v>94.381125000000011</v>
      </c>
      <c r="Q15" s="1">
        <v>0.27854899999999999</v>
      </c>
      <c r="R15">
        <f>12238983000*(1/48000000)</f>
        <v>254.9788125</v>
      </c>
      <c r="T15" s="1">
        <v>0.29282000000000002</v>
      </c>
      <c r="U15">
        <f>15047636000*(1/48000000)</f>
        <v>313.49241666666671</v>
      </c>
    </row>
    <row r="16" spans="1:21" x14ac:dyDescent="0.2">
      <c r="B16" s="1">
        <v>21.966739</v>
      </c>
      <c r="C16">
        <f>193748000*(1/48000000)</f>
        <v>4.0364166666666668</v>
      </c>
      <c r="E16" s="1">
        <v>4.9775200000000002</v>
      </c>
      <c r="F16">
        <f>481144000*(1/48000000)</f>
        <v>10.023833333333334</v>
      </c>
      <c r="H16" s="1">
        <v>0.965229</v>
      </c>
      <c r="I16">
        <f>1251787000*(1/48000000)</f>
        <v>26.078895833333334</v>
      </c>
      <c r="K16" s="1">
        <v>1.594597</v>
      </c>
      <c r="L16">
        <f>1514387000*(1/48000000)</f>
        <v>31.549729166666669</v>
      </c>
      <c r="N16" s="1">
        <v>1.4000250000000001</v>
      </c>
      <c r="O16">
        <f>4528617000*(1/48000000)</f>
        <v>94.346187499999999</v>
      </c>
      <c r="Q16" s="1">
        <v>0.19637099999999999</v>
      </c>
      <c r="R16">
        <f>12231105000*(1/48000000)</f>
        <v>254.81468750000002</v>
      </c>
      <c r="T16" s="1">
        <v>0.40405400000000002</v>
      </c>
      <c r="U16">
        <f>15162362000*(1/48000000)</f>
        <v>315.88254166666667</v>
      </c>
    </row>
    <row r="17" spans="1:21" x14ac:dyDescent="0.2">
      <c r="B17" s="1">
        <v>23.137065</v>
      </c>
      <c r="C17">
        <f>194502000*(1/48000000)</f>
        <v>4.0521250000000002</v>
      </c>
      <c r="E17" s="1">
        <v>5.8597149999999996</v>
      </c>
      <c r="F17">
        <f>479997000*(1/48000000)</f>
        <v>9.9999375000000015</v>
      </c>
      <c r="H17" s="1">
        <v>1.7571349999999999</v>
      </c>
      <c r="I17">
        <f>1249013000*(1/48000000)</f>
        <v>26.021104166666667</v>
      </c>
      <c r="K17" s="1">
        <v>1.264742</v>
      </c>
      <c r="L17">
        <f>1516419000*(1/48000000)</f>
        <v>31.592062500000001</v>
      </c>
      <c r="N17" s="1">
        <v>1.391751</v>
      </c>
      <c r="O17">
        <f>4534627000*(1/48000000)</f>
        <v>94.471395833333332</v>
      </c>
      <c r="Q17" s="1">
        <v>8.0837000000000006E-2</v>
      </c>
      <c r="R17">
        <f>12233385000*(1/48000000)</f>
        <v>254.8621875</v>
      </c>
      <c r="T17" s="1">
        <v>0.34561700000000001</v>
      </c>
      <c r="U17">
        <f>15164557000*(1/48000000)</f>
        <v>315.92827083333333</v>
      </c>
    </row>
    <row r="18" spans="1:21" x14ac:dyDescent="0.2">
      <c r="B18" s="1">
        <v>21.732095999999999</v>
      </c>
      <c r="C18">
        <f>192916000*(1/48000000)</f>
        <v>4.0190833333333336</v>
      </c>
      <c r="E18" s="1">
        <v>5.4220649999999999</v>
      </c>
      <c r="F18">
        <f>481833000*(1/48000000)</f>
        <v>10.038187500000001</v>
      </c>
      <c r="H18" s="1">
        <v>1.839151</v>
      </c>
      <c r="I18">
        <f>1256014000*(1/48000000)</f>
        <v>26.166958333333334</v>
      </c>
      <c r="K18" s="1">
        <v>1.2673460000000001</v>
      </c>
      <c r="L18">
        <f>1514770000*(1/48000000)</f>
        <v>31.557708333333334</v>
      </c>
      <c r="N18" s="1">
        <v>1.210342</v>
      </c>
      <c r="O18">
        <f>4506041000*(1/48000000)</f>
        <v>93.87585416666667</v>
      </c>
      <c r="Q18" s="1">
        <v>0.15221699999999999</v>
      </c>
      <c r="R18">
        <f>12214497000*(1/48000000)</f>
        <v>254.46868750000002</v>
      </c>
      <c r="T18" s="1">
        <v>0.90292700000000004</v>
      </c>
      <c r="U18">
        <f>15101425000*(1/48000000)</f>
        <v>314.61302083333334</v>
      </c>
    </row>
    <row r="19" spans="1:21" x14ac:dyDescent="0.2">
      <c r="B19" s="1">
        <v>23.903752999999998</v>
      </c>
      <c r="C19">
        <f>191396000*(1/48000000)</f>
        <v>3.9874166666666668</v>
      </c>
      <c r="E19" s="1">
        <v>4.9217050000000002</v>
      </c>
      <c r="F19">
        <f>479973000*(1/48000000)</f>
        <v>9.9994375000000009</v>
      </c>
      <c r="H19" s="1">
        <v>2.3164359999999999</v>
      </c>
      <c r="I19">
        <f>1249492000*(1/48000000)</f>
        <v>26.031083333333335</v>
      </c>
      <c r="K19" s="1">
        <v>1.1996450000000001</v>
      </c>
      <c r="L19">
        <f>1520490000*(1/48000000)</f>
        <v>31.676875000000003</v>
      </c>
      <c r="N19" s="1">
        <v>0.91489799999999999</v>
      </c>
      <c r="O19">
        <f>4539026000*(1/48000000)</f>
        <v>94.563041666666678</v>
      </c>
      <c r="Q19" s="1">
        <v>0.267341</v>
      </c>
      <c r="R19">
        <f>12146791000*(1/48000000)</f>
        <v>253.05814583333336</v>
      </c>
      <c r="T19" s="1">
        <v>0.74772400000000006</v>
      </c>
      <c r="U19">
        <f>15132009000*(1/48000000)</f>
        <v>315.25018750000004</v>
      </c>
    </row>
    <row r="20" spans="1:21" x14ac:dyDescent="0.2">
      <c r="B20" s="1">
        <v>20.063748</v>
      </c>
      <c r="C20">
        <f>195331000*(1/48000000)</f>
        <v>4.069395833333334</v>
      </c>
      <c r="E20" s="1">
        <v>5.5499210000000003</v>
      </c>
      <c r="F20">
        <f>482294000*(1/48000000)</f>
        <v>10.047791666666667</v>
      </c>
      <c r="H20" s="1">
        <v>2.3592240000000002</v>
      </c>
      <c r="I20">
        <f>1247135000*(1/48000000)</f>
        <v>25.981979166666669</v>
      </c>
      <c r="K20" s="1">
        <v>1.8495090000000001</v>
      </c>
      <c r="L20">
        <f>1519598000*(1/48000000)</f>
        <v>31.658291666666667</v>
      </c>
      <c r="N20" s="1">
        <v>2.2987609999999998</v>
      </c>
      <c r="O20">
        <f>4527863000*(1/48000000)</f>
        <v>94.330479166666677</v>
      </c>
      <c r="Q20" s="1">
        <v>0.58104199999999995</v>
      </c>
      <c r="R20">
        <f>12244146000*(1/48000000)</f>
        <v>255.086375</v>
      </c>
      <c r="T20" s="1">
        <v>0.39785700000000002</v>
      </c>
      <c r="U20">
        <f>15176537000*(1/48000000)</f>
        <v>316.17785416666669</v>
      </c>
    </row>
    <row r="21" spans="1:21" x14ac:dyDescent="0.2">
      <c r="B21" s="1">
        <v>20.332232000000001</v>
      </c>
      <c r="C21">
        <f>195267000*(1/48000000)</f>
        <v>4.0680624999999999</v>
      </c>
      <c r="E21" s="1">
        <v>5.5034280000000004</v>
      </c>
      <c r="F21">
        <f>483038000*(1/48000000)</f>
        <v>10.063291666666668</v>
      </c>
      <c r="H21" s="1">
        <v>1.169405</v>
      </c>
      <c r="I21">
        <f>1243540000*(1/48000000)</f>
        <v>25.907083333333336</v>
      </c>
      <c r="K21" s="1">
        <v>1.7214929999999999</v>
      </c>
      <c r="L21">
        <f>1517017000*(1/48000000)</f>
        <v>31.604520833333336</v>
      </c>
      <c r="N21" s="1">
        <v>0.97915799999999997</v>
      </c>
      <c r="O21">
        <f>4525929000*(1/48000000)</f>
        <v>94.290187500000002</v>
      </c>
      <c r="Q21" s="1">
        <v>0.25887700000000002</v>
      </c>
      <c r="R21">
        <f>12237978000*(1/48000000)</f>
        <v>254.957875</v>
      </c>
      <c r="T21" s="1">
        <v>0.60671200000000003</v>
      </c>
      <c r="U21">
        <f>15169187000*(1/48000000)</f>
        <v>316.0247291666667</v>
      </c>
    </row>
    <row r="22" spans="1:21" x14ac:dyDescent="0.2">
      <c r="B22" s="1">
        <v>21.396906999999999</v>
      </c>
      <c r="C22">
        <f>192461000*(1/48000000)</f>
        <v>4.0096041666666666</v>
      </c>
      <c r="E22" s="1">
        <v>5.0450400000000002</v>
      </c>
      <c r="F22">
        <f>481809000*(1/48000000)</f>
        <v>10.037687500000001</v>
      </c>
      <c r="H22" s="1">
        <v>2.2156509999999998</v>
      </c>
      <c r="I22">
        <f>1250273000*(1/48000000)</f>
        <v>26.047354166666668</v>
      </c>
      <c r="K22" s="1">
        <v>1.319167</v>
      </c>
      <c r="L22">
        <f>1518540000*(1/48000000)</f>
        <v>31.63625</v>
      </c>
      <c r="N22" s="1">
        <v>1.061313</v>
      </c>
      <c r="O22">
        <f>4530337000*(1/48000000)</f>
        <v>94.382020833333343</v>
      </c>
      <c r="Q22" s="1">
        <v>0.32125700000000001</v>
      </c>
      <c r="R22">
        <f>12247835000*(1/48000000)</f>
        <v>255.1632291666667</v>
      </c>
      <c r="T22" s="1">
        <v>0.17343700000000001</v>
      </c>
      <c r="U22">
        <f>15157450000*(1/48000000)</f>
        <v>315.78020833333335</v>
      </c>
    </row>
    <row r="23" spans="1:21" x14ac:dyDescent="0.2">
      <c r="B23" s="1"/>
      <c r="C23" s="1"/>
      <c r="E23" s="1"/>
      <c r="F23" s="1"/>
      <c r="H23" s="1"/>
      <c r="I23" s="1"/>
      <c r="L23" s="1"/>
      <c r="N23" s="1"/>
      <c r="O23" s="1"/>
      <c r="Q23" s="1"/>
      <c r="T23" s="1"/>
      <c r="U23" s="1"/>
    </row>
    <row r="24" spans="1:21" x14ac:dyDescent="0.2">
      <c r="B24" s="1"/>
      <c r="C24" s="1"/>
      <c r="E24" s="1"/>
      <c r="F24" s="1"/>
      <c r="H24" s="1"/>
      <c r="I24" s="1"/>
      <c r="L24" s="1"/>
      <c r="N24" s="1"/>
      <c r="Q24" s="1"/>
      <c r="T24" s="1"/>
      <c r="U24" s="1"/>
    </row>
    <row r="25" spans="1:21" x14ac:dyDescent="0.2">
      <c r="B25" s="1"/>
      <c r="C25" s="1"/>
      <c r="E25" s="1"/>
      <c r="F25" s="1"/>
      <c r="H25" s="1"/>
      <c r="I25" s="1"/>
      <c r="L25" s="1"/>
      <c r="Q25" s="1"/>
      <c r="T25" s="1"/>
      <c r="U25" s="1"/>
    </row>
    <row r="26" spans="1:21" x14ac:dyDescent="0.2">
      <c r="B26" s="1"/>
      <c r="E26" s="1"/>
      <c r="F26" s="1"/>
      <c r="H26" s="1"/>
      <c r="I26" s="1"/>
      <c r="L26" s="1"/>
      <c r="Q26" s="1"/>
      <c r="T26" s="1"/>
      <c r="U26" s="1"/>
    </row>
    <row r="27" spans="1:21" x14ac:dyDescent="0.2">
      <c r="E27" s="1"/>
      <c r="F27" s="1"/>
      <c r="H27" s="1"/>
      <c r="I27" s="1"/>
      <c r="L27" s="1"/>
      <c r="Q27" s="1"/>
      <c r="U27">
        <f>17878041000*(1/48000000)</f>
        <v>372.45918750000004</v>
      </c>
    </row>
    <row r="28" spans="1:21" x14ac:dyDescent="0.2">
      <c r="E28" s="1"/>
      <c r="H28" s="1"/>
      <c r="I28" s="1"/>
      <c r="Q28" s="1"/>
      <c r="U28">
        <f>18047099000*(1/48000000)</f>
        <v>375.98122916666671</v>
      </c>
    </row>
    <row r="29" spans="1:21" x14ac:dyDescent="0.2">
      <c r="A29">
        <f>AVERAGE(A7:A22)</f>
        <v>989</v>
      </c>
      <c r="B29">
        <f t="shared" ref="B29:C29" si="0">AVERAGE(B7:B22)</f>
        <v>22.335795312499997</v>
      </c>
      <c r="C29">
        <f t="shared" si="0"/>
        <v>4.0469231770833325</v>
      </c>
      <c r="U29">
        <f>17731978000*(1/48000000)</f>
        <v>369.41620833333337</v>
      </c>
    </row>
    <row r="30" spans="1:21" x14ac:dyDescent="0.2">
      <c r="A30">
        <f>AVERAGE(D7:D22)</f>
        <v>2933</v>
      </c>
      <c r="B30">
        <f>AVERAGE(E7:E22)</f>
        <v>5.785605125</v>
      </c>
      <c r="C30">
        <f>AVERAGE(F7:F22)</f>
        <v>10.018010416666666</v>
      </c>
      <c r="U30">
        <f>17850507000*(1/48000000)</f>
        <v>371.88556250000005</v>
      </c>
    </row>
    <row r="31" spans="1:21" x14ac:dyDescent="0.2">
      <c r="A31">
        <f>AVERAGE(G7:G22)</f>
        <v>8081</v>
      </c>
      <c r="B31">
        <f>AVERAGE(H7:H22)</f>
        <v>1.8648031875000004</v>
      </c>
      <c r="C31">
        <f>AVERAGE(I7:I22)</f>
        <v>26.013716145833339</v>
      </c>
      <c r="U31">
        <f>17859302000*(1/48000000)</f>
        <v>372.0687916666667</v>
      </c>
    </row>
    <row r="32" spans="1:21" x14ac:dyDescent="0.2">
      <c r="A32">
        <f>AVERAGE(J7:J22)</f>
        <v>9878</v>
      </c>
      <c r="B32">
        <f>AVERAGE(K7:K22)</f>
        <v>1.5257782500000001</v>
      </c>
      <c r="C32">
        <f>AVERAGE(L7:L22)</f>
        <v>31.599104166666667</v>
      </c>
      <c r="U32">
        <f>17837448000*(1/48000000)</f>
        <v>371.61350000000004</v>
      </c>
    </row>
    <row r="33" spans="1:21" x14ac:dyDescent="0.2">
      <c r="A33">
        <f>AVERAGE(M7:M22)</f>
        <v>29734</v>
      </c>
      <c r="B33">
        <f>AVERAGE(N7:N22)</f>
        <v>1.0796546249999999</v>
      </c>
      <c r="C33">
        <f>AVERAGE(O7:O22)</f>
        <v>94.318359375000014</v>
      </c>
      <c r="U33">
        <f>17852653000*(1/48000000)</f>
        <v>371.93027083333334</v>
      </c>
    </row>
    <row r="34" spans="1:21" x14ac:dyDescent="0.2">
      <c r="A34">
        <f>AVERAGE(P7:P22)</f>
        <v>80445</v>
      </c>
      <c r="B34">
        <f>AVERAGE(Q7:Q22)</f>
        <v>0.19732112500000001</v>
      </c>
      <c r="C34">
        <f>AVERAGE(R7:R22)</f>
        <v>254.6638580729167</v>
      </c>
      <c r="U34">
        <f>17937576000*(1/48000000)</f>
        <v>373.6995</v>
      </c>
    </row>
    <row r="35" spans="1:21" x14ac:dyDescent="0.2">
      <c r="A35">
        <f>AVERAGE(S7:S22)</f>
        <v>99668</v>
      </c>
      <c r="B35">
        <f>AVERAGE(T7:T22)</f>
        <v>0.34073937500000001</v>
      </c>
      <c r="C35">
        <f>AVERAGE(U7:U22)</f>
        <v>315.62022265625006</v>
      </c>
      <c r="U35">
        <f>17910391000*(1/48000000)</f>
        <v>373.13314583333334</v>
      </c>
    </row>
    <row r="36" spans="1:21" x14ac:dyDescent="0.2">
      <c r="U36">
        <f>17925402000*(1/48000000)</f>
        <v>373.445875</v>
      </c>
    </row>
    <row r="37" spans="1:21" x14ac:dyDescent="0.2">
      <c r="U37">
        <f>17849204000*(1/48000000)</f>
        <v>371.8584166666667</v>
      </c>
    </row>
    <row r="38" spans="1:21" x14ac:dyDescent="0.2">
      <c r="U38">
        <f>17761922000*(1/48000000)</f>
        <v>370.0400416666667</v>
      </c>
    </row>
    <row r="39" spans="1:21" x14ac:dyDescent="0.2">
      <c r="U39">
        <f>17845285000*(1/48000000)</f>
        <v>371.77677083333333</v>
      </c>
    </row>
    <row r="40" spans="1:21" x14ac:dyDescent="0.2">
      <c r="U40">
        <f>17860564000*(1/48000000)</f>
        <v>372.09508333333338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activeCell="U28" sqref="U28:U33"/>
    </sheetView>
  </sheetViews>
  <sheetFormatPr baseColWidth="10" defaultRowHeight="16" x14ac:dyDescent="0.2"/>
  <sheetData>
    <row r="1" spans="1:21" x14ac:dyDescent="0.2">
      <c r="A1" t="s">
        <v>4</v>
      </c>
    </row>
    <row r="2" spans="1:21" x14ac:dyDescent="0.2">
      <c r="A2" t="s">
        <v>7</v>
      </c>
    </row>
    <row r="3" spans="1:21" x14ac:dyDescent="0.2">
      <c r="A3" t="s">
        <v>5</v>
      </c>
    </row>
    <row r="4" spans="1:21" x14ac:dyDescent="0.2">
      <c r="O4" s="2">
        <v>2.0833299999999998E-8</v>
      </c>
    </row>
    <row r="6" spans="1:21" x14ac:dyDescent="0.2">
      <c r="A6" t="s">
        <v>1</v>
      </c>
      <c r="B6" t="s">
        <v>2</v>
      </c>
      <c r="C6" t="s">
        <v>3</v>
      </c>
      <c r="D6" t="s">
        <v>1</v>
      </c>
      <c r="E6" t="s">
        <v>2</v>
      </c>
      <c r="F6" t="s">
        <v>3</v>
      </c>
      <c r="G6" t="s">
        <v>1</v>
      </c>
      <c r="H6" t="s">
        <v>2</v>
      </c>
      <c r="I6" t="s">
        <v>3</v>
      </c>
      <c r="J6" t="s">
        <v>1</v>
      </c>
      <c r="K6" t="s">
        <v>2</v>
      </c>
      <c r="L6" t="s">
        <v>3</v>
      </c>
      <c r="M6" t="s">
        <v>1</v>
      </c>
      <c r="N6" t="s">
        <v>2</v>
      </c>
      <c r="O6" t="s">
        <v>3</v>
      </c>
      <c r="P6" t="s">
        <v>1</v>
      </c>
      <c r="Q6" t="s">
        <v>2</v>
      </c>
      <c r="R6" t="s">
        <v>3</v>
      </c>
      <c r="S6" t="s">
        <v>1</v>
      </c>
      <c r="T6" t="s">
        <v>2</v>
      </c>
      <c r="U6" t="s">
        <v>3</v>
      </c>
    </row>
    <row r="7" spans="1:21" x14ac:dyDescent="0.2">
      <c r="A7">
        <v>989</v>
      </c>
      <c r="B7" s="1">
        <v>15.580857999999999</v>
      </c>
      <c r="C7" s="2">
        <v>0.5409783011</v>
      </c>
      <c r="D7">
        <v>2933</v>
      </c>
      <c r="E7" s="1">
        <v>12.496</v>
      </c>
      <c r="F7" s="2">
        <v>1.3157895613999999</v>
      </c>
      <c r="G7">
        <v>8081</v>
      </c>
      <c r="H7" s="1">
        <v>21.879137</v>
      </c>
      <c r="I7" s="2">
        <v>3.3258488452999999</v>
      </c>
      <c r="J7">
        <v>9878</v>
      </c>
      <c r="K7" s="1">
        <v>22.45936</v>
      </c>
      <c r="L7" s="2">
        <v>4.1557850173999995</v>
      </c>
      <c r="M7">
        <v>29734</v>
      </c>
      <c r="N7">
        <v>22.991454999999998</v>
      </c>
      <c r="O7" s="2">
        <v>12.256730389199999</v>
      </c>
      <c r="P7">
        <v>80445</v>
      </c>
      <c r="Q7">
        <v>22.677530999999998</v>
      </c>
      <c r="R7" s="2">
        <v>32.870884906499995</v>
      </c>
      <c r="S7">
        <v>99668</v>
      </c>
      <c r="T7">
        <v>23.149722000000001</v>
      </c>
      <c r="U7" s="2">
        <v>40.691393226999999</v>
      </c>
    </row>
    <row r="8" spans="1:21" x14ac:dyDescent="0.2">
      <c r="B8" s="1">
        <v>16.177792</v>
      </c>
      <c r="C8" s="2">
        <v>0.54001996929999996</v>
      </c>
      <c r="E8" s="1">
        <v>13.643793000000001</v>
      </c>
      <c r="F8" s="2">
        <v>1.2978104234999999</v>
      </c>
      <c r="H8" s="1">
        <v>21.054841</v>
      </c>
      <c r="I8" s="2">
        <v>3.3776612623999998</v>
      </c>
      <c r="K8" s="1">
        <v>20.592306000000001</v>
      </c>
      <c r="L8" s="2">
        <v>4.1237850685999993</v>
      </c>
      <c r="N8">
        <v>22.775095</v>
      </c>
      <c r="O8" s="2">
        <v>12.177313849599999</v>
      </c>
      <c r="Q8">
        <v>25.458469000000001</v>
      </c>
      <c r="R8" s="2">
        <v>32.766968406099998</v>
      </c>
      <c r="T8">
        <v>24.514029000000001</v>
      </c>
      <c r="U8" s="2">
        <v>40.631039156899995</v>
      </c>
    </row>
    <row r="9" spans="1:21" x14ac:dyDescent="0.2">
      <c r="B9" s="1">
        <v>20.075164000000001</v>
      </c>
      <c r="C9" s="2">
        <v>0.54312413100000001</v>
      </c>
      <c r="E9" s="1">
        <v>15.252867999999999</v>
      </c>
      <c r="F9" s="2">
        <v>1.2969145916</v>
      </c>
      <c r="H9" s="1">
        <v>21.840973000000002</v>
      </c>
      <c r="I9" s="2">
        <v>3.3865570814999999</v>
      </c>
      <c r="K9" s="1">
        <v>21.740947999999999</v>
      </c>
      <c r="L9" s="2">
        <v>4.1290350601999997</v>
      </c>
      <c r="N9">
        <v>25.074359000000001</v>
      </c>
      <c r="O9" s="2">
        <v>12.225501272499999</v>
      </c>
      <c r="Q9">
        <v>26.038043999999999</v>
      </c>
      <c r="R9" s="2">
        <v>32.796030859599995</v>
      </c>
      <c r="T9">
        <v>25.738484</v>
      </c>
      <c r="U9" s="2">
        <v>40.665393268599999</v>
      </c>
    </row>
    <row r="10" spans="1:21" x14ac:dyDescent="0.2">
      <c r="B10" s="1">
        <v>21.806695000000001</v>
      </c>
      <c r="C10" s="2">
        <v>0.54510329449999995</v>
      </c>
      <c r="E10" s="1">
        <v>12.712192999999999</v>
      </c>
      <c r="F10" s="2">
        <v>1.2982479227999999</v>
      </c>
      <c r="H10" s="1">
        <v>21.455328000000002</v>
      </c>
      <c r="I10" s="2">
        <v>3.3484321424999997</v>
      </c>
      <c r="K10" s="1">
        <v>23.032496999999999</v>
      </c>
      <c r="L10" s="2">
        <v>4.1569516821999999</v>
      </c>
      <c r="N10">
        <v>23.425260999999999</v>
      </c>
      <c r="O10" s="2">
        <v>12.096501478899999</v>
      </c>
      <c r="Q10">
        <v>24.875989000000001</v>
      </c>
      <c r="R10" s="2">
        <v>32.897968196499995</v>
      </c>
      <c r="T10">
        <v>24.089399</v>
      </c>
      <c r="U10" s="2">
        <v>40.397893696599994</v>
      </c>
    </row>
    <row r="11" spans="1:21" x14ac:dyDescent="0.2">
      <c r="B11" s="1">
        <v>25.062760000000001</v>
      </c>
      <c r="C11" s="2">
        <v>0.53839497189999996</v>
      </c>
      <c r="E11" s="1">
        <v>10.745486</v>
      </c>
      <c r="F11" s="2">
        <v>1.3038937470999998</v>
      </c>
      <c r="H11" s="1">
        <v>21.210249999999998</v>
      </c>
      <c r="I11" s="2">
        <v>3.3459113131999998</v>
      </c>
      <c r="K11" s="1">
        <v>21.828754</v>
      </c>
      <c r="L11" s="2">
        <v>4.1067434291999998</v>
      </c>
      <c r="N11">
        <v>22.441390999999999</v>
      </c>
      <c r="O11" s="2">
        <v>12.0477515569</v>
      </c>
      <c r="Q11">
        <v>25.898154999999999</v>
      </c>
      <c r="R11" s="2">
        <v>32.652426922699995</v>
      </c>
      <c r="T11">
        <v>26.519347</v>
      </c>
      <c r="U11" s="2">
        <v>40.561601767999996</v>
      </c>
    </row>
    <row r="12" spans="1:21" x14ac:dyDescent="0.2">
      <c r="B12" s="1">
        <v>17.753342</v>
      </c>
      <c r="C12" s="2">
        <v>0.54487412819999992</v>
      </c>
      <c r="E12" s="1">
        <v>13.677939</v>
      </c>
      <c r="F12" s="2">
        <v>1.2945395953999999</v>
      </c>
      <c r="H12" s="1">
        <v>24.867377999999999</v>
      </c>
      <c r="I12" s="2">
        <v>3.3682029441999997</v>
      </c>
      <c r="K12" s="1">
        <v>20.630984999999999</v>
      </c>
      <c r="L12" s="2">
        <v>4.1833683065999994</v>
      </c>
      <c r="N12">
        <v>23.07489</v>
      </c>
      <c r="O12" s="2">
        <v>12.174251354499999</v>
      </c>
      <c r="Q12">
        <v>22.432535999999999</v>
      </c>
      <c r="R12" s="2">
        <v>32.763614244799996</v>
      </c>
      <c r="T12">
        <v>24.588325999999999</v>
      </c>
      <c r="U12" s="2">
        <v>40.654539119299997</v>
      </c>
    </row>
    <row r="13" spans="1:21" x14ac:dyDescent="0.2">
      <c r="B13" s="1">
        <v>20.226544000000001</v>
      </c>
      <c r="C13" s="2">
        <v>0.5499366201</v>
      </c>
      <c r="E13" s="1">
        <v>14.774051999999999</v>
      </c>
      <c r="F13" s="2">
        <v>1.2922687656999998</v>
      </c>
      <c r="H13" s="1">
        <v>22.926245999999999</v>
      </c>
      <c r="I13" s="2">
        <v>3.3813487564999996</v>
      </c>
      <c r="K13" s="1">
        <v>21.272693</v>
      </c>
      <c r="L13" s="2">
        <v>4.1358475492999993</v>
      </c>
      <c r="N13">
        <v>23.559797</v>
      </c>
      <c r="O13" s="2">
        <v>12.063230698799998</v>
      </c>
      <c r="Q13">
        <v>24.012381000000001</v>
      </c>
      <c r="R13" s="2">
        <v>32.732197628399994</v>
      </c>
      <c r="T13">
        <v>24.520060999999998</v>
      </c>
      <c r="U13" s="2">
        <v>40.6785807475</v>
      </c>
    </row>
    <row r="14" spans="1:21" x14ac:dyDescent="0.2">
      <c r="B14" s="1">
        <v>19.817012999999999</v>
      </c>
      <c r="C14" s="2">
        <v>0.54891578839999999</v>
      </c>
      <c r="E14" s="1">
        <v>12.610098000000001</v>
      </c>
      <c r="F14" s="2">
        <v>1.3005187524999999</v>
      </c>
      <c r="H14" s="1">
        <v>22.190954999999999</v>
      </c>
      <c r="I14" s="2">
        <v>3.3515988040999996</v>
      </c>
      <c r="K14" s="1">
        <v>20.205784999999999</v>
      </c>
      <c r="L14" s="2">
        <v>4.1611391754999998</v>
      </c>
      <c r="N14">
        <v>23.816711999999999</v>
      </c>
      <c r="O14" s="2">
        <v>12.240897081199998</v>
      </c>
      <c r="Q14">
        <v>24.538271000000002</v>
      </c>
      <c r="R14" s="2">
        <v>32.810343336700001</v>
      </c>
      <c r="T14">
        <v>22.314724999999999</v>
      </c>
      <c r="U14" s="2">
        <v>40.371372905699999</v>
      </c>
    </row>
    <row r="15" spans="1:21" x14ac:dyDescent="0.2">
      <c r="B15" s="1">
        <v>18.673334000000001</v>
      </c>
      <c r="C15" s="2">
        <v>0.52618665809999998</v>
      </c>
      <c r="E15" s="1">
        <v>14.172261000000001</v>
      </c>
      <c r="F15" s="2">
        <v>1.2844146115999999</v>
      </c>
      <c r="H15" s="1">
        <v>19.623265</v>
      </c>
      <c r="I15" s="2">
        <v>3.3782654280999997</v>
      </c>
      <c r="K15" s="1">
        <v>21.131520999999999</v>
      </c>
      <c r="L15" s="2">
        <v>4.1517433572</v>
      </c>
      <c r="N15">
        <v>23.701429999999998</v>
      </c>
      <c r="O15" s="2">
        <v>12.139230577199999</v>
      </c>
      <c r="Q15">
        <v>24.28961</v>
      </c>
      <c r="R15" s="2">
        <v>32.752905928600001</v>
      </c>
      <c r="T15">
        <v>24.493486999999998</v>
      </c>
      <c r="U15" s="2">
        <v>40.645809966599998</v>
      </c>
    </row>
    <row r="16" spans="1:21" x14ac:dyDescent="0.2">
      <c r="B16" s="1">
        <v>19.574831</v>
      </c>
      <c r="C16" s="2">
        <v>0.53876997129999993</v>
      </c>
      <c r="E16" s="1">
        <v>15.042210000000001</v>
      </c>
      <c r="F16" s="2">
        <v>1.3127062329999999</v>
      </c>
      <c r="H16" s="1">
        <v>22.099270000000001</v>
      </c>
      <c r="I16" s="2">
        <v>3.3703904406999996</v>
      </c>
      <c r="K16" s="1">
        <v>22.326882999999999</v>
      </c>
      <c r="L16" s="2">
        <v>4.1258683985999998</v>
      </c>
      <c r="N16">
        <v>23.413423999999999</v>
      </c>
      <c r="O16" s="2">
        <v>12.151418057699999</v>
      </c>
      <c r="Q16">
        <v>24.804521000000001</v>
      </c>
      <c r="R16" s="2">
        <v>32.9479681165</v>
      </c>
      <c r="T16">
        <v>22.689664</v>
      </c>
      <c r="U16" s="2">
        <v>40.5537684472</v>
      </c>
    </row>
    <row r="17" spans="1:21" x14ac:dyDescent="0.2">
      <c r="B17" s="1">
        <v>19.992946</v>
      </c>
      <c r="C17" s="2">
        <v>0.52418666129999991</v>
      </c>
      <c r="E17" s="1">
        <v>13.295724</v>
      </c>
      <c r="F17" s="2">
        <v>1.3074354080999999</v>
      </c>
      <c r="H17" s="1">
        <v>21.995075</v>
      </c>
      <c r="I17" s="2">
        <v>3.3718487716999999</v>
      </c>
      <c r="K17" s="1">
        <v>21.139852000000001</v>
      </c>
      <c r="L17" s="2">
        <v>4.1473475308999994</v>
      </c>
      <c r="N17">
        <v>41.148918000000002</v>
      </c>
      <c r="O17" s="2">
        <v>12.202938808599999</v>
      </c>
      <c r="Q17">
        <v>25.046569999999999</v>
      </c>
      <c r="R17" s="2">
        <v>32.729801798899999</v>
      </c>
      <c r="T17">
        <v>22.555395000000001</v>
      </c>
      <c r="U17" s="2">
        <v>40.663643271399998</v>
      </c>
    </row>
    <row r="18" spans="1:21" x14ac:dyDescent="0.2">
      <c r="B18" s="1">
        <v>17.701309999999999</v>
      </c>
      <c r="C18" s="2">
        <v>0.54954078740000001</v>
      </c>
      <c r="E18" s="1">
        <v>12.69773</v>
      </c>
      <c r="F18" s="2">
        <v>1.3064145763999999</v>
      </c>
      <c r="H18" s="1">
        <v>23.221715</v>
      </c>
      <c r="I18" s="2">
        <v>3.3680571110999997</v>
      </c>
      <c r="K18" s="1">
        <v>18.986478999999999</v>
      </c>
      <c r="L18" s="2">
        <v>4.1310767235999997</v>
      </c>
      <c r="N18">
        <v>25.003264000000001</v>
      </c>
      <c r="O18" s="2">
        <v>12.090668154899999</v>
      </c>
      <c r="Q18">
        <v>24.536169000000001</v>
      </c>
      <c r="R18" s="2">
        <v>32.6570935819</v>
      </c>
      <c r="T18">
        <v>24.713277000000001</v>
      </c>
      <c r="U18" s="2">
        <v>40.619935007999999</v>
      </c>
    </row>
    <row r="19" spans="1:21" x14ac:dyDescent="0.2">
      <c r="B19" s="1">
        <v>19.678699000000002</v>
      </c>
      <c r="C19" s="2">
        <v>0.55437411299999995</v>
      </c>
      <c r="E19" s="1">
        <v>14.614341</v>
      </c>
      <c r="F19" s="2">
        <v>1.3063729097999999</v>
      </c>
      <c r="H19" s="1">
        <v>23.748922</v>
      </c>
      <c r="I19" s="2">
        <v>3.3929112379999999</v>
      </c>
      <c r="K19" s="1">
        <v>20.831562000000002</v>
      </c>
      <c r="L19" s="2">
        <v>4.1323683881999997</v>
      </c>
      <c r="N19">
        <v>26.053131</v>
      </c>
      <c r="O19" s="2">
        <v>12.044084896099999</v>
      </c>
      <c r="Q19">
        <v>26.345268999999998</v>
      </c>
      <c r="R19" s="2">
        <v>32.773364229199998</v>
      </c>
      <c r="T19">
        <v>22.786705000000001</v>
      </c>
      <c r="U19" s="2">
        <v>40.579205906499993</v>
      </c>
    </row>
    <row r="20" spans="1:21" x14ac:dyDescent="0.2">
      <c r="B20" s="1">
        <v>22.465461000000001</v>
      </c>
      <c r="C20" s="2">
        <v>0.53779080619999997</v>
      </c>
      <c r="E20" s="1">
        <v>13.062079000000001</v>
      </c>
      <c r="F20" s="2">
        <v>1.3092687384999999</v>
      </c>
      <c r="H20" s="1">
        <v>20.284306999999998</v>
      </c>
      <c r="I20" s="2">
        <v>3.3792862597999997</v>
      </c>
      <c r="K20" s="1">
        <v>21.514862000000001</v>
      </c>
      <c r="L20" s="2">
        <v>4.1233267360000001</v>
      </c>
      <c r="N20">
        <v>24.86797</v>
      </c>
      <c r="O20" s="2">
        <v>12.151105558199999</v>
      </c>
      <c r="Q20">
        <v>22.414315999999999</v>
      </c>
      <c r="R20" s="2">
        <v>32.6415727734</v>
      </c>
      <c r="T20">
        <v>23.119589000000001</v>
      </c>
      <c r="U20" s="2">
        <v>40.591955886099996</v>
      </c>
    </row>
    <row r="21" spans="1:21" x14ac:dyDescent="0.2">
      <c r="B21" s="1">
        <v>20.760165000000001</v>
      </c>
      <c r="C21" s="2">
        <v>0.5351658104</v>
      </c>
      <c r="E21" s="1">
        <v>11.429933999999999</v>
      </c>
      <c r="F21" s="2">
        <v>1.2919770994999999</v>
      </c>
      <c r="H21" s="1">
        <v>21.699987</v>
      </c>
      <c r="I21" s="2">
        <v>3.3964945655999998</v>
      </c>
      <c r="K21" s="1">
        <v>19.928747999999999</v>
      </c>
      <c r="L21" s="2">
        <v>4.1614516749999995</v>
      </c>
      <c r="N21">
        <v>23.391359000000001</v>
      </c>
      <c r="O21" s="2">
        <v>12.087793159499999</v>
      </c>
      <c r="Q21">
        <v>22.748189</v>
      </c>
      <c r="R21" s="2">
        <v>32.754489259399996</v>
      </c>
      <c r="T21">
        <v>22.649737999999999</v>
      </c>
      <c r="U21" s="2">
        <v>40.553330947899994</v>
      </c>
    </row>
    <row r="22" spans="1:21" x14ac:dyDescent="0.2">
      <c r="B22" s="1">
        <v>15.714565</v>
      </c>
      <c r="C22" s="2">
        <v>0.53064498429999996</v>
      </c>
      <c r="E22" s="1">
        <v>12.249496000000001</v>
      </c>
      <c r="F22" s="2">
        <v>1.3031020816999999</v>
      </c>
      <c r="H22" s="1">
        <v>22.780882999999999</v>
      </c>
      <c r="I22" s="2">
        <v>3.3711404394999995</v>
      </c>
      <c r="K22" s="1">
        <v>23.201346000000001</v>
      </c>
      <c r="L22" s="2">
        <v>4.1378058795000001</v>
      </c>
      <c r="N22">
        <v>22.693369000000001</v>
      </c>
      <c r="O22" s="2">
        <v>12.220376280699998</v>
      </c>
      <c r="Q22">
        <v>24.954063000000001</v>
      </c>
      <c r="R22" s="2">
        <v>32.776780890399998</v>
      </c>
      <c r="T22">
        <v>22.902656</v>
      </c>
      <c r="U22" s="2">
        <v>40.627768328799995</v>
      </c>
    </row>
    <row r="23" spans="1:21" x14ac:dyDescent="0.2">
      <c r="B23" s="1">
        <v>16.624290999999999</v>
      </c>
      <c r="C23" s="2">
        <v>0.55393661369999991</v>
      </c>
      <c r="E23" s="1">
        <v>10.103569</v>
      </c>
      <c r="F23" s="2">
        <v>1.2940187629</v>
      </c>
      <c r="H23" s="1">
        <v>24.517033999999999</v>
      </c>
      <c r="I23" s="2">
        <v>3.3593071250999995</v>
      </c>
      <c r="K23" s="1">
        <v>23.836879</v>
      </c>
      <c r="L23" s="2">
        <v>4.1220559046999998</v>
      </c>
      <c r="N23">
        <v>23.538243999999999</v>
      </c>
      <c r="O23" s="2">
        <v>12.1484805624</v>
      </c>
      <c r="Q23">
        <v>22.430792</v>
      </c>
      <c r="R23" s="2">
        <v>32.742072612599998</v>
      </c>
      <c r="T23">
        <v>24.459965</v>
      </c>
      <c r="U23" s="2">
        <v>40.568310090599994</v>
      </c>
    </row>
    <row r="24" spans="1:21" x14ac:dyDescent="0.2">
      <c r="B24" s="1"/>
      <c r="C24" s="2"/>
      <c r="F24" s="1"/>
      <c r="H24" s="1"/>
      <c r="I24" s="1"/>
      <c r="K24" s="1"/>
      <c r="L24" s="2"/>
      <c r="N24" s="1"/>
      <c r="O24" s="2"/>
      <c r="Q24" s="1"/>
      <c r="R24" s="2"/>
      <c r="T24" s="1"/>
    </row>
    <row r="25" spans="1:21" x14ac:dyDescent="0.2">
      <c r="B25" s="1"/>
      <c r="H25" s="1"/>
      <c r="I25" s="1"/>
      <c r="N25" s="1"/>
      <c r="O25" s="1"/>
      <c r="Q25" s="1"/>
      <c r="T25" s="1"/>
    </row>
    <row r="26" spans="1:21" x14ac:dyDescent="0.2">
      <c r="B26" s="1"/>
      <c r="H26" s="1"/>
      <c r="I26" s="1"/>
      <c r="N26" s="1"/>
      <c r="O26" s="1"/>
      <c r="Q26" s="1"/>
      <c r="T26" s="1"/>
    </row>
    <row r="27" spans="1:21" x14ac:dyDescent="0.2">
      <c r="B27" s="1"/>
      <c r="H27" s="1"/>
      <c r="N27" s="1"/>
    </row>
    <row r="28" spans="1:21" x14ac:dyDescent="0.2">
      <c r="A28">
        <f>AVERAGE(A7:A23)</f>
        <v>989</v>
      </c>
      <c r="B28">
        <f t="shared" ref="B28:C28" si="0">AVERAGE(B7:B23)</f>
        <v>19.27563352941176</v>
      </c>
      <c r="C28">
        <f t="shared" si="0"/>
        <v>0.5412908005999999</v>
      </c>
      <c r="U28" s="2">
        <v>53.027206822999993</v>
      </c>
    </row>
    <row r="29" spans="1:21" x14ac:dyDescent="0.2">
      <c r="A29">
        <f>AVERAGE(D7:D23)</f>
        <v>2933</v>
      </c>
      <c r="B29">
        <f>AVERAGE(E7:E23)</f>
        <v>13.092927823529413</v>
      </c>
      <c r="C29">
        <f>AVERAGE(F7:F23)</f>
        <v>1.3009231636176468</v>
      </c>
      <c r="H29" s="1"/>
      <c r="N29" s="1"/>
      <c r="U29" s="2">
        <v>52.349395407499998</v>
      </c>
    </row>
    <row r="30" spans="1:21" x14ac:dyDescent="0.2">
      <c r="A30">
        <f>AVERAGE(G7:G23)</f>
        <v>8081</v>
      </c>
      <c r="B30">
        <f>AVERAGE(H7:H23)</f>
        <v>22.199739176470594</v>
      </c>
      <c r="C30">
        <f>AVERAGE(I7:I23)</f>
        <v>3.3690154428999999</v>
      </c>
      <c r="N30" s="1"/>
      <c r="U30" s="2">
        <v>66.960455363099996</v>
      </c>
    </row>
    <row r="31" spans="1:21" x14ac:dyDescent="0.2">
      <c r="A31">
        <f>AVERAGE(J7:J23)</f>
        <v>9878</v>
      </c>
      <c r="B31">
        <f>AVERAGE(K7:K23)</f>
        <v>21.450674117647058</v>
      </c>
      <c r="C31">
        <f>AVERAGE(L7:L23)</f>
        <v>4.1403352872176464</v>
      </c>
      <c r="N31" s="1"/>
      <c r="U31" s="2">
        <v>59.845883413099997</v>
      </c>
    </row>
    <row r="32" spans="1:21" x14ac:dyDescent="0.2">
      <c r="A32">
        <f>AVERAGE(M7:M23)</f>
        <v>29734</v>
      </c>
      <c r="B32">
        <f>AVERAGE(N7:N23)</f>
        <v>24.762945235294119</v>
      </c>
      <c r="C32">
        <f>AVERAGE(O7:O23)</f>
        <v>12.148133749229411</v>
      </c>
      <c r="N32" s="1"/>
      <c r="U32" s="2">
        <v>54.295538126999993</v>
      </c>
    </row>
    <row r="33" spans="1:21" x14ac:dyDescent="0.2">
      <c r="A33">
        <f>AVERAGE(P7:P23)</f>
        <v>80445</v>
      </c>
      <c r="B33">
        <f>AVERAGE(Q7:Q23)</f>
        <v>24.323580882352942</v>
      </c>
      <c r="C33">
        <f>AVERAGE(R7:R23)</f>
        <v>32.768616687776465</v>
      </c>
      <c r="N33" s="1"/>
      <c r="U33" s="2">
        <v>52.535311776699999</v>
      </c>
    </row>
    <row r="34" spans="1:21" x14ac:dyDescent="0.2">
      <c r="A34">
        <f>AVERAGE(S7:S23)</f>
        <v>99668</v>
      </c>
      <c r="B34">
        <f>AVERAGE(T7:T23)</f>
        <v>23.870857000000001</v>
      </c>
      <c r="C34">
        <f>AVERAGE(U7:U23)</f>
        <v>40.59150245545294</v>
      </c>
      <c r="N3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workbookViewId="0">
      <selection activeCell="T7" sqref="T7:T24"/>
    </sheetView>
  </sheetViews>
  <sheetFormatPr baseColWidth="10" defaultRowHeight="16" x14ac:dyDescent="0.2"/>
  <cols>
    <col min="6" max="6" width="12.5" customWidth="1"/>
    <col min="9" max="9" width="12.33203125" customWidth="1"/>
    <col min="12" max="12" width="12.6640625" customWidth="1"/>
    <col min="15" max="15" width="13" customWidth="1"/>
    <col min="18" max="18" width="12.5" customWidth="1"/>
    <col min="21" max="21" width="14" bestFit="1" customWidth="1"/>
  </cols>
  <sheetData>
    <row r="1" spans="1:21" x14ac:dyDescent="0.2">
      <c r="A1" t="s">
        <v>4</v>
      </c>
    </row>
    <row r="2" spans="1:21" x14ac:dyDescent="0.2">
      <c r="A2" t="s">
        <v>7</v>
      </c>
    </row>
    <row r="3" spans="1:21" x14ac:dyDescent="0.2">
      <c r="A3" t="s">
        <v>8</v>
      </c>
    </row>
    <row r="4" spans="1:21" x14ac:dyDescent="0.2">
      <c r="O4" s="2">
        <v>2.0833299999999998E-8</v>
      </c>
    </row>
    <row r="6" spans="1:21" x14ac:dyDescent="0.2">
      <c r="A6" t="s">
        <v>1</v>
      </c>
      <c r="B6" t="s">
        <v>2</v>
      </c>
      <c r="C6" t="s">
        <v>3</v>
      </c>
      <c r="D6" t="s">
        <v>1</v>
      </c>
      <c r="E6" t="s">
        <v>2</v>
      </c>
      <c r="F6" t="s">
        <v>3</v>
      </c>
      <c r="G6" t="s">
        <v>1</v>
      </c>
      <c r="H6" t="s">
        <v>2</v>
      </c>
      <c r="I6" t="s">
        <v>3</v>
      </c>
      <c r="J6" t="s">
        <v>1</v>
      </c>
      <c r="K6" t="s">
        <v>2</v>
      </c>
      <c r="L6" t="s">
        <v>3</v>
      </c>
      <c r="M6" t="s">
        <v>1</v>
      </c>
      <c r="N6" t="s">
        <v>2</v>
      </c>
      <c r="O6" t="s">
        <v>3</v>
      </c>
      <c r="P6" t="s">
        <v>1</v>
      </c>
      <c r="Q6" t="s">
        <v>2</v>
      </c>
      <c r="R6" t="s">
        <v>3</v>
      </c>
      <c r="S6" t="s">
        <v>1</v>
      </c>
      <c r="T6" t="s">
        <v>2</v>
      </c>
      <c r="U6" t="s">
        <v>3</v>
      </c>
    </row>
    <row r="7" spans="1:21" x14ac:dyDescent="0.2">
      <c r="A7">
        <v>989</v>
      </c>
      <c r="B7" s="1">
        <v>3.2762169999999999</v>
      </c>
      <c r="C7" s="2">
        <v>48.921192559299996</v>
      </c>
      <c r="D7">
        <v>2933</v>
      </c>
      <c r="E7" s="1">
        <v>2.390317</v>
      </c>
      <c r="F7" s="2">
        <v>52.767873904599995</v>
      </c>
      <c r="G7">
        <v>8081</v>
      </c>
      <c r="H7" s="1">
        <v>4.4389570000000003</v>
      </c>
      <c r="I7" s="2">
        <v>60.789090237299995</v>
      </c>
      <c r="J7">
        <v>9878</v>
      </c>
      <c r="K7">
        <v>3.981395</v>
      </c>
      <c r="L7" s="2">
        <v>68.575973611599991</v>
      </c>
      <c r="M7">
        <v>29734</v>
      </c>
      <c r="N7">
        <v>6.856935</v>
      </c>
      <c r="O7" s="2">
        <v>97.94859328199999</v>
      </c>
      <c r="P7">
        <v>80445</v>
      </c>
      <c r="Q7">
        <v>6.6060369999999997</v>
      </c>
      <c r="R7" s="2">
        <v>184.5752463458</v>
      </c>
      <c r="S7">
        <v>99668</v>
      </c>
      <c r="T7">
        <v>8.023752</v>
      </c>
      <c r="U7" s="2">
        <v>217.91273467239998</v>
      </c>
    </row>
    <row r="8" spans="1:21" x14ac:dyDescent="0.2">
      <c r="B8" s="1">
        <v>2.3645589999999999</v>
      </c>
      <c r="C8" s="2">
        <v>48.838734357899995</v>
      </c>
      <c r="E8" s="1">
        <v>2.3236669999999999</v>
      </c>
      <c r="F8" s="2">
        <v>52.739728116299993</v>
      </c>
      <c r="H8" s="1">
        <v>5.1563879999999997</v>
      </c>
      <c r="I8" s="2">
        <v>60.505257358099996</v>
      </c>
      <c r="K8">
        <v>4.0292089999999998</v>
      </c>
      <c r="L8" s="2">
        <v>68.561619467899988</v>
      </c>
      <c r="N8">
        <v>7.3881129999999997</v>
      </c>
      <c r="O8" s="2">
        <v>97.953572440699986</v>
      </c>
      <c r="Q8">
        <v>6.8966159999999999</v>
      </c>
      <c r="R8" s="2">
        <v>184.59707964419999</v>
      </c>
      <c r="T8">
        <v>8.0896779999999993</v>
      </c>
      <c r="U8" s="2">
        <v>217.91921382869998</v>
      </c>
    </row>
    <row r="9" spans="1:21" x14ac:dyDescent="0.2">
      <c r="B9" s="1">
        <v>2.824859</v>
      </c>
      <c r="C9" s="2">
        <v>48.819380222199996</v>
      </c>
      <c r="E9" s="1">
        <v>2.5003129999999998</v>
      </c>
      <c r="F9" s="2">
        <v>52.734061458699998</v>
      </c>
      <c r="H9" s="1">
        <v>5.0083419999999998</v>
      </c>
      <c r="I9" s="2">
        <v>61.335964362299997</v>
      </c>
      <c r="K9">
        <v>4.8061100000000003</v>
      </c>
      <c r="L9" s="2">
        <v>68.488327918499991</v>
      </c>
      <c r="N9">
        <v>7.2169109999999996</v>
      </c>
      <c r="O9" s="2">
        <v>97.959884930599998</v>
      </c>
      <c r="Q9">
        <v>7.7346570000000003</v>
      </c>
      <c r="R9" s="2">
        <v>184.63828791159997</v>
      </c>
      <c r="T9">
        <v>6.8798719999999998</v>
      </c>
      <c r="U9" s="2">
        <v>217.91590133399998</v>
      </c>
    </row>
    <row r="10" spans="1:21" x14ac:dyDescent="0.2">
      <c r="B10" s="1">
        <v>2.95885</v>
      </c>
      <c r="C10" s="2">
        <v>48.814838562799999</v>
      </c>
      <c r="E10" s="1">
        <v>2.8070979999999999</v>
      </c>
      <c r="F10" s="2">
        <v>52.737165620399999</v>
      </c>
      <c r="H10" s="1">
        <v>4.7647630000000003</v>
      </c>
      <c r="I10" s="2">
        <v>61.338297691899996</v>
      </c>
      <c r="K10">
        <v>5.4884409999999999</v>
      </c>
      <c r="L10" s="2">
        <v>68.389932242599997</v>
      </c>
      <c r="N10">
        <v>7.0418289999999999</v>
      </c>
      <c r="O10" s="2">
        <v>97.963134925399999</v>
      </c>
      <c r="Q10">
        <v>7.295814</v>
      </c>
      <c r="R10" s="2">
        <v>184.6825170075</v>
      </c>
      <c r="T10">
        <v>9.6166440000000009</v>
      </c>
      <c r="U10" s="2">
        <v>217.91902632899999</v>
      </c>
    </row>
    <row r="11" spans="1:21" x14ac:dyDescent="0.2">
      <c r="B11" s="1">
        <v>3.0397189999999998</v>
      </c>
      <c r="C11" s="2">
        <v>48.823109382899993</v>
      </c>
      <c r="E11" s="1">
        <v>2.3880210000000002</v>
      </c>
      <c r="F11" s="2">
        <v>52.721832311599997</v>
      </c>
      <c r="H11" s="1">
        <v>5.1539960000000002</v>
      </c>
      <c r="I11" s="2">
        <v>61.178631280699996</v>
      </c>
      <c r="K11">
        <v>4.8681660000000004</v>
      </c>
      <c r="L11" s="2">
        <v>68.4571196351</v>
      </c>
      <c r="N11">
        <v>7.0092629999999998</v>
      </c>
      <c r="O11" s="2">
        <v>97.961051595399994</v>
      </c>
      <c r="Q11">
        <v>7.4063670000000004</v>
      </c>
      <c r="R11" s="2">
        <v>184.66101704189998</v>
      </c>
      <c r="T11">
        <v>7.5493249999999996</v>
      </c>
      <c r="U11" s="2">
        <v>217.89692219769998</v>
      </c>
    </row>
    <row r="12" spans="1:21" x14ac:dyDescent="0.2">
      <c r="B12" s="1">
        <v>3.1316449999999998</v>
      </c>
      <c r="C12" s="2">
        <v>48.807859407299993</v>
      </c>
      <c r="E12" s="1">
        <v>3.0251380000000001</v>
      </c>
      <c r="F12" s="2">
        <v>52.740936447699994</v>
      </c>
      <c r="H12" s="1">
        <v>4.9352210000000003</v>
      </c>
      <c r="I12" s="2">
        <v>61.230693697399992</v>
      </c>
      <c r="K12">
        <v>4.6732560000000003</v>
      </c>
      <c r="L12" s="2">
        <v>68.45430713959999</v>
      </c>
      <c r="N12">
        <v>7.270308</v>
      </c>
      <c r="O12" s="2">
        <v>97.959780764099989</v>
      </c>
      <c r="Q12">
        <v>7.4550650000000003</v>
      </c>
      <c r="R12" s="2">
        <v>184.68160034229999</v>
      </c>
      <c r="T12">
        <v>7.18588</v>
      </c>
      <c r="U12" s="2">
        <v>217.89704719749997</v>
      </c>
    </row>
    <row r="13" spans="1:21" x14ac:dyDescent="0.2">
      <c r="B13" s="1">
        <v>3.5599660000000002</v>
      </c>
      <c r="C13" s="2">
        <v>48.803796913799999</v>
      </c>
      <c r="E13" s="1">
        <v>2.8769939999999998</v>
      </c>
      <c r="F13" s="2">
        <v>52.739644783099997</v>
      </c>
      <c r="H13" s="1">
        <v>5.1733310000000001</v>
      </c>
      <c r="I13" s="2">
        <v>61.210652062799994</v>
      </c>
      <c r="K13">
        <v>4.7872310000000002</v>
      </c>
      <c r="L13" s="2">
        <v>68.447827983300002</v>
      </c>
      <c r="N13">
        <v>6.7366460000000004</v>
      </c>
      <c r="O13" s="2">
        <v>97.989134883799991</v>
      </c>
      <c r="Q13">
        <v>7.5433219999999999</v>
      </c>
      <c r="R13" s="2">
        <v>184.70416280619997</v>
      </c>
      <c r="T13">
        <v>9.226051</v>
      </c>
      <c r="U13" s="2">
        <v>217.93806796519999</v>
      </c>
    </row>
    <row r="14" spans="1:21" x14ac:dyDescent="0.2">
      <c r="B14" s="1">
        <v>4.1800499999999996</v>
      </c>
      <c r="C14" s="2">
        <v>48.830067705099999</v>
      </c>
      <c r="E14" s="1">
        <v>2.7605040000000001</v>
      </c>
      <c r="F14" s="2">
        <v>52.743998942799998</v>
      </c>
      <c r="H14" s="1">
        <v>5.1273479999999996</v>
      </c>
      <c r="I14" s="2">
        <v>61.189443763399993</v>
      </c>
      <c r="K14">
        <v>5.2567279999999998</v>
      </c>
      <c r="L14" s="2">
        <v>68.533390346399997</v>
      </c>
      <c r="N14">
        <v>7.235392</v>
      </c>
      <c r="O14" s="2">
        <v>97.969301582199989</v>
      </c>
      <c r="Q14">
        <v>6.8090260000000002</v>
      </c>
      <c r="R14" s="2">
        <v>184.71451695629997</v>
      </c>
      <c r="T14">
        <v>9.8516429999999993</v>
      </c>
      <c r="U14" s="2">
        <v>217.93354713909997</v>
      </c>
    </row>
    <row r="15" spans="1:21" x14ac:dyDescent="0.2">
      <c r="B15" s="1">
        <v>4.0710750000000004</v>
      </c>
      <c r="C15" s="2">
        <v>48.814130230599993</v>
      </c>
      <c r="E15" s="1">
        <v>3.3304779999999998</v>
      </c>
      <c r="F15" s="2">
        <v>52.749853100099998</v>
      </c>
      <c r="H15" s="1">
        <v>4.8417130000000004</v>
      </c>
      <c r="I15" s="2">
        <v>61.234235358399992</v>
      </c>
      <c r="K15">
        <v>4.9909359999999996</v>
      </c>
      <c r="L15" s="2">
        <v>68.590056922399995</v>
      </c>
      <c r="N15">
        <v>7.2724510000000002</v>
      </c>
      <c r="O15" s="2">
        <v>97.942593291599991</v>
      </c>
      <c r="Q15">
        <v>6.831175</v>
      </c>
      <c r="R15" s="2">
        <v>184.7924543316</v>
      </c>
      <c r="T15">
        <v>6.5475849999999998</v>
      </c>
      <c r="U15" s="2">
        <v>217.93413047149997</v>
      </c>
    </row>
    <row r="16" spans="1:21" x14ac:dyDescent="0.2">
      <c r="B16" s="1">
        <v>4.1348289999999999</v>
      </c>
      <c r="C16" s="2">
        <v>48.813505231599997</v>
      </c>
      <c r="E16" s="1">
        <v>2.7032310000000002</v>
      </c>
      <c r="F16" s="2">
        <v>52.721561478699996</v>
      </c>
      <c r="H16" s="1">
        <v>5.3779820000000003</v>
      </c>
      <c r="I16" s="2">
        <v>61.151006324899996</v>
      </c>
      <c r="K16">
        <v>4.7571079999999997</v>
      </c>
      <c r="L16" s="2">
        <v>68.495286240699997</v>
      </c>
      <c r="N16">
        <v>7.326092</v>
      </c>
      <c r="O16" s="2">
        <v>97.92790581509999</v>
      </c>
      <c r="Q16">
        <v>6.67239</v>
      </c>
      <c r="R16" s="2">
        <v>184.75114189769999</v>
      </c>
      <c r="T16">
        <v>8.9491440000000004</v>
      </c>
      <c r="U16" s="2">
        <v>217.89746386349998</v>
      </c>
    </row>
    <row r="17" spans="1:21" x14ac:dyDescent="0.2">
      <c r="B17" s="1">
        <v>4.1108739999999999</v>
      </c>
      <c r="C17" s="2">
        <v>48.833380199799997</v>
      </c>
      <c r="E17" s="1">
        <v>2.8116289999999999</v>
      </c>
      <c r="F17" s="2">
        <v>52.717332318799997</v>
      </c>
      <c r="H17" s="1">
        <v>4.4217680000000001</v>
      </c>
      <c r="I17" s="2">
        <v>61.132673020899993</v>
      </c>
      <c r="K17">
        <v>5.283785</v>
      </c>
      <c r="L17" s="2">
        <v>68.4633696251</v>
      </c>
      <c r="N17">
        <v>6.8968970000000001</v>
      </c>
      <c r="O17" s="2">
        <v>97.993551543399988</v>
      </c>
      <c r="Q17">
        <v>7.4616749999999996</v>
      </c>
      <c r="R17" s="2">
        <v>184.77905851969999</v>
      </c>
      <c r="T17">
        <v>8.2048889999999997</v>
      </c>
      <c r="U17" s="2">
        <v>217.90958884409997</v>
      </c>
    </row>
    <row r="18" spans="1:21" x14ac:dyDescent="0.2">
      <c r="B18" s="1">
        <v>3.7150509999999999</v>
      </c>
      <c r="C18" s="2">
        <v>48.815921894399999</v>
      </c>
      <c r="E18" s="1">
        <v>3.4286490000000001</v>
      </c>
      <c r="F18" s="2">
        <v>52.716623986599998</v>
      </c>
      <c r="H18" s="1">
        <v>5.0316000000000001</v>
      </c>
      <c r="I18" s="2">
        <v>61.122964703099996</v>
      </c>
      <c r="K18">
        <v>4.651675</v>
      </c>
      <c r="L18" s="2">
        <v>68.48697375399999</v>
      </c>
      <c r="N18">
        <v>7.1695089999999997</v>
      </c>
      <c r="O18" s="2">
        <v>97.971947411299993</v>
      </c>
      <c r="Q18">
        <v>7.5795149999999998</v>
      </c>
      <c r="R18" s="2">
        <v>184.67441285379999</v>
      </c>
      <c r="T18">
        <v>7.5485429999999996</v>
      </c>
      <c r="U18" s="2">
        <v>217.92252632339998</v>
      </c>
    </row>
    <row r="19" spans="1:21" x14ac:dyDescent="0.2">
      <c r="B19" s="1">
        <v>3.7333050000000001</v>
      </c>
      <c r="C19" s="2">
        <v>48.823276049299999</v>
      </c>
      <c r="E19" s="1">
        <v>2.904576</v>
      </c>
      <c r="F19" s="2">
        <v>52.734998957199998</v>
      </c>
      <c r="H19" s="1">
        <v>4.5148010000000003</v>
      </c>
      <c r="I19" s="2">
        <v>61.127068863199995</v>
      </c>
      <c r="K19">
        <v>5.0932269999999997</v>
      </c>
      <c r="L19" s="2">
        <v>68.452057143199994</v>
      </c>
      <c r="N19">
        <v>7.3176009999999998</v>
      </c>
      <c r="O19" s="2">
        <v>97.952551608999997</v>
      </c>
      <c r="Q19">
        <v>7.5524649999999998</v>
      </c>
      <c r="R19" s="2">
        <v>184.75837105279999</v>
      </c>
      <c r="T19">
        <v>6.8445720000000003</v>
      </c>
      <c r="U19" s="2">
        <v>217.87440140039999</v>
      </c>
    </row>
    <row r="20" spans="1:21" x14ac:dyDescent="0.2">
      <c r="B20" s="1">
        <v>4.1798479999999998</v>
      </c>
      <c r="C20" s="2">
        <v>48.804213579799999</v>
      </c>
      <c r="E20" s="1">
        <v>2.7144780000000002</v>
      </c>
      <c r="F20" s="2">
        <v>52.730873963799993</v>
      </c>
      <c r="H20" s="1">
        <v>4.755363</v>
      </c>
      <c r="I20" s="2">
        <v>61.099381407499997</v>
      </c>
      <c r="K20">
        <v>4.1861300000000004</v>
      </c>
      <c r="L20" s="2">
        <v>68.534223678399997</v>
      </c>
      <c r="N20">
        <v>6.4977510000000001</v>
      </c>
      <c r="O20" s="2">
        <v>97.982739060699998</v>
      </c>
      <c r="Q20">
        <v>7.1195380000000004</v>
      </c>
      <c r="R20" s="2">
        <v>184.71876694949998</v>
      </c>
      <c r="T20">
        <v>6.4708209999999999</v>
      </c>
      <c r="U20" s="2">
        <v>217.98052623059999</v>
      </c>
    </row>
    <row r="21" spans="1:21" x14ac:dyDescent="0.2">
      <c r="B21" s="1">
        <v>4.0710480000000002</v>
      </c>
      <c r="C21" s="2">
        <v>48.817463558599997</v>
      </c>
      <c r="E21" s="1">
        <v>3.2372719999999999</v>
      </c>
      <c r="F21" s="2">
        <v>52.729332299599996</v>
      </c>
      <c r="H21" s="1">
        <v>4.5251239999999999</v>
      </c>
      <c r="I21" s="2">
        <v>61.112235553599994</v>
      </c>
      <c r="K21">
        <v>5.2615720000000001</v>
      </c>
      <c r="L21" s="2">
        <v>68.530494517699992</v>
      </c>
      <c r="N21">
        <v>6.9280160000000004</v>
      </c>
      <c r="O21" s="2">
        <v>97.995197374099988</v>
      </c>
      <c r="Q21">
        <v>6.9229159999999998</v>
      </c>
      <c r="R21" s="2">
        <v>184.71876694949998</v>
      </c>
      <c r="T21">
        <v>9.6127470000000006</v>
      </c>
      <c r="U21" s="2">
        <v>217.94919294739998</v>
      </c>
    </row>
    <row r="22" spans="1:21" x14ac:dyDescent="0.2">
      <c r="B22" s="1">
        <v>4.2253280000000002</v>
      </c>
      <c r="C22" s="2">
        <v>48.821380218999998</v>
      </c>
      <c r="E22" s="1">
        <v>2.5805150000000001</v>
      </c>
      <c r="F22" s="2">
        <v>52.725998971599999</v>
      </c>
      <c r="H22" s="1">
        <v>3.505738</v>
      </c>
      <c r="I22" s="2">
        <v>61.102527235799997</v>
      </c>
      <c r="K22">
        <v>4.9868300000000003</v>
      </c>
      <c r="L22" s="2">
        <v>68.426203017899994</v>
      </c>
      <c r="N22">
        <v>7.2402639999999998</v>
      </c>
      <c r="O22" s="2">
        <v>97.942051625799991</v>
      </c>
      <c r="Q22">
        <v>7.2934409999999996</v>
      </c>
      <c r="R22" s="2">
        <v>184.71876694949998</v>
      </c>
      <c r="T22">
        <v>6.9004479999999999</v>
      </c>
      <c r="U22" s="2">
        <v>217.90942217769998</v>
      </c>
    </row>
    <row r="23" spans="1:21" x14ac:dyDescent="0.2">
      <c r="B23" s="1">
        <v>3.9428990000000002</v>
      </c>
      <c r="C23" s="2">
        <v>48.817838557999998</v>
      </c>
      <c r="E23" s="1">
        <v>3.092962</v>
      </c>
      <c r="F23" s="2">
        <v>52.735894789099994</v>
      </c>
      <c r="H23" s="1">
        <v>4.1046170000000002</v>
      </c>
      <c r="I23" s="2">
        <v>61.113443884999995</v>
      </c>
      <c r="K23">
        <v>5.1012370000000002</v>
      </c>
      <c r="L23" s="2">
        <v>68.392890571199999</v>
      </c>
      <c r="N23">
        <v>7.0888080000000002</v>
      </c>
      <c r="O23" s="2">
        <v>97.994468208599997</v>
      </c>
      <c r="Q23">
        <v>7.5572530000000002</v>
      </c>
      <c r="R23" s="2">
        <v>184.71876694949998</v>
      </c>
      <c r="T23">
        <v>9.4603350000000006</v>
      </c>
      <c r="U23" s="2">
        <v>217.88513054989997</v>
      </c>
    </row>
    <row r="24" spans="1:21" x14ac:dyDescent="0.2">
      <c r="B24" s="1">
        <v>4.7596910000000001</v>
      </c>
      <c r="C24" s="2">
        <v>48.817838557999998</v>
      </c>
      <c r="E24" s="1">
        <v>3.3235679999999999</v>
      </c>
      <c r="F24" s="2">
        <v>52.735894789099994</v>
      </c>
      <c r="H24" s="1">
        <v>3.5260470000000002</v>
      </c>
      <c r="I24" s="2">
        <v>61.113443884999995</v>
      </c>
      <c r="K24">
        <v>4.4929290000000002</v>
      </c>
      <c r="L24" s="2">
        <v>68.474244607700001</v>
      </c>
      <c r="N24">
        <v>6.5729420000000003</v>
      </c>
      <c r="O24" s="2">
        <v>97.94750995039999</v>
      </c>
      <c r="Q24">
        <v>7.5501009999999997</v>
      </c>
      <c r="R24" s="2">
        <v>184.71876694949998</v>
      </c>
      <c r="T24">
        <v>6.2536620000000003</v>
      </c>
      <c r="U24" s="2">
        <v>217.87085973939998</v>
      </c>
    </row>
    <row r="25" spans="1:21" x14ac:dyDescent="0.2">
      <c r="B25" s="1"/>
      <c r="C25" s="1"/>
      <c r="E25" s="1"/>
      <c r="F25" s="1"/>
      <c r="H25" s="1"/>
      <c r="I25" s="1"/>
      <c r="K25" s="1"/>
      <c r="L25" s="1"/>
      <c r="N25" s="1"/>
      <c r="O25" s="1"/>
      <c r="Q25" s="1"/>
      <c r="R25" s="1"/>
      <c r="T25" s="1"/>
      <c r="U25" s="1">
        <v>10460095000</v>
      </c>
    </row>
    <row r="26" spans="1:21" x14ac:dyDescent="0.2">
      <c r="B26" s="1"/>
      <c r="C26" s="1"/>
      <c r="E26" s="1"/>
      <c r="F26" s="1"/>
      <c r="H26" s="1"/>
      <c r="I26" s="1"/>
      <c r="K26" s="1"/>
      <c r="L26" s="1"/>
      <c r="N26" s="1"/>
      <c r="O26" s="1"/>
      <c r="Q26" s="1"/>
      <c r="R26" s="1"/>
      <c r="T26" s="1"/>
      <c r="U26" s="1"/>
    </row>
    <row r="27" spans="1:21" x14ac:dyDescent="0.2">
      <c r="A27">
        <f>AVERAGE(A7:A24)</f>
        <v>989</v>
      </c>
      <c r="B27">
        <f t="shared" ref="B27:C27" si="0">AVERAGE(B7:B24)</f>
        <v>3.6822118333333336</v>
      </c>
      <c r="C27">
        <f t="shared" si="0"/>
        <v>48.824329288355557</v>
      </c>
    </row>
    <row r="28" spans="1:21" x14ac:dyDescent="0.2">
      <c r="A28">
        <f>AVERAGE(D7:D24)</f>
        <v>2933</v>
      </c>
      <c r="B28">
        <f>AVERAGE(E7:E24)</f>
        <v>2.8444116666666668</v>
      </c>
      <c r="C28">
        <f>AVERAGE(F7:F24)</f>
        <v>52.734644791100003</v>
      </c>
      <c r="F28" s="1"/>
      <c r="L28" s="1"/>
      <c r="N28" s="1"/>
      <c r="O28" s="1"/>
      <c r="Q28" s="1"/>
      <c r="R28" s="1"/>
      <c r="T28" s="1"/>
      <c r="U28" s="1"/>
    </row>
    <row r="29" spans="1:21" x14ac:dyDescent="0.2">
      <c r="A29">
        <f>AVERAGE(G7:G24)</f>
        <v>8081</v>
      </c>
      <c r="B29">
        <f>AVERAGE(H7:H24)</f>
        <v>4.6868388333333337</v>
      </c>
      <c r="C29">
        <f>AVERAGE(I7:I24)</f>
        <v>61.115945038405549</v>
      </c>
      <c r="F29" s="1"/>
      <c r="L29" s="1"/>
      <c r="N29" s="1"/>
      <c r="O29" s="1"/>
      <c r="Q29" s="1"/>
      <c r="R29" s="2">
        <v>217.94088046069999</v>
      </c>
      <c r="U29" s="1"/>
    </row>
    <row r="30" spans="1:21" x14ac:dyDescent="0.2">
      <c r="A30">
        <f>AVERAGE(J7:J24)</f>
        <v>9878</v>
      </c>
      <c r="B30">
        <f>AVERAGE(K7:K24)</f>
        <v>4.8164425</v>
      </c>
      <c r="C30">
        <f>AVERAGE(L7:L24)</f>
        <v>68.486349912405558</v>
      </c>
      <c r="F30" s="1"/>
      <c r="L30" s="1"/>
      <c r="N30" s="1"/>
      <c r="O30" s="1"/>
      <c r="Q30" s="1"/>
      <c r="R30" s="2">
        <v>217.90181802319998</v>
      </c>
      <c r="U30" s="2">
        <v>522.65866374479992</v>
      </c>
    </row>
    <row r="31" spans="1:21" x14ac:dyDescent="0.2">
      <c r="A31">
        <f>AVERAGE(M7:M24)</f>
        <v>29734</v>
      </c>
      <c r="B31">
        <f>AVERAGE(N7:N24)</f>
        <v>7.0592071111111103</v>
      </c>
      <c r="C31">
        <f>AVERAGE(O7:O24)</f>
        <v>97.964165016344452</v>
      </c>
      <c r="F31" s="1"/>
      <c r="L31" s="1"/>
      <c r="N31" s="1"/>
      <c r="O31" s="1"/>
      <c r="Q31" s="1"/>
      <c r="U31" s="2">
        <v>477.14842406129998</v>
      </c>
    </row>
    <row r="32" spans="1:21" x14ac:dyDescent="0.2">
      <c r="A32">
        <f>AVERAGE(P7:P24)</f>
        <v>80445</v>
      </c>
      <c r="B32">
        <f>AVERAGE(Q7:Q24)</f>
        <v>7.2381873888888908</v>
      </c>
      <c r="C32">
        <f>AVERAGE(R7:R24)</f>
        <v>184.70020563660557</v>
      </c>
      <c r="L32" s="1"/>
      <c r="N32" s="1"/>
      <c r="O32" s="1"/>
      <c r="Q32" s="1"/>
      <c r="U32" s="2">
        <v>513.48061592969998</v>
      </c>
    </row>
    <row r="33" spans="1:21" x14ac:dyDescent="0.2">
      <c r="A33">
        <f>AVERAGE(S7:S24)</f>
        <v>99668</v>
      </c>
      <c r="B33">
        <f>AVERAGE(T7:T24)</f>
        <v>7.9564217222222213</v>
      </c>
      <c r="C33">
        <f>AVERAGE(U7:U24)</f>
        <v>217.91476128952775</v>
      </c>
      <c r="L33" s="1"/>
      <c r="N33" s="1"/>
      <c r="Q33" s="1"/>
      <c r="U33" s="1"/>
    </row>
    <row r="34" spans="1:21" x14ac:dyDescent="0.2">
      <c r="C34" s="1"/>
      <c r="L34" s="1"/>
      <c r="N34" s="1"/>
      <c r="Q34" s="1"/>
      <c r="U34" s="1"/>
    </row>
    <row r="35" spans="1:21" x14ac:dyDescent="0.2">
      <c r="C35" s="1"/>
      <c r="L35" s="1"/>
      <c r="Q35" s="1"/>
    </row>
    <row r="36" spans="1:21" x14ac:dyDescent="0.2">
      <c r="C36" s="1"/>
      <c r="L36" s="1"/>
      <c r="Q36" s="1"/>
    </row>
    <row r="37" spans="1:21" x14ac:dyDescent="0.2">
      <c r="C37" s="1"/>
      <c r="L37" s="1"/>
      <c r="Q37" s="1"/>
    </row>
    <row r="38" spans="1:21" x14ac:dyDescent="0.2">
      <c r="C38" s="1"/>
      <c r="L38" s="1"/>
      <c r="Q38" s="1"/>
    </row>
    <row r="39" spans="1:21" x14ac:dyDescent="0.2">
      <c r="C39" s="1"/>
      <c r="L39" s="1"/>
      <c r="Q39" s="1"/>
    </row>
    <row r="40" spans="1:21" x14ac:dyDescent="0.2">
      <c r="C40" s="1"/>
      <c r="L40" s="1"/>
      <c r="Q40" s="1"/>
    </row>
    <row r="41" spans="1:21" x14ac:dyDescent="0.2">
      <c r="L41" s="1"/>
      <c r="Q41" s="1"/>
    </row>
    <row r="42" spans="1:21" x14ac:dyDescent="0.2">
      <c r="L42" s="1"/>
      <c r="Q42" s="1"/>
    </row>
    <row r="43" spans="1:21" x14ac:dyDescent="0.2">
      <c r="L43" s="1"/>
      <c r="Q43" s="1"/>
    </row>
    <row r="44" spans="1:21" x14ac:dyDescent="0.2">
      <c r="Q44" s="1"/>
    </row>
    <row r="45" spans="1:21" x14ac:dyDescent="0.2">
      <c r="Q45" s="1"/>
    </row>
    <row r="46" spans="1:21" x14ac:dyDescent="0.2">
      <c r="Q4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B7" sqref="B7:B27"/>
    </sheetView>
  </sheetViews>
  <sheetFormatPr baseColWidth="10" defaultRowHeight="16" x14ac:dyDescent="0.2"/>
  <sheetData>
    <row r="1" spans="1:14" x14ac:dyDescent="0.2">
      <c r="A1" t="s">
        <v>4</v>
      </c>
    </row>
    <row r="2" spans="1:14" x14ac:dyDescent="0.2">
      <c r="A2" t="s">
        <v>0</v>
      </c>
    </row>
    <row r="3" spans="1:14" x14ac:dyDescent="0.2">
      <c r="A3" t="s">
        <v>6</v>
      </c>
      <c r="I3">
        <f>1/48000000</f>
        <v>2.0833333333333335E-8</v>
      </c>
    </row>
    <row r="6" spans="1:14" x14ac:dyDescent="0.2">
      <c r="A6" t="s">
        <v>1</v>
      </c>
      <c r="B6" t="s">
        <v>2</v>
      </c>
      <c r="C6" t="s">
        <v>1</v>
      </c>
      <c r="D6" t="s">
        <v>2</v>
      </c>
      <c r="E6" t="s">
        <v>1</v>
      </c>
      <c r="F6" t="s">
        <v>2</v>
      </c>
      <c r="G6" t="s">
        <v>1</v>
      </c>
      <c r="H6" t="s">
        <v>2</v>
      </c>
      <c r="I6" t="s">
        <v>1</v>
      </c>
      <c r="J6" t="s">
        <v>2</v>
      </c>
      <c r="K6" t="s">
        <v>1</v>
      </c>
      <c r="L6" t="s">
        <v>2</v>
      </c>
      <c r="M6" t="s">
        <v>1</v>
      </c>
      <c r="N6" t="s">
        <v>2</v>
      </c>
    </row>
    <row r="7" spans="1:14" x14ac:dyDescent="0.2">
      <c r="A7">
        <v>989</v>
      </c>
      <c r="B7" s="1">
        <v>27.854565000000001</v>
      </c>
      <c r="C7">
        <v>2933</v>
      </c>
      <c r="D7" s="1"/>
      <c r="E7">
        <v>8081</v>
      </c>
      <c r="F7" s="1"/>
      <c r="G7">
        <v>9878</v>
      </c>
      <c r="H7" s="1"/>
      <c r="I7">
        <v>29734</v>
      </c>
      <c r="J7" s="1"/>
      <c r="K7">
        <v>80445</v>
      </c>
      <c r="L7" s="1"/>
      <c r="M7">
        <v>99668</v>
      </c>
      <c r="N7" s="1"/>
    </row>
    <row r="8" spans="1:14" x14ac:dyDescent="0.2">
      <c r="B8" s="1">
        <v>28.399494000000001</v>
      </c>
      <c r="D8" s="1"/>
      <c r="F8" s="1"/>
      <c r="H8" s="1"/>
      <c r="J8" s="1"/>
      <c r="L8" s="1"/>
      <c r="N8" s="1"/>
    </row>
    <row r="9" spans="1:14" x14ac:dyDescent="0.2">
      <c r="B9" s="1">
        <v>26.981695999999999</v>
      </c>
      <c r="D9" s="1"/>
      <c r="F9" s="1"/>
      <c r="H9" s="1"/>
      <c r="J9" s="1"/>
      <c r="L9" s="1"/>
      <c r="N9" s="1"/>
    </row>
    <row r="10" spans="1:14" x14ac:dyDescent="0.2">
      <c r="B10" s="1">
        <v>28.016814</v>
      </c>
      <c r="D10" s="1"/>
      <c r="F10" s="1"/>
      <c r="H10" s="1"/>
      <c r="J10" s="1"/>
      <c r="L10" s="1"/>
      <c r="N10" s="1"/>
    </row>
    <row r="11" spans="1:14" x14ac:dyDescent="0.2">
      <c r="B11" s="1">
        <v>27.473723</v>
      </c>
      <c r="D11" s="1"/>
      <c r="F11" s="1"/>
      <c r="H11" s="1"/>
      <c r="J11" s="1"/>
      <c r="L11" s="1"/>
      <c r="N11" s="1"/>
    </row>
    <row r="12" spans="1:14" x14ac:dyDescent="0.2">
      <c r="B12" s="1">
        <v>31.229821999999999</v>
      </c>
      <c r="D12" s="1"/>
      <c r="F12" s="1"/>
      <c r="H12" s="1"/>
      <c r="J12" s="1"/>
      <c r="L12" s="1"/>
      <c r="N12" s="1"/>
    </row>
    <row r="13" spans="1:14" x14ac:dyDescent="0.2">
      <c r="B13" s="1">
        <v>27.978859</v>
      </c>
      <c r="D13" s="1"/>
      <c r="F13" s="1"/>
      <c r="H13" s="1"/>
      <c r="J13" s="1"/>
      <c r="L13" s="1"/>
      <c r="N13" s="1"/>
    </row>
    <row r="14" spans="1:14" x14ac:dyDescent="0.2">
      <c r="B14" s="1">
        <v>30.614889999999999</v>
      </c>
      <c r="D14" s="1"/>
      <c r="F14" s="1"/>
      <c r="H14" s="1"/>
      <c r="J14" s="1"/>
      <c r="L14" s="1"/>
      <c r="N14" s="1"/>
    </row>
    <row r="15" spans="1:14" x14ac:dyDescent="0.2">
      <c r="B15" s="1">
        <v>28.700036000000001</v>
      </c>
      <c r="D15" s="1"/>
      <c r="F15" s="1"/>
      <c r="H15" s="1"/>
      <c r="J15" s="1"/>
      <c r="L15" s="1"/>
      <c r="N15" s="1"/>
    </row>
    <row r="16" spans="1:14" x14ac:dyDescent="0.2">
      <c r="B16" s="1">
        <v>29.482678</v>
      </c>
      <c r="D16" s="1"/>
      <c r="F16" s="1"/>
      <c r="H16" s="1"/>
      <c r="J16" s="1"/>
      <c r="L16" s="1"/>
      <c r="N16" s="1"/>
    </row>
    <row r="17" spans="2:14" x14ac:dyDescent="0.2">
      <c r="B17" s="1">
        <v>29.921251999999999</v>
      </c>
      <c r="D17" s="1"/>
      <c r="F17" s="1"/>
      <c r="H17" s="1"/>
      <c r="J17" s="1"/>
      <c r="L17" s="1"/>
      <c r="N17" s="1"/>
    </row>
    <row r="18" spans="2:14" x14ac:dyDescent="0.2">
      <c r="B18" s="1">
        <v>32.154034000000003</v>
      </c>
      <c r="D18" s="1"/>
      <c r="F18" s="1"/>
      <c r="H18" s="1"/>
      <c r="J18" s="1"/>
      <c r="L18" s="1"/>
      <c r="N18" s="1"/>
    </row>
    <row r="19" spans="2:14" x14ac:dyDescent="0.2">
      <c r="B19" s="1">
        <v>28.979676000000001</v>
      </c>
      <c r="D19" s="1"/>
      <c r="F19" s="1"/>
      <c r="H19" s="1"/>
      <c r="J19" s="1"/>
      <c r="L19" s="1"/>
      <c r="N19" s="1"/>
    </row>
    <row r="20" spans="2:14" x14ac:dyDescent="0.2">
      <c r="B20" s="1">
        <v>30.891255000000001</v>
      </c>
      <c r="D20" s="1"/>
      <c r="F20" s="1"/>
      <c r="H20" s="1"/>
      <c r="J20" s="1"/>
      <c r="L20" s="1"/>
      <c r="N20" s="1"/>
    </row>
    <row r="21" spans="2:14" x14ac:dyDescent="0.2">
      <c r="B21" s="1">
        <v>30.813447</v>
      </c>
      <c r="D21" s="1"/>
      <c r="F21" s="1"/>
      <c r="H21" s="1"/>
      <c r="J21" s="1"/>
      <c r="L21" s="1"/>
      <c r="N21" s="1"/>
    </row>
    <row r="22" spans="2:14" x14ac:dyDescent="0.2">
      <c r="B22" s="1">
        <v>32.428341000000003</v>
      </c>
      <c r="D22" s="1"/>
      <c r="F22" s="1"/>
      <c r="H22" s="1"/>
      <c r="J22" s="1"/>
      <c r="L22" s="1"/>
      <c r="N22" s="1"/>
    </row>
    <row r="23" spans="2:14" x14ac:dyDescent="0.2">
      <c r="B23" s="1">
        <v>31.630849000000001</v>
      </c>
      <c r="D23" s="1"/>
      <c r="F23" s="1"/>
      <c r="H23" s="1"/>
      <c r="J23" s="1"/>
      <c r="L23" s="1"/>
      <c r="N23" s="1"/>
    </row>
    <row r="24" spans="2:14" x14ac:dyDescent="0.2">
      <c r="B24" s="1">
        <v>31.825368000000001</v>
      </c>
      <c r="D24" s="1"/>
      <c r="F24" s="1"/>
      <c r="H24" s="1"/>
      <c r="J24" s="1"/>
      <c r="L24" s="1"/>
    </row>
    <row r="25" spans="2:14" x14ac:dyDescent="0.2">
      <c r="B25" s="1">
        <v>32.238371999999998</v>
      </c>
      <c r="D25" s="1"/>
      <c r="H25" s="1"/>
      <c r="J25" s="1"/>
      <c r="L25" s="1"/>
    </row>
    <row r="26" spans="2:14" x14ac:dyDescent="0.2">
      <c r="B26" s="1">
        <v>30.795114999999999</v>
      </c>
      <c r="D26" s="1"/>
      <c r="H26" s="1"/>
      <c r="J26" s="1"/>
      <c r="L26" s="1"/>
    </row>
    <row r="27" spans="2:14" x14ac:dyDescent="0.2">
      <c r="B27" s="1">
        <v>29.858077999999999</v>
      </c>
    </row>
    <row r="28" spans="2:14" x14ac:dyDescent="0.2">
      <c r="D28" s="1"/>
      <c r="H28" s="1"/>
      <c r="J28" s="1"/>
    </row>
    <row r="29" spans="2:14" x14ac:dyDescent="0.2">
      <c r="H29" s="1"/>
      <c r="J29" s="1"/>
    </row>
    <row r="30" spans="2:14" x14ac:dyDescent="0.2">
      <c r="D30" s="1"/>
      <c r="H30" s="1"/>
      <c r="J30" s="1"/>
    </row>
    <row r="31" spans="2:14" x14ac:dyDescent="0.2">
      <c r="D31" s="1"/>
      <c r="H31" s="1"/>
      <c r="J31" s="1"/>
    </row>
    <row r="32" spans="2:14" x14ac:dyDescent="0.2">
      <c r="D32" s="1"/>
      <c r="J32" s="1"/>
    </row>
    <row r="33" spans="1:10" x14ac:dyDescent="0.2">
      <c r="D33" s="1"/>
      <c r="J33" s="1"/>
    </row>
    <row r="34" spans="1:10" x14ac:dyDescent="0.2">
      <c r="D34" s="1"/>
      <c r="J34" s="1"/>
    </row>
    <row r="35" spans="1:10" x14ac:dyDescent="0.2">
      <c r="D35" s="1"/>
    </row>
    <row r="41" spans="1:10" x14ac:dyDescent="0.2">
      <c r="A41">
        <f>AVERAGE(A7:A27)</f>
        <v>989</v>
      </c>
      <c r="B41">
        <f>AVERAGE(B7:B27)</f>
        <v>29.917541142857143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abSelected="1" workbookViewId="0">
      <selection activeCell="Q7" sqref="Q7:Q22"/>
    </sheetView>
  </sheetViews>
  <sheetFormatPr baseColWidth="10" defaultRowHeight="16" x14ac:dyDescent="0.2"/>
  <cols>
    <col min="13" max="13" width="11.83203125" bestFit="1" customWidth="1"/>
  </cols>
  <sheetData>
    <row r="1" spans="1:21" x14ac:dyDescent="0.2">
      <c r="A1" t="s">
        <v>4</v>
      </c>
    </row>
    <row r="2" spans="1:21" x14ac:dyDescent="0.2">
      <c r="A2" t="s">
        <v>0</v>
      </c>
    </row>
    <row r="3" spans="1:21" x14ac:dyDescent="0.2">
      <c r="A3" t="s">
        <v>6</v>
      </c>
      <c r="M3">
        <f>1/48000000</f>
        <v>2.0833333333333335E-8</v>
      </c>
    </row>
    <row r="4" spans="1:21" x14ac:dyDescent="0.2">
      <c r="O4" s="2"/>
    </row>
    <row r="6" spans="1:21" x14ac:dyDescent="0.2">
      <c r="A6" t="s">
        <v>1</v>
      </c>
      <c r="B6" t="s">
        <v>2</v>
      </c>
      <c r="C6" t="s">
        <v>3</v>
      </c>
      <c r="D6" t="s">
        <v>1</v>
      </c>
      <c r="E6" t="s">
        <v>2</v>
      </c>
      <c r="F6" t="s">
        <v>3</v>
      </c>
      <c r="G6" t="s">
        <v>1</v>
      </c>
      <c r="H6" t="s">
        <v>2</v>
      </c>
      <c r="I6" t="s">
        <v>3</v>
      </c>
      <c r="J6" t="s">
        <v>1</v>
      </c>
      <c r="K6" t="s">
        <v>2</v>
      </c>
      <c r="L6" t="s">
        <v>3</v>
      </c>
      <c r="M6" t="s">
        <v>1</v>
      </c>
      <c r="N6" t="s">
        <v>2</v>
      </c>
      <c r="O6" t="s">
        <v>3</v>
      </c>
      <c r="P6" t="s">
        <v>1</v>
      </c>
      <c r="Q6" t="s">
        <v>2</v>
      </c>
      <c r="R6" t="s">
        <v>3</v>
      </c>
      <c r="S6" t="s">
        <v>1</v>
      </c>
      <c r="T6" t="s">
        <v>2</v>
      </c>
      <c r="U6" t="s">
        <v>3</v>
      </c>
    </row>
    <row r="7" spans="1:21" x14ac:dyDescent="0.2">
      <c r="A7">
        <v>989</v>
      </c>
      <c r="B7" s="1">
        <v>10.534558000000001</v>
      </c>
      <c r="C7">
        <f>3087505000*(1/48000000)</f>
        <v>64.323020833333331</v>
      </c>
      <c r="D7">
        <v>2933</v>
      </c>
      <c r="E7" s="1">
        <v>4.5966519999999997</v>
      </c>
      <c r="F7">
        <f>3246675000*(1/48000000)</f>
        <v>67.639062500000009</v>
      </c>
      <c r="G7">
        <v>8081</v>
      </c>
      <c r="H7" s="1">
        <v>1.1283380000000001</v>
      </c>
      <c r="I7">
        <f>3668330000*(1/48000000)</f>
        <v>76.423541666666665</v>
      </c>
      <c r="J7">
        <v>9878</v>
      </c>
      <c r="K7" s="1">
        <v>1.0651520000000001</v>
      </c>
      <c r="L7">
        <f>3831747000*(1/48000000)</f>
        <v>79.828062500000001</v>
      </c>
      <c r="M7">
        <v>29734</v>
      </c>
      <c r="N7" s="1">
        <v>1.090355</v>
      </c>
      <c r="O7">
        <f>5479059000*(1/48000000)</f>
        <v>114.1470625</v>
      </c>
      <c r="P7">
        <v>80445</v>
      </c>
      <c r="Q7" s="1">
        <v>0.15674199999999999</v>
      </c>
      <c r="R7">
        <f>9710631000*(1/48000000)</f>
        <v>202.30481250000003</v>
      </c>
      <c r="S7">
        <v>99668</v>
      </c>
      <c r="T7" s="1">
        <v>0.19442499999999999</v>
      </c>
      <c r="U7">
        <f>11322885000*(1/48000000)</f>
        <v>235.8934375</v>
      </c>
    </row>
    <row r="8" spans="1:21" x14ac:dyDescent="0.2">
      <c r="B8" s="1">
        <v>11.560155999999999</v>
      </c>
      <c r="C8">
        <f>3085968000*(1/48000000)</f>
        <v>64.290999999999997</v>
      </c>
      <c r="E8" s="1">
        <v>3.8554590000000002</v>
      </c>
      <c r="F8">
        <f>3245105000*(1/48000000)</f>
        <v>67.606354166666677</v>
      </c>
      <c r="H8" s="1">
        <v>0.94689299999999998</v>
      </c>
      <c r="I8">
        <f>3676522000*(1/48000000)</f>
        <v>76.594208333333341</v>
      </c>
      <c r="K8" s="1">
        <v>0.67002300000000004</v>
      </c>
      <c r="L8">
        <f>3831933000*(1/48000000)</f>
        <v>79.831937500000009</v>
      </c>
      <c r="N8" s="1">
        <v>1.0395719999999999</v>
      </c>
      <c r="O8">
        <f>5487243000*(1/48000000)</f>
        <v>114.31756250000001</v>
      </c>
      <c r="Q8" s="1">
        <v>0.17601</v>
      </c>
      <c r="R8">
        <f>9704787000*(1/48000000)</f>
        <v>202.18306250000001</v>
      </c>
      <c r="T8" s="1">
        <v>0.30655399999999999</v>
      </c>
      <c r="U8">
        <f>11281505000*(1/48000000)</f>
        <v>235.03135416666669</v>
      </c>
    </row>
    <row r="9" spans="1:21" x14ac:dyDescent="0.2">
      <c r="B9" s="1">
        <v>11.903948</v>
      </c>
      <c r="C9">
        <f>3084771000*(1/48000000)</f>
        <v>64.266062500000004</v>
      </c>
      <c r="E9" s="1">
        <v>4.7142299999999997</v>
      </c>
      <c r="F9">
        <f>3247487000*(1/48000000)</f>
        <v>67.655979166666668</v>
      </c>
      <c r="H9" s="1">
        <v>0.80397799999999997</v>
      </c>
      <c r="I9">
        <f>3675681000*(1/48000000)</f>
        <v>76.576687500000006</v>
      </c>
      <c r="K9" s="1">
        <v>0.29478700000000002</v>
      </c>
      <c r="L9">
        <f>3834466000*(1/48000000)</f>
        <v>79.884708333333336</v>
      </c>
      <c r="N9" s="1">
        <v>1.4147160000000001</v>
      </c>
      <c r="O9">
        <f>5481614000*(1/48000000)</f>
        <v>114.20029166666667</v>
      </c>
      <c r="Q9" s="1">
        <v>5.6839000000000001E-2</v>
      </c>
      <c r="R9">
        <f>9735549000*(1/48000000)</f>
        <v>202.8239375</v>
      </c>
      <c r="T9" s="1">
        <v>3.4286999999999998E-2</v>
      </c>
      <c r="U9">
        <f>11312509000*(1/48000000)</f>
        <v>235.67727083333335</v>
      </c>
    </row>
    <row r="10" spans="1:21" x14ac:dyDescent="0.2">
      <c r="B10" s="1">
        <v>10.764606000000001</v>
      </c>
      <c r="C10">
        <f>3089261000*(1/48000000)</f>
        <v>64.359604166666671</v>
      </c>
      <c r="E10" s="1">
        <v>4.1647939999999997</v>
      </c>
      <c r="F10">
        <f>3247937000*(1/48000000)</f>
        <v>67.665354166666674</v>
      </c>
      <c r="H10" s="1">
        <v>0.19635900000000001</v>
      </c>
      <c r="I10">
        <f>3673261000*(1/48000000)</f>
        <v>76.526270833333342</v>
      </c>
      <c r="K10" s="1">
        <v>-0.34648899999999999</v>
      </c>
      <c r="L10">
        <f>3834295000*(1/48000000)</f>
        <v>79.881145833333335</v>
      </c>
      <c r="N10" s="1">
        <v>0.53573300000000001</v>
      </c>
      <c r="O10">
        <f>5483678000*(1/48000000)</f>
        <v>114.24329166666668</v>
      </c>
      <c r="Q10" s="1">
        <v>0.24216699999999999</v>
      </c>
      <c r="R10">
        <f>9687911000*(1/48000000)</f>
        <v>201.83147916666667</v>
      </c>
      <c r="T10" s="1">
        <v>0.32130900000000001</v>
      </c>
      <c r="U10">
        <f>11325500000*(1/48000000)</f>
        <v>235.94791666666669</v>
      </c>
    </row>
    <row r="11" spans="1:21" x14ac:dyDescent="0.2">
      <c r="B11" s="1">
        <v>10.703885</v>
      </c>
      <c r="C11">
        <f>3084227000*(1/48000000)</f>
        <v>64.254729166666664</v>
      </c>
      <c r="E11" s="1">
        <v>4.1311330000000002</v>
      </c>
      <c r="F11">
        <f>3248636000*(1/48000000)</f>
        <v>67.679916666666671</v>
      </c>
      <c r="H11" s="1">
        <v>2.3491010000000001</v>
      </c>
      <c r="I11">
        <f>3671210000*(1/48000000)</f>
        <v>76.483541666666667</v>
      </c>
      <c r="K11" s="1">
        <v>0.40386499999999997</v>
      </c>
      <c r="L11">
        <f>3834167000*(1/48000000)</f>
        <v>79.878479166666665</v>
      </c>
      <c r="N11" s="1">
        <v>1.018159</v>
      </c>
      <c r="O11">
        <f>5483954000*(1/48000000)</f>
        <v>114.24904166666667</v>
      </c>
      <c r="Q11" s="1">
        <v>0.15060399999999999</v>
      </c>
      <c r="R11">
        <f>9730570000*(1/48000000)</f>
        <v>202.72020833333335</v>
      </c>
      <c r="T11" s="1">
        <v>1.9668999999999999E-2</v>
      </c>
      <c r="U11">
        <f>11317178000*(1/48000000)</f>
        <v>235.77454166666669</v>
      </c>
    </row>
    <row r="12" spans="1:21" x14ac:dyDescent="0.2">
      <c r="B12" s="1">
        <v>12.772853</v>
      </c>
      <c r="C12">
        <f>3087683000*(1/48000000)</f>
        <v>64.326729166666667</v>
      </c>
      <c r="E12" s="1">
        <v>6.1326640000000001</v>
      </c>
      <c r="F12">
        <f>3247210000*(1/48000000)</f>
        <v>67.650208333333339</v>
      </c>
      <c r="H12" s="1">
        <v>1.1434120000000001</v>
      </c>
      <c r="I12">
        <f>3669409000*(1/48000000)</f>
        <v>76.446020833333336</v>
      </c>
      <c r="K12" s="1">
        <v>2.3648880000000001</v>
      </c>
      <c r="L12">
        <f>3835349000*(1/48000000)</f>
        <v>79.903104166666665</v>
      </c>
      <c r="N12" s="1">
        <v>0.67339700000000002</v>
      </c>
      <c r="O12">
        <f>5482128000*(1/48000000)</f>
        <v>114.21100000000001</v>
      </c>
      <c r="Q12" s="1">
        <v>3.4099999999999998E-2</v>
      </c>
      <c r="R12">
        <f>9705951000*(1/48000000)</f>
        <v>202.2073125</v>
      </c>
      <c r="T12" s="1">
        <v>7.0039999999999998E-3</v>
      </c>
      <c r="U12">
        <f>11267935000*(1/48000000)</f>
        <v>234.74864583333334</v>
      </c>
    </row>
    <row r="13" spans="1:21" x14ac:dyDescent="0.2">
      <c r="B13" s="1">
        <v>11.524588</v>
      </c>
      <c r="C13">
        <f>3088921000*(1/48000000)</f>
        <v>64.352520833333344</v>
      </c>
      <c r="E13" s="1">
        <v>4.218629</v>
      </c>
      <c r="F13">
        <f>3247427000*(1/48000000)</f>
        <v>67.654729166666669</v>
      </c>
      <c r="H13" s="1">
        <v>0.59712799999999999</v>
      </c>
      <c r="I13">
        <f>3669490000*(1/48000000)</f>
        <v>76.447708333333338</v>
      </c>
      <c r="K13" s="1">
        <v>2.4936219999999998</v>
      </c>
      <c r="L13">
        <f>3833550000*(1/48000000)</f>
        <v>79.865625000000009</v>
      </c>
      <c r="N13" s="1">
        <v>0.35625499999999999</v>
      </c>
      <c r="O13">
        <f>5484716000*(1/48000000)</f>
        <v>114.26491666666668</v>
      </c>
      <c r="Q13" s="1">
        <v>0.18468200000000001</v>
      </c>
      <c r="R13">
        <f>9703919000*(1/48000000)</f>
        <v>202.16497916666668</v>
      </c>
      <c r="T13" s="1">
        <v>0.110305</v>
      </c>
      <c r="U13">
        <f>11317031000*(1/48000000)</f>
        <v>235.77147916666669</v>
      </c>
    </row>
    <row r="14" spans="1:21" x14ac:dyDescent="0.2">
      <c r="B14" s="1">
        <v>10.506505000000001</v>
      </c>
      <c r="C14">
        <f>3087555000*(1/48000000)</f>
        <v>64.324062500000011</v>
      </c>
      <c r="E14" s="1">
        <v>3.0179390000000001</v>
      </c>
      <c r="F14">
        <f>3248405000*(1/48000000)</f>
        <v>67.675104166666671</v>
      </c>
      <c r="H14" s="1">
        <v>0.91102700000000003</v>
      </c>
      <c r="I14">
        <f>3670691000*(1/48000000)</f>
        <v>76.472729166666667</v>
      </c>
      <c r="K14" s="1">
        <v>0.93725999999999998</v>
      </c>
      <c r="L14">
        <f>3834463000*(1/48000000)</f>
        <v>79.884645833333337</v>
      </c>
      <c r="N14" s="1">
        <v>1.1564989999999999</v>
      </c>
      <c r="O14">
        <f>5483271000*(1/48000000)</f>
        <v>114.2348125</v>
      </c>
      <c r="Q14" s="1">
        <v>1.9503E-2</v>
      </c>
      <c r="R14">
        <f>9701615000*(1/48000000)</f>
        <v>202.11697916666668</v>
      </c>
      <c r="T14" s="1">
        <v>0.58712900000000001</v>
      </c>
      <c r="U14">
        <f>11316475000*(1/48000000)</f>
        <v>235.75989583333336</v>
      </c>
    </row>
    <row r="15" spans="1:21" x14ac:dyDescent="0.2">
      <c r="B15" s="1">
        <v>9.7973320000000008</v>
      </c>
      <c r="C15">
        <f>3087149000*(1/48000000)</f>
        <v>64.315604166666674</v>
      </c>
      <c r="E15" s="1">
        <v>4.1096409999999999</v>
      </c>
      <c r="F15">
        <f>3247503000*(1/48000000)</f>
        <v>67.656312499999999</v>
      </c>
      <c r="H15" s="1">
        <v>0.57487500000000002</v>
      </c>
      <c r="I15">
        <f>3672011000*(1/48000000)</f>
        <v>76.500229166666671</v>
      </c>
      <c r="K15" s="1">
        <v>2.9504730000000001</v>
      </c>
      <c r="L15">
        <f>3832595000*(1/48000000)</f>
        <v>79.845729166666672</v>
      </c>
      <c r="N15" s="1">
        <v>0.73353999999999997</v>
      </c>
      <c r="O15">
        <f>5483593000*(1/48000000)</f>
        <v>114.24152083333334</v>
      </c>
      <c r="Q15" s="1">
        <v>0.27854899999999999</v>
      </c>
      <c r="R15">
        <f>9713237000*(1/48000000)</f>
        <v>202.35910416666667</v>
      </c>
      <c r="T15" s="1">
        <v>0.29282000000000002</v>
      </c>
      <c r="U15">
        <f>11317524000*(1/48000000)</f>
        <v>235.78175000000002</v>
      </c>
    </row>
    <row r="16" spans="1:21" x14ac:dyDescent="0.2">
      <c r="B16" s="1">
        <v>11.309533999999999</v>
      </c>
      <c r="C16">
        <f>3088637000*(1/48000000)</f>
        <v>64.346604166666665</v>
      </c>
      <c r="E16" s="1">
        <v>4.0650430000000002</v>
      </c>
      <c r="F16">
        <f>3251672000*(1/48000000)</f>
        <v>67.743166666666667</v>
      </c>
      <c r="H16" s="1">
        <v>1.2877879999999999</v>
      </c>
      <c r="I16">
        <f>3670736000*(1/48000000)</f>
        <v>76.473666666666674</v>
      </c>
      <c r="K16" s="1">
        <v>1.8476140000000001</v>
      </c>
      <c r="L16">
        <f>3835328000*(1/48000000)</f>
        <v>79.902666666666676</v>
      </c>
      <c r="N16" s="1">
        <v>1.4000250000000001</v>
      </c>
      <c r="O16">
        <f>5483195000*(1/48000000)</f>
        <v>114.23322916666667</v>
      </c>
      <c r="Q16" s="1">
        <v>0.19637099999999999</v>
      </c>
      <c r="R16">
        <f>9705624000*(1/48000000)</f>
        <v>202.20050000000001</v>
      </c>
      <c r="T16" s="1">
        <v>0.40405400000000002</v>
      </c>
      <c r="U16">
        <f>11323206000*(1/48000000)</f>
        <v>235.900125</v>
      </c>
    </row>
    <row r="17" spans="1:21" x14ac:dyDescent="0.2">
      <c r="B17" s="1">
        <v>9.2364549999999994</v>
      </c>
      <c r="C17">
        <f>3085966000*(1/48000000)</f>
        <v>64.290958333333336</v>
      </c>
      <c r="E17" s="1">
        <v>5.2021940000000004</v>
      </c>
      <c r="F17">
        <f>3248303000*(1/48000000)</f>
        <v>67.672979166666664</v>
      </c>
      <c r="H17" s="1">
        <v>1.1388069999999999</v>
      </c>
      <c r="I17">
        <f>3674216000*(1/48000000)</f>
        <v>76.546166666666664</v>
      </c>
      <c r="K17" s="1">
        <v>0.59752799999999995</v>
      </c>
      <c r="L17">
        <f>3830684000*(1/48000000)</f>
        <v>79.805916666666675</v>
      </c>
      <c r="N17" s="1">
        <v>1.391751</v>
      </c>
      <c r="O17">
        <f>5478886000*(1/48000000)</f>
        <v>114.14345833333334</v>
      </c>
      <c r="Q17" s="1">
        <v>8.0837000000000006E-2</v>
      </c>
      <c r="R17">
        <f>9701027000*(1/48000000)</f>
        <v>202.10472916666669</v>
      </c>
      <c r="T17" s="1">
        <v>0.34561700000000001</v>
      </c>
      <c r="U17">
        <f>11278999000*(1/48000000)</f>
        <v>234.97914583333335</v>
      </c>
    </row>
    <row r="18" spans="1:21" x14ac:dyDescent="0.2">
      <c r="B18" s="1">
        <v>11.027557</v>
      </c>
      <c r="C18">
        <f>3089006000*(1/48000000)</f>
        <v>64.354291666666668</v>
      </c>
      <c r="E18" s="1">
        <v>4.1943339999999996</v>
      </c>
      <c r="F18">
        <f>3249039000*(1/48000000)</f>
        <v>67.688312500000009</v>
      </c>
      <c r="H18" s="1">
        <v>2.5593520000000001</v>
      </c>
      <c r="I18">
        <f>3674401000*(1/48000000)</f>
        <v>76.550020833333335</v>
      </c>
      <c r="K18" s="1">
        <v>1.022116</v>
      </c>
      <c r="L18">
        <f>3831949000*(1/48000000)</f>
        <v>79.83227083333334</v>
      </c>
      <c r="N18" s="1">
        <v>1.210342</v>
      </c>
      <c r="O18">
        <f>5490933000*(1/48000000)</f>
        <v>114.39443750000001</v>
      </c>
      <c r="Q18" s="1">
        <v>0.15221699999999999</v>
      </c>
      <c r="R18">
        <f>9706078000*(1/48000000)</f>
        <v>202.20995833333333</v>
      </c>
      <c r="T18" s="1">
        <v>0.90292700000000004</v>
      </c>
      <c r="U18">
        <f>11319916000*(1/48000000)</f>
        <v>235.83158333333336</v>
      </c>
    </row>
    <row r="19" spans="1:21" x14ac:dyDescent="0.2">
      <c r="B19" s="1">
        <v>11.558107</v>
      </c>
      <c r="C19">
        <f>3086361000*(1/48000000)</f>
        <v>64.299187500000002</v>
      </c>
      <c r="E19" s="1">
        <v>4.47525</v>
      </c>
      <c r="F19">
        <f>3247365000*(1/48000000)</f>
        <v>67.65343750000001</v>
      </c>
      <c r="H19" s="1">
        <v>1.2353270000000001</v>
      </c>
      <c r="I19">
        <f>3671892000*(1/48000000)</f>
        <v>76.497750000000011</v>
      </c>
      <c r="K19" s="1">
        <v>1.9039509999999999</v>
      </c>
      <c r="L19">
        <f>3831524000*(1/48000000)</f>
        <v>79.823416666666674</v>
      </c>
      <c r="N19" s="1">
        <v>0.91489799999999999</v>
      </c>
      <c r="O19">
        <f>5480953000*(1/48000000)</f>
        <v>114.18652083333335</v>
      </c>
      <c r="Q19" s="1">
        <v>0.267341</v>
      </c>
      <c r="R19">
        <f>9713900000*(1/48000000)</f>
        <v>202.37291666666667</v>
      </c>
      <c r="T19" s="1">
        <v>0.74772400000000006</v>
      </c>
      <c r="U19">
        <f>11307310000*(1/48000000)</f>
        <v>235.56895833333334</v>
      </c>
    </row>
    <row r="20" spans="1:21" x14ac:dyDescent="0.2">
      <c r="B20" s="1">
        <v>12.473504</v>
      </c>
      <c r="C20">
        <f>3087149000*(1/48000000)</f>
        <v>64.315604166666674</v>
      </c>
      <c r="E20" s="1">
        <v>4.5332850000000002</v>
      </c>
      <c r="F20">
        <f>3243182000*(1/48000000)</f>
        <v>67.566291666666672</v>
      </c>
      <c r="H20" s="1">
        <v>0.34302700000000003</v>
      </c>
      <c r="I20">
        <f>3670630000*(1/48000000)</f>
        <v>76.471458333333331</v>
      </c>
      <c r="K20" s="1">
        <v>0.61752399999999996</v>
      </c>
      <c r="L20">
        <f>3832887000*(1/48000000)</f>
        <v>79.851812500000008</v>
      </c>
      <c r="N20" s="1">
        <v>2.2987609999999998</v>
      </c>
      <c r="O20">
        <f>5481742000*(1/48000000)</f>
        <v>114.20295833333334</v>
      </c>
      <c r="Q20" s="1">
        <v>0.58104199999999995</v>
      </c>
      <c r="R20">
        <f>9713420000*(1/48000000)</f>
        <v>202.36291666666668</v>
      </c>
      <c r="T20" s="1">
        <v>0.39785700000000002</v>
      </c>
      <c r="U20">
        <f>11319893000*(1/48000000)</f>
        <v>235.83110416666668</v>
      </c>
    </row>
    <row r="21" spans="1:21" x14ac:dyDescent="0.2">
      <c r="B21" s="1">
        <v>11.086378</v>
      </c>
      <c r="C21">
        <f>3087149000*(1/48000000)</f>
        <v>64.315604166666674</v>
      </c>
      <c r="E21" s="1">
        <v>5.5034280000000004</v>
      </c>
      <c r="F21">
        <f>3243763000*(1/48000000)</f>
        <v>67.578395833333332</v>
      </c>
      <c r="H21" s="1">
        <v>0.44074600000000003</v>
      </c>
      <c r="I21">
        <f>3673574000*(1/48000000)</f>
        <v>76.532791666666668</v>
      </c>
      <c r="K21" s="1">
        <v>0.81056700000000004</v>
      </c>
      <c r="L21">
        <f>3829407000*(1/48000000)</f>
        <v>79.779312500000003</v>
      </c>
      <c r="N21" s="1">
        <v>0.97915799999999997</v>
      </c>
      <c r="O21">
        <f>5481360000*(1/48000000)</f>
        <v>114.19500000000001</v>
      </c>
      <c r="Q21" s="1">
        <v>0.25887700000000002</v>
      </c>
      <c r="R21">
        <f>9709775000*(1/48000000)</f>
        <v>202.28697916666667</v>
      </c>
      <c r="T21" s="1">
        <v>0.60671200000000003</v>
      </c>
      <c r="U21">
        <f>11308367000*(1/48000000)</f>
        <v>235.59097916666667</v>
      </c>
    </row>
    <row r="22" spans="1:21" x14ac:dyDescent="0.2">
      <c r="B22" s="1">
        <v>12.016648999999999</v>
      </c>
      <c r="C22">
        <f>3087149000*(1/48000000)</f>
        <v>64.315604166666674</v>
      </c>
      <c r="E22" s="1">
        <v>5.0450400000000002</v>
      </c>
      <c r="F22">
        <f>3247526000*(1/48000000)</f>
        <v>67.656791666666678</v>
      </c>
      <c r="H22" s="1">
        <v>1.5368170000000001</v>
      </c>
      <c r="I22">
        <f>3673574000*(1/48000000)</f>
        <v>76.532791666666668</v>
      </c>
      <c r="K22" s="1">
        <v>1.319167</v>
      </c>
      <c r="L22">
        <f>3831245000*(1/48000000)</f>
        <v>79.817604166666669</v>
      </c>
      <c r="N22" s="1">
        <v>1.061313</v>
      </c>
      <c r="O22">
        <f>5483946000*(1/48000000)</f>
        <v>114.24887500000001</v>
      </c>
      <c r="Q22" s="1">
        <v>0.32125700000000001</v>
      </c>
      <c r="R22">
        <f>9697561000*(1/48000000)</f>
        <v>202.03252083333334</v>
      </c>
      <c r="T22" s="1">
        <v>0.17343700000000001</v>
      </c>
      <c r="U22">
        <f>11321263000*(1/48000000)</f>
        <v>235.85964583333336</v>
      </c>
    </row>
    <row r="23" spans="1:21" x14ac:dyDescent="0.2">
      <c r="B23" s="1"/>
      <c r="C23" s="1"/>
      <c r="E23" s="1"/>
      <c r="F23" s="1"/>
      <c r="H23" s="1"/>
      <c r="I23" s="1"/>
      <c r="L23" s="1">
        <v>3828262000</v>
      </c>
      <c r="N23" s="1"/>
      <c r="O23" s="1">
        <v>5479381000</v>
      </c>
      <c r="Q23" s="1"/>
      <c r="R23" s="1"/>
      <c r="T23" s="1"/>
      <c r="U23" s="1"/>
    </row>
    <row r="24" spans="1:21" x14ac:dyDescent="0.2">
      <c r="B24" s="1"/>
      <c r="C24" s="1"/>
      <c r="E24" s="1"/>
      <c r="F24" s="1"/>
      <c r="H24" s="1"/>
      <c r="I24" s="1"/>
      <c r="L24" s="1"/>
      <c r="N24" s="1"/>
      <c r="Q24" s="1"/>
      <c r="R24" s="1"/>
      <c r="T24" s="1"/>
      <c r="U24" s="1"/>
    </row>
    <row r="25" spans="1:21" x14ac:dyDescent="0.2">
      <c r="B25" s="1"/>
      <c r="C25" s="1"/>
      <c r="E25" s="1"/>
      <c r="F25" s="1"/>
      <c r="H25" s="1"/>
      <c r="I25" s="1"/>
      <c r="L25" s="1"/>
      <c r="Q25" s="1"/>
      <c r="T25" s="1"/>
      <c r="U25" s="1"/>
    </row>
    <row r="26" spans="1:21" x14ac:dyDescent="0.2">
      <c r="B26" s="1"/>
      <c r="E26" s="1"/>
      <c r="F26" s="1"/>
      <c r="H26" s="1"/>
      <c r="I26" s="1"/>
      <c r="L26" s="1"/>
      <c r="Q26" s="1"/>
      <c r="T26" s="1"/>
      <c r="U26" s="1"/>
    </row>
    <row r="27" spans="1:21" x14ac:dyDescent="0.2">
      <c r="E27" s="1"/>
      <c r="F27" s="1"/>
      <c r="H27" s="1"/>
      <c r="I27" s="1"/>
      <c r="L27" s="1"/>
      <c r="Q27" s="1"/>
      <c r="S27">
        <f>11306231000*(1/48000000)</f>
        <v>235.54647916666667</v>
      </c>
      <c r="U27">
        <f>17878041000*(1/48000000)</f>
        <v>372.45918750000004</v>
      </c>
    </row>
    <row r="28" spans="1:21" x14ac:dyDescent="0.2">
      <c r="E28" s="1"/>
      <c r="H28" s="1"/>
      <c r="I28" s="1"/>
      <c r="Q28" s="1"/>
      <c r="S28">
        <f>11310752000*(1/48000000)</f>
        <v>235.64066666666668</v>
      </c>
      <c r="U28">
        <f>18047099000*(1/48000000)</f>
        <v>375.98122916666671</v>
      </c>
    </row>
    <row r="29" spans="1:21" x14ac:dyDescent="0.2">
      <c r="A29">
        <f>AVERAGE(A7:A22)</f>
        <v>989</v>
      </c>
      <c r="B29">
        <f t="shared" ref="B29:C29" si="0">AVERAGE(B7:B22)</f>
        <v>11.1735384375</v>
      </c>
      <c r="C29">
        <f t="shared" si="0"/>
        <v>64.315699218749998</v>
      </c>
      <c r="U29">
        <f>17731978000*(1/48000000)</f>
        <v>369.41620833333337</v>
      </c>
    </row>
    <row r="30" spans="1:21" x14ac:dyDescent="0.2">
      <c r="A30">
        <f>AVERAGE(D7:D22)</f>
        <v>2933</v>
      </c>
      <c r="B30">
        <f>AVERAGE(E7:E22)</f>
        <v>4.4974821875000002</v>
      </c>
      <c r="C30">
        <f>AVERAGE(F7:F22)</f>
        <v>67.652649739583339</v>
      </c>
      <c r="U30">
        <f>17850507000*(1/48000000)</f>
        <v>371.88556250000005</v>
      </c>
    </row>
    <row r="31" spans="1:21" x14ac:dyDescent="0.2">
      <c r="A31">
        <f>AVERAGE(G7:G22)</f>
        <v>8081</v>
      </c>
      <c r="B31">
        <f>AVERAGE(H7:H22)</f>
        <v>1.0745609375</v>
      </c>
      <c r="C31">
        <f>AVERAGE(I7:I22)</f>
        <v>76.504723958333344</v>
      </c>
      <c r="U31">
        <f>17859302000*(1/48000000)</f>
        <v>372.0687916666667</v>
      </c>
    </row>
    <row r="32" spans="1:21" x14ac:dyDescent="0.2">
      <c r="A32">
        <f>AVERAGE(J7:J22)</f>
        <v>9878</v>
      </c>
      <c r="B32">
        <f>AVERAGE(K7:K22)</f>
        <v>1.1845030000000001</v>
      </c>
      <c r="C32">
        <f>AVERAGE(L7:L22)</f>
        <v>79.851027343750005</v>
      </c>
      <c r="U32">
        <f>17837448000*(1/48000000)</f>
        <v>371.61350000000004</v>
      </c>
    </row>
    <row r="33" spans="1:21" x14ac:dyDescent="0.2">
      <c r="A33">
        <f>AVERAGE(M7:M22)</f>
        <v>29734</v>
      </c>
      <c r="B33">
        <f>AVERAGE(N7:N22)</f>
        <v>1.0796546249999999</v>
      </c>
      <c r="C33">
        <f>AVERAGE(O7:O22)</f>
        <v>114.23212369791668</v>
      </c>
      <c r="U33">
        <f>17852653000*(1/48000000)</f>
        <v>371.93027083333334</v>
      </c>
    </row>
    <row r="34" spans="1:21" x14ac:dyDescent="0.2">
      <c r="A34">
        <f>AVERAGE(P7:P22)</f>
        <v>80445</v>
      </c>
      <c r="B34">
        <f>AVERAGE(Q7:Q22)</f>
        <v>0.19732112500000001</v>
      </c>
      <c r="C34">
        <f>AVERAGE(R7:R22)</f>
        <v>202.26764973958333</v>
      </c>
      <c r="U34">
        <f>17937576000*(1/48000000)</f>
        <v>373.6995</v>
      </c>
    </row>
    <row r="35" spans="1:21" x14ac:dyDescent="0.2">
      <c r="A35">
        <f>AVERAGE(S7:S22)</f>
        <v>99668</v>
      </c>
      <c r="B35">
        <f>AVERAGE(T7:T22)</f>
        <v>0.34073937500000001</v>
      </c>
      <c r="C35">
        <f>AVERAGE(U7:U22)</f>
        <v>235.62173958333332</v>
      </c>
      <c r="U35">
        <f>17910391000*(1/48000000)</f>
        <v>373.13314583333334</v>
      </c>
    </row>
    <row r="36" spans="1:21" x14ac:dyDescent="0.2">
      <c r="U36">
        <f>17925402000*(1/48000000)</f>
        <v>373.445875</v>
      </c>
    </row>
    <row r="37" spans="1:21" x14ac:dyDescent="0.2">
      <c r="U37">
        <f>17849204000*(1/48000000)</f>
        <v>371.8584166666667</v>
      </c>
    </row>
    <row r="38" spans="1:21" x14ac:dyDescent="0.2">
      <c r="U38">
        <f>17761922000*(1/48000000)</f>
        <v>370.0400416666667</v>
      </c>
    </row>
    <row r="39" spans="1:21" x14ac:dyDescent="0.2">
      <c r="U39">
        <f>17845285000*(1/48000000)</f>
        <v>371.77677083333333</v>
      </c>
    </row>
    <row r="40" spans="1:21" x14ac:dyDescent="0.2">
      <c r="U40">
        <f>17860564000*(1/48000000)</f>
        <v>372.09508333333338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F6" sqref="F6:G6"/>
    </sheetView>
  </sheetViews>
  <sheetFormatPr baseColWidth="10" defaultRowHeight="16" x14ac:dyDescent="0.2"/>
  <sheetData>
    <row r="1" spans="1:5" x14ac:dyDescent="0.2">
      <c r="A1" t="s">
        <v>1</v>
      </c>
      <c r="B1" t="s">
        <v>2</v>
      </c>
      <c r="C1" t="s">
        <v>3</v>
      </c>
      <c r="D1" s="4">
        <v>1</v>
      </c>
    </row>
    <row r="2" spans="1:5" x14ac:dyDescent="0.2">
      <c r="A2">
        <v>989</v>
      </c>
      <c r="B2">
        <v>29.917541142857143</v>
      </c>
      <c r="C2">
        <v>28.562240171842856</v>
      </c>
      <c r="D2" s="4"/>
      <c r="E2">
        <v>28</v>
      </c>
    </row>
    <row r="3" spans="1:5" x14ac:dyDescent="0.2">
      <c r="A3">
        <v>2933</v>
      </c>
      <c r="B3">
        <v>11.079200642857144</v>
      </c>
      <c r="C3">
        <v>29.355853485392856</v>
      </c>
      <c r="D3" s="4"/>
    </row>
    <row r="4" spans="1:5" x14ac:dyDescent="0.2">
      <c r="A4">
        <v>8081</v>
      </c>
      <c r="B4">
        <v>2.1743811428571429</v>
      </c>
      <c r="C4">
        <v>31.345923217942858</v>
      </c>
      <c r="D4" s="4"/>
    </row>
    <row r="5" spans="1:5" x14ac:dyDescent="0.2">
      <c r="A5">
        <v>9878</v>
      </c>
      <c r="B5">
        <v>1.8755355</v>
      </c>
      <c r="C5">
        <v>32.067587241849999</v>
      </c>
      <c r="D5" s="4"/>
    </row>
    <row r="6" spans="1:5" x14ac:dyDescent="0.2">
      <c r="A6">
        <v>29734</v>
      </c>
      <c r="B6">
        <v>1.3683020714285714</v>
      </c>
      <c r="C6">
        <v>40.097561011904759</v>
      </c>
      <c r="D6" s="4"/>
    </row>
    <row r="7" spans="1:5" x14ac:dyDescent="0.2">
      <c r="A7">
        <v>80445</v>
      </c>
      <c r="B7">
        <v>1.2283675000000003</v>
      </c>
      <c r="C7">
        <v>60.771111607142856</v>
      </c>
      <c r="D7" s="4"/>
    </row>
    <row r="8" spans="1:5" x14ac:dyDescent="0.2">
      <c r="A8">
        <v>99668</v>
      </c>
      <c r="B8">
        <v>1.0621895714285714</v>
      </c>
      <c r="C8">
        <v>68.359877976190489</v>
      </c>
      <c r="D8" s="4"/>
    </row>
    <row r="9" spans="1:5" x14ac:dyDescent="0.2">
      <c r="A9" t="s">
        <v>1</v>
      </c>
      <c r="B9" t="s">
        <v>2</v>
      </c>
      <c r="C9" t="s">
        <v>3</v>
      </c>
      <c r="D9" s="4">
        <v>2</v>
      </c>
    </row>
    <row r="10" spans="1:5" x14ac:dyDescent="0.2">
      <c r="A10">
        <v>989</v>
      </c>
      <c r="B10">
        <v>9.291167642857145</v>
      </c>
      <c r="C10">
        <v>64.315699218749998</v>
      </c>
      <c r="D10" s="4"/>
      <c r="E10">
        <v>57</v>
      </c>
    </row>
    <row r="11" spans="1:5" x14ac:dyDescent="0.2">
      <c r="A11">
        <v>2933</v>
      </c>
      <c r="B11">
        <v>4.4974821875000002</v>
      </c>
      <c r="C11">
        <v>67.652649739583339</v>
      </c>
      <c r="D11" s="4"/>
    </row>
    <row r="12" spans="1:5" x14ac:dyDescent="0.2">
      <c r="A12">
        <v>8081</v>
      </c>
      <c r="B12">
        <v>1.0745609375</v>
      </c>
      <c r="C12">
        <v>76.504723958333344</v>
      </c>
      <c r="D12" s="4"/>
    </row>
    <row r="13" spans="1:5" x14ac:dyDescent="0.2">
      <c r="A13">
        <v>9878</v>
      </c>
      <c r="B13">
        <v>1.1845030000000001</v>
      </c>
      <c r="C13">
        <v>79.851027343750005</v>
      </c>
      <c r="D13" s="4"/>
    </row>
    <row r="14" spans="1:5" x14ac:dyDescent="0.2">
      <c r="A14">
        <v>29734</v>
      </c>
      <c r="B14">
        <v>0.77965462500000005</v>
      </c>
      <c r="C14">
        <v>114.23212369791668</v>
      </c>
      <c r="D14" s="4"/>
    </row>
    <row r="15" spans="1:5" x14ac:dyDescent="0.2">
      <c r="A15">
        <v>80445</v>
      </c>
      <c r="B15">
        <v>0.397321125</v>
      </c>
      <c r="C15">
        <v>202.26764973958333</v>
      </c>
      <c r="D15" s="4"/>
    </row>
    <row r="16" spans="1:5" x14ac:dyDescent="0.2">
      <c r="A16">
        <v>99668</v>
      </c>
      <c r="B16">
        <v>0.34073937500000001</v>
      </c>
      <c r="C16">
        <v>235.62173958333332</v>
      </c>
      <c r="D16" s="4"/>
    </row>
    <row r="17" spans="1:5" x14ac:dyDescent="0.2">
      <c r="A17" t="s">
        <v>1</v>
      </c>
      <c r="B17" t="s">
        <v>2</v>
      </c>
      <c r="C17" t="s">
        <v>3</v>
      </c>
      <c r="D17" s="4">
        <v>3</v>
      </c>
      <c r="E17">
        <v>13</v>
      </c>
    </row>
    <row r="18" spans="1:5" x14ac:dyDescent="0.2">
      <c r="A18">
        <v>989</v>
      </c>
      <c r="B18">
        <v>19.27563352941176</v>
      </c>
      <c r="C18">
        <v>13.541290800600001</v>
      </c>
      <c r="D18" s="4"/>
    </row>
    <row r="19" spans="1:5" x14ac:dyDescent="0.2">
      <c r="A19">
        <v>2933</v>
      </c>
      <c r="B19">
        <v>13.092927823529413</v>
      </c>
      <c r="C19">
        <v>14.300923163617647</v>
      </c>
      <c r="D19" s="4"/>
    </row>
    <row r="20" spans="1:5" x14ac:dyDescent="0.2">
      <c r="A20">
        <v>8081</v>
      </c>
      <c r="B20">
        <v>22.199739176470594</v>
      </c>
      <c r="C20">
        <v>16.3690154429</v>
      </c>
      <c r="D20" s="4"/>
    </row>
    <row r="21" spans="1:5" x14ac:dyDescent="0.2">
      <c r="A21">
        <v>9878</v>
      </c>
      <c r="B21">
        <v>21.450674117647058</v>
      </c>
      <c r="C21">
        <v>17.140335287217646</v>
      </c>
      <c r="D21" s="4"/>
    </row>
    <row r="22" spans="1:5" x14ac:dyDescent="0.2">
      <c r="A22">
        <v>29734</v>
      </c>
      <c r="B22">
        <v>24.762945235294119</v>
      </c>
      <c r="C22">
        <v>25.148133749229409</v>
      </c>
      <c r="D22" s="4"/>
    </row>
    <row r="23" spans="1:5" x14ac:dyDescent="0.2">
      <c r="A23">
        <v>80445</v>
      </c>
      <c r="B23">
        <v>24.323580882352942</v>
      </c>
      <c r="C23">
        <v>45.768616687776465</v>
      </c>
      <c r="D23" s="4"/>
    </row>
    <row r="24" spans="1:5" x14ac:dyDescent="0.2">
      <c r="A24">
        <v>99668</v>
      </c>
      <c r="B24">
        <v>23.870857000000001</v>
      </c>
      <c r="C24">
        <v>53.59150245545294</v>
      </c>
      <c r="D24" s="4"/>
    </row>
    <row r="25" spans="1:5" x14ac:dyDescent="0.2">
      <c r="A25" t="s">
        <v>1</v>
      </c>
      <c r="B25" t="s">
        <v>2</v>
      </c>
      <c r="C25" t="s">
        <v>3</v>
      </c>
      <c r="D25" s="4">
        <v>4</v>
      </c>
    </row>
    <row r="26" spans="1:5" x14ac:dyDescent="0.2">
      <c r="A26">
        <v>989</v>
      </c>
      <c r="B26">
        <v>3.6822118333333336</v>
      </c>
      <c r="C26">
        <v>48.824329288355557</v>
      </c>
      <c r="D26" s="4"/>
    </row>
    <row r="27" spans="1:5" x14ac:dyDescent="0.2">
      <c r="A27">
        <v>2933</v>
      </c>
      <c r="B27">
        <v>2.8444116666666668</v>
      </c>
      <c r="C27">
        <v>52.734644791100003</v>
      </c>
      <c r="D27" s="4"/>
    </row>
    <row r="28" spans="1:5" x14ac:dyDescent="0.2">
      <c r="A28">
        <v>8081</v>
      </c>
      <c r="B28">
        <v>6.2237518888888896</v>
      </c>
      <c r="C28">
        <v>61.115945038405549</v>
      </c>
      <c r="D28" s="4"/>
      <c r="E28">
        <v>61</v>
      </c>
    </row>
    <row r="29" spans="1:5" x14ac:dyDescent="0.2">
      <c r="A29">
        <v>9878</v>
      </c>
      <c r="B29">
        <v>4.8164425</v>
      </c>
      <c r="C29">
        <v>68.486349912405558</v>
      </c>
      <c r="D29" s="4"/>
    </row>
    <row r="30" spans="1:5" x14ac:dyDescent="0.2">
      <c r="A30">
        <v>29734</v>
      </c>
      <c r="B30">
        <v>7.0592071111111103</v>
      </c>
      <c r="C30">
        <v>97.964165016344452</v>
      </c>
      <c r="D30" s="4"/>
    </row>
    <row r="31" spans="1:5" x14ac:dyDescent="0.2">
      <c r="A31">
        <v>80445</v>
      </c>
      <c r="B31">
        <v>7.2381873888888908</v>
      </c>
      <c r="C31">
        <v>184.70020563660557</v>
      </c>
      <c r="D31" s="4"/>
    </row>
    <row r="32" spans="1:5" x14ac:dyDescent="0.2">
      <c r="A32">
        <v>99668</v>
      </c>
      <c r="B32">
        <v>7.9564217222222213</v>
      </c>
      <c r="C32">
        <v>217.91476128952775</v>
      </c>
      <c r="D32" s="4"/>
    </row>
    <row r="34" spans="1:2" x14ac:dyDescent="0.2">
      <c r="A34">
        <v>989</v>
      </c>
      <c r="B34">
        <v>37.958553882352945</v>
      </c>
    </row>
    <row r="35" spans="1:2" x14ac:dyDescent="0.2">
      <c r="A35">
        <v>2933</v>
      </c>
      <c r="B35">
        <v>10.576929823529413</v>
      </c>
    </row>
    <row r="36" spans="1:2" x14ac:dyDescent="0.2">
      <c r="A36">
        <v>8081</v>
      </c>
      <c r="B36">
        <v>3.8061686470588239</v>
      </c>
    </row>
    <row r="37" spans="1:2" x14ac:dyDescent="0.2">
      <c r="A37">
        <v>9878</v>
      </c>
      <c r="B37">
        <v>2.6311317647058829</v>
      </c>
    </row>
    <row r="38" spans="1:2" x14ac:dyDescent="0.2">
      <c r="A38">
        <v>29734</v>
      </c>
      <c r="B38">
        <v>0.47503817647058827</v>
      </c>
    </row>
    <row r="39" spans="1:2" x14ac:dyDescent="0.2">
      <c r="A39">
        <v>80445</v>
      </c>
      <c r="B39">
        <v>0.28659488235294117</v>
      </c>
    </row>
    <row r="40" spans="1:2" x14ac:dyDescent="0.2">
      <c r="A40">
        <v>99668</v>
      </c>
      <c r="B40">
        <v>0.1050575294117647</v>
      </c>
    </row>
  </sheetData>
  <mergeCells count="4">
    <mergeCell ref="D1:D8"/>
    <mergeCell ref="D9:D16"/>
    <mergeCell ref="D17:D24"/>
    <mergeCell ref="D25:D3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opLeftCell="A4" zoomScale="86" workbookViewId="0">
      <selection activeCell="P36" sqref="P36"/>
    </sheetView>
  </sheetViews>
  <sheetFormatPr baseColWidth="10" defaultRowHeight="16" x14ac:dyDescent="0.2"/>
  <cols>
    <col min="15" max="15" width="12.83203125" bestFit="1" customWidth="1"/>
    <col min="16" max="16" width="12" bestFit="1" customWidth="1"/>
    <col min="18" max="18" width="12.83203125" bestFit="1" customWidth="1"/>
    <col min="21" max="21" width="12.83203125" bestFit="1" customWidth="1"/>
  </cols>
  <sheetData>
    <row r="1" spans="1:26" x14ac:dyDescent="0.2">
      <c r="A1" t="s">
        <v>4</v>
      </c>
    </row>
    <row r="2" spans="1:26" x14ac:dyDescent="0.2">
      <c r="A2" t="s">
        <v>0</v>
      </c>
    </row>
    <row r="3" spans="1:26" x14ac:dyDescent="0.2">
      <c r="A3" t="s">
        <v>5</v>
      </c>
    </row>
    <row r="4" spans="1:26" x14ac:dyDescent="0.2">
      <c r="O4" s="2">
        <v>2.0833299999999998E-8</v>
      </c>
    </row>
    <row r="6" spans="1:26" x14ac:dyDescent="0.2">
      <c r="A6" t="s">
        <v>1</v>
      </c>
      <c r="B6" t="s">
        <v>2</v>
      </c>
      <c r="C6" t="s">
        <v>3</v>
      </c>
      <c r="D6" t="s">
        <v>1</v>
      </c>
      <c r="E6" t="s">
        <v>2</v>
      </c>
      <c r="F6" t="s">
        <v>3</v>
      </c>
      <c r="G6" t="s">
        <v>1</v>
      </c>
      <c r="H6" t="s">
        <v>2</v>
      </c>
      <c r="I6" t="s">
        <v>3</v>
      </c>
      <c r="J6" t="s">
        <v>1</v>
      </c>
      <c r="K6" t="s">
        <v>2</v>
      </c>
      <c r="L6" t="s">
        <v>3</v>
      </c>
      <c r="M6" t="s">
        <v>1</v>
      </c>
      <c r="N6" t="s">
        <v>2</v>
      </c>
      <c r="O6" t="s">
        <v>3</v>
      </c>
      <c r="P6" t="s">
        <v>1</v>
      </c>
      <c r="Q6" t="s">
        <v>2</v>
      </c>
      <c r="R6" t="s">
        <v>3</v>
      </c>
      <c r="S6" t="s">
        <v>1</v>
      </c>
      <c r="T6" t="s">
        <v>2</v>
      </c>
      <c r="U6" t="s">
        <v>3</v>
      </c>
      <c r="X6" s="3">
        <v>989</v>
      </c>
      <c r="Y6" s="3">
        <v>29.191342429999999</v>
      </c>
      <c r="Z6" s="3">
        <v>28.874209749999999</v>
      </c>
    </row>
    <row r="7" spans="1:26" x14ac:dyDescent="0.2">
      <c r="A7">
        <v>989</v>
      </c>
      <c r="B7" s="1">
        <v>25.41855</v>
      </c>
      <c r="C7" s="2">
        <v>49.607878960599997</v>
      </c>
      <c r="D7">
        <v>2933</v>
      </c>
      <c r="E7" s="1">
        <v>6.0848389999999997</v>
      </c>
      <c r="F7" s="2">
        <v>50.398627695399995</v>
      </c>
      <c r="G7">
        <v>8081</v>
      </c>
      <c r="H7" s="1">
        <v>-0.30993999999999999</v>
      </c>
      <c r="I7" s="2">
        <v>52.422582790399993</v>
      </c>
      <c r="J7">
        <v>9878</v>
      </c>
      <c r="K7" s="1">
        <v>-0.49966300000000002</v>
      </c>
      <c r="L7" s="2">
        <v>53.123977501499994</v>
      </c>
      <c r="M7">
        <v>29734</v>
      </c>
      <c r="N7" s="1">
        <v>0.53530699999999998</v>
      </c>
      <c r="O7" s="2">
        <v>61.087923092499992</v>
      </c>
      <c r="P7">
        <v>80445</v>
      </c>
      <c r="Q7" s="1">
        <v>4.5251E-2</v>
      </c>
      <c r="R7" s="2">
        <v>81.440244695399997</v>
      </c>
      <c r="S7">
        <v>99668</v>
      </c>
      <c r="T7" s="1">
        <v>0.91971599999999998</v>
      </c>
      <c r="U7" s="2">
        <v>89.161294841699998</v>
      </c>
      <c r="X7" s="3">
        <v>2933</v>
      </c>
      <c r="Y7" s="3">
        <v>8.0710519289999993</v>
      </c>
      <c r="Z7" s="3" t="e">
        <v>#DIV/0!</v>
      </c>
    </row>
    <row r="8" spans="1:26" x14ac:dyDescent="0.2">
      <c r="B8" s="1">
        <v>26.582674999999998</v>
      </c>
      <c r="C8" s="2">
        <v>49.600024806499995</v>
      </c>
      <c r="E8" s="1">
        <v>6.4677519999999999</v>
      </c>
      <c r="F8" s="2">
        <v>50.367565245099996</v>
      </c>
      <c r="H8" s="1">
        <v>6.4898999999999998E-2</v>
      </c>
      <c r="I8" s="2">
        <v>52.415457801799995</v>
      </c>
      <c r="K8" s="1">
        <v>-0.76814800000000005</v>
      </c>
      <c r="L8" s="2">
        <v>53.142914971199993</v>
      </c>
      <c r="N8" s="1">
        <v>1.222086</v>
      </c>
      <c r="O8" s="2">
        <v>61.093839749699995</v>
      </c>
      <c r="Q8" s="1">
        <v>0.89524199999999998</v>
      </c>
      <c r="R8" s="2">
        <v>81.42976554549999</v>
      </c>
      <c r="T8" s="1">
        <v>0.70156499999999999</v>
      </c>
      <c r="U8" s="2">
        <v>89.174190654399993</v>
      </c>
      <c r="X8" s="3">
        <v>8081</v>
      </c>
      <c r="Y8" s="3">
        <v>2.1743811430000002</v>
      </c>
      <c r="Z8" s="3">
        <v>3.3459232179999998</v>
      </c>
    </row>
    <row r="9" spans="1:26" x14ac:dyDescent="0.2">
      <c r="B9" s="1">
        <v>26.584047000000002</v>
      </c>
      <c r="C9" s="2">
        <v>49.612712286199994</v>
      </c>
      <c r="E9" s="1">
        <v>4.9344679999999999</v>
      </c>
      <c r="F9" s="2">
        <v>50.355440264499997</v>
      </c>
      <c r="H9" s="1">
        <v>-8.8850000000000005E-3</v>
      </c>
      <c r="I9" s="2">
        <v>52.513561811499997</v>
      </c>
      <c r="K9" s="1">
        <v>-0.88532900000000003</v>
      </c>
      <c r="L9" s="2">
        <v>53.161852440899999</v>
      </c>
      <c r="N9" s="1">
        <v>2.9908779999999999</v>
      </c>
      <c r="O9" s="2">
        <v>61.109964723899992</v>
      </c>
      <c r="Q9" s="1">
        <v>1.18215</v>
      </c>
      <c r="R9" s="2">
        <v>81.435682202699994</v>
      </c>
      <c r="T9" s="1">
        <v>3.0427840000000002</v>
      </c>
      <c r="U9" s="2">
        <v>89.295482127</v>
      </c>
      <c r="X9" s="3">
        <v>9878</v>
      </c>
      <c r="Y9" s="3">
        <v>1.8755355</v>
      </c>
      <c r="Z9" s="3">
        <v>32.439894520000003</v>
      </c>
    </row>
    <row r="10" spans="1:26" x14ac:dyDescent="0.2">
      <c r="B10" s="1">
        <v>26.759747000000001</v>
      </c>
      <c r="C10" s="2">
        <v>49.618462276999999</v>
      </c>
      <c r="E10" s="1">
        <v>7.1854230000000001</v>
      </c>
      <c r="F10" s="2">
        <v>50.375856898499997</v>
      </c>
      <c r="H10" s="1">
        <v>0.47634799999999999</v>
      </c>
      <c r="I10" s="2">
        <v>52.433416106399996</v>
      </c>
      <c r="K10" s="1">
        <v>-0.829318</v>
      </c>
      <c r="L10" s="2">
        <v>53.146810798299995</v>
      </c>
      <c r="N10" s="1">
        <v>0.51174299999999995</v>
      </c>
      <c r="O10" s="2">
        <v>61.179152113199997</v>
      </c>
      <c r="Q10" s="1">
        <v>0.36241600000000002</v>
      </c>
      <c r="R10" s="2">
        <v>81.4845571245</v>
      </c>
      <c r="T10" s="1">
        <v>1.9286000000000001</v>
      </c>
      <c r="U10" s="2">
        <v>89.198919781499995</v>
      </c>
      <c r="X10" s="3">
        <v>29734</v>
      </c>
      <c r="Y10" s="3">
        <v>1.368302071</v>
      </c>
      <c r="Z10" s="3" t="e">
        <v>#DIV/0!</v>
      </c>
    </row>
    <row r="11" spans="1:26" x14ac:dyDescent="0.2">
      <c r="B11" s="1">
        <v>27.947732999999999</v>
      </c>
      <c r="C11" s="2">
        <v>49.615087282399998</v>
      </c>
      <c r="E11" s="1">
        <v>6.7228570000000003</v>
      </c>
      <c r="F11" s="2">
        <v>50.392315205499997</v>
      </c>
      <c r="H11" s="1">
        <v>0.48484699999999997</v>
      </c>
      <c r="I11" s="2">
        <v>52.432103608499993</v>
      </c>
      <c r="K11" s="1">
        <v>-0.93248600000000004</v>
      </c>
      <c r="L11" s="2">
        <v>53.150644125499994</v>
      </c>
      <c r="N11" s="1">
        <v>1.09093</v>
      </c>
      <c r="O11" s="2">
        <v>61.080006438499993</v>
      </c>
      <c r="Q11" s="1">
        <v>0.60665800000000003</v>
      </c>
      <c r="R11" s="2">
        <v>81.420432227099994</v>
      </c>
      <c r="T11" s="1">
        <v>0.29839599999999999</v>
      </c>
      <c r="U11" s="2">
        <v>89.203523940799997</v>
      </c>
      <c r="X11" s="3">
        <v>80445</v>
      </c>
      <c r="Y11" s="3">
        <v>1.2283675000000001</v>
      </c>
      <c r="Z11" s="3" t="e">
        <v>#DIV/0!</v>
      </c>
    </row>
    <row r="12" spans="1:26" x14ac:dyDescent="0.2">
      <c r="B12" s="1">
        <v>24.607347000000001</v>
      </c>
      <c r="C12" s="2">
        <v>49.547316557499997</v>
      </c>
      <c r="E12" s="1">
        <v>6.3359199999999998</v>
      </c>
      <c r="F12" s="2">
        <v>50.397127697799995</v>
      </c>
      <c r="H12" s="1">
        <v>4.9279999999999997E-2</v>
      </c>
      <c r="I12" s="2">
        <v>52.451666077199995</v>
      </c>
      <c r="K12" s="1">
        <v>-0.378971</v>
      </c>
      <c r="L12" s="2">
        <v>53.137394146699997</v>
      </c>
      <c r="N12" s="1">
        <v>1.8256669999999999</v>
      </c>
      <c r="O12" s="2">
        <v>61.109693890999992</v>
      </c>
      <c r="Q12" s="1">
        <v>1.106223</v>
      </c>
      <c r="R12" s="2">
        <v>81.45834883309999</v>
      </c>
      <c r="T12" s="1">
        <v>0.40854400000000002</v>
      </c>
      <c r="U12" s="2">
        <v>89.209128098499988</v>
      </c>
      <c r="X12" s="3">
        <v>99668</v>
      </c>
      <c r="Y12" s="3">
        <v>1.062189571</v>
      </c>
      <c r="Z12" s="3">
        <v>68.853028230000007</v>
      </c>
    </row>
    <row r="13" spans="1:26" x14ac:dyDescent="0.2">
      <c r="B13" s="1">
        <v>23.536968999999999</v>
      </c>
      <c r="C13" s="2">
        <v>49.623066436299993</v>
      </c>
      <c r="E13" s="1">
        <v>5.3139960000000004</v>
      </c>
      <c r="F13" s="2">
        <v>50.370898573099993</v>
      </c>
      <c r="H13" s="1">
        <v>0.51102800000000004</v>
      </c>
      <c r="I13" s="2">
        <v>52.439270263699996</v>
      </c>
      <c r="K13" s="1">
        <v>-1.1418600000000001</v>
      </c>
      <c r="L13" s="2">
        <v>53.156685782499999</v>
      </c>
      <c r="N13" s="1">
        <v>0.97131800000000001</v>
      </c>
      <c r="O13" s="2">
        <v>61.150735491999995</v>
      </c>
      <c r="Q13" s="1">
        <v>1.18408</v>
      </c>
      <c r="R13" s="2">
        <v>81.466307153699987</v>
      </c>
      <c r="T13" s="1">
        <v>1.087925</v>
      </c>
      <c r="U13" s="2">
        <v>89.182773974</v>
      </c>
      <c r="X13" s="3"/>
      <c r="Y13" s="3"/>
      <c r="Z13" s="3"/>
    </row>
    <row r="14" spans="1:26" x14ac:dyDescent="0.2">
      <c r="B14" s="1">
        <v>24.077290000000001</v>
      </c>
      <c r="C14" s="2">
        <v>49.596441478899997</v>
      </c>
      <c r="E14" s="1">
        <v>6.9276340000000003</v>
      </c>
      <c r="F14" s="2">
        <v>50.373252735999998</v>
      </c>
      <c r="H14" s="1">
        <v>-1.4666E-2</v>
      </c>
      <c r="I14" s="2">
        <v>52.418145297499997</v>
      </c>
      <c r="K14" s="1">
        <v>-0.469613</v>
      </c>
      <c r="L14" s="2">
        <v>53.150435792499998</v>
      </c>
      <c r="N14" s="1">
        <v>4.3442090000000002</v>
      </c>
      <c r="O14" s="2">
        <v>61.091152253999994</v>
      </c>
      <c r="Q14" s="1">
        <v>1.653497</v>
      </c>
      <c r="R14" s="2">
        <v>81.495661273399989</v>
      </c>
      <c r="T14" s="1">
        <v>1.2506740000000001</v>
      </c>
      <c r="U14" s="2">
        <v>89.334565397799992</v>
      </c>
      <c r="X14" s="3"/>
      <c r="Y14" s="3"/>
      <c r="Z14" s="3"/>
    </row>
    <row r="15" spans="1:26" x14ac:dyDescent="0.2">
      <c r="B15" s="1">
        <v>23.628088999999999</v>
      </c>
      <c r="C15" s="2">
        <v>49.598378975799996</v>
      </c>
      <c r="E15" s="1">
        <v>6.8364269999999996</v>
      </c>
      <c r="F15" s="2">
        <v>50.384877717399995</v>
      </c>
      <c r="H15" s="1">
        <v>0.112265</v>
      </c>
      <c r="I15" s="2">
        <v>52.443103590899995</v>
      </c>
      <c r="K15" s="1">
        <v>-0.79956499999999997</v>
      </c>
      <c r="L15" s="2">
        <v>53.149602460499999</v>
      </c>
      <c r="N15" s="1">
        <v>0.40348299999999998</v>
      </c>
      <c r="O15" s="2">
        <v>61.214735389599994</v>
      </c>
      <c r="Q15" s="1">
        <v>1.6106590000000001</v>
      </c>
      <c r="R15" s="2">
        <v>81.449786346799996</v>
      </c>
      <c r="T15" s="1">
        <v>0.33669700000000002</v>
      </c>
      <c r="U15" s="2">
        <v>89.197919783099991</v>
      </c>
      <c r="X15" s="3"/>
      <c r="Y15" s="3"/>
      <c r="Z15" s="3"/>
    </row>
    <row r="16" spans="1:26" x14ac:dyDescent="0.2">
      <c r="B16" s="1">
        <v>21.788494</v>
      </c>
      <c r="C16" s="2">
        <v>49.611753954399994</v>
      </c>
      <c r="E16" s="1">
        <v>6.9909530000000002</v>
      </c>
      <c r="F16" s="2">
        <v>50.367731911499995</v>
      </c>
      <c r="H16" s="1">
        <v>0.34549400000000002</v>
      </c>
      <c r="I16" s="2">
        <v>52.424249454399998</v>
      </c>
      <c r="K16" s="1">
        <v>-0.31059300000000001</v>
      </c>
      <c r="L16" s="2">
        <v>53.156664949199993</v>
      </c>
      <c r="N16" s="1">
        <v>1.0379579999999999</v>
      </c>
      <c r="O16" s="2">
        <v>61.103923066899995</v>
      </c>
      <c r="Q16" s="1">
        <v>3.6469450000000001</v>
      </c>
      <c r="R16" s="2">
        <v>81.438932197499994</v>
      </c>
      <c r="T16" s="1">
        <v>0.80391199999999996</v>
      </c>
      <c r="U16" s="2">
        <v>89.187919799099987</v>
      </c>
      <c r="X16" s="3"/>
      <c r="Y16" s="3"/>
      <c r="Z16" s="3"/>
    </row>
    <row r="17" spans="2:26" x14ac:dyDescent="0.2">
      <c r="B17" s="1">
        <v>25.961867000000002</v>
      </c>
      <c r="C17" s="2">
        <v>49.601441470899999</v>
      </c>
      <c r="E17" s="1">
        <v>5.1649229999999999</v>
      </c>
      <c r="F17" s="2">
        <v>50.377252729599995</v>
      </c>
      <c r="H17" s="1">
        <v>0.72033000000000003</v>
      </c>
      <c r="I17" s="2">
        <v>52.432228608299994</v>
      </c>
      <c r="K17" s="1">
        <v>-0.34143200000000001</v>
      </c>
      <c r="L17" s="2">
        <v>53.140019142499995</v>
      </c>
      <c r="N17" s="1">
        <v>1.019207</v>
      </c>
      <c r="O17" s="2">
        <v>61.210422896499992</v>
      </c>
      <c r="Q17" s="1">
        <v>0.18493799999999999</v>
      </c>
      <c r="R17" s="2">
        <v>81.439869695999988</v>
      </c>
      <c r="T17" s="1">
        <v>1.8946460000000001</v>
      </c>
      <c r="U17" s="2">
        <v>89.226107237999997</v>
      </c>
      <c r="X17" s="3">
        <v>989</v>
      </c>
      <c r="Y17" s="3">
        <v>22.335795310000002</v>
      </c>
      <c r="Z17" s="3"/>
    </row>
    <row r="18" spans="2:26" x14ac:dyDescent="0.2">
      <c r="B18" s="1">
        <v>23.188880000000001</v>
      </c>
      <c r="C18" s="2">
        <v>49.591920652799999</v>
      </c>
      <c r="E18" s="1">
        <v>7.18973</v>
      </c>
      <c r="F18" s="2">
        <v>50.362065253899999</v>
      </c>
      <c r="H18" s="1">
        <v>0.40937200000000001</v>
      </c>
      <c r="I18" s="2">
        <v>52.425561952299994</v>
      </c>
      <c r="K18" s="1">
        <v>-0.69801400000000002</v>
      </c>
      <c r="L18" s="2">
        <v>53.155331617999998</v>
      </c>
      <c r="N18" s="1">
        <v>0.44140499999999999</v>
      </c>
      <c r="O18" s="2">
        <v>61.091798086299995</v>
      </c>
      <c r="Q18" s="1">
        <v>0.55606800000000001</v>
      </c>
      <c r="R18" s="2">
        <v>81.576411144199994</v>
      </c>
      <c r="T18" s="1">
        <v>1.8577E-2</v>
      </c>
      <c r="U18" s="2">
        <v>89.193440623599997</v>
      </c>
      <c r="X18" s="3">
        <v>2933</v>
      </c>
      <c r="Y18" s="3">
        <v>5.785605125</v>
      </c>
      <c r="Z18" s="3"/>
    </row>
    <row r="19" spans="2:26" x14ac:dyDescent="0.2">
      <c r="B19" s="1">
        <v>22.196403</v>
      </c>
      <c r="C19" s="2">
        <v>49.615337281999999</v>
      </c>
      <c r="E19" s="1">
        <v>6.2131169999999996</v>
      </c>
      <c r="F19" s="2">
        <v>50.372794403399993</v>
      </c>
      <c r="H19" s="1">
        <v>0.48945100000000002</v>
      </c>
      <c r="I19" s="2">
        <v>52.423666121999993</v>
      </c>
      <c r="K19" s="1">
        <v>-0.51351800000000003</v>
      </c>
      <c r="L19" s="2">
        <v>53.143644136699997</v>
      </c>
      <c r="N19" s="1">
        <v>0.67491000000000001</v>
      </c>
      <c r="O19" s="2">
        <v>61.085527262999996</v>
      </c>
      <c r="Q19" s="1">
        <v>1.377192</v>
      </c>
      <c r="R19" s="2">
        <v>81.476223804499995</v>
      </c>
      <c r="T19" s="1">
        <v>1.31613</v>
      </c>
      <c r="U19" s="2">
        <v>89.183378139699997</v>
      </c>
      <c r="X19" s="3">
        <v>8081</v>
      </c>
      <c r="Y19" s="3">
        <v>1.864803188</v>
      </c>
      <c r="Z19" s="3"/>
    </row>
    <row r="20" spans="2:26" x14ac:dyDescent="0.2">
      <c r="B20" s="1">
        <v>25.968259</v>
      </c>
      <c r="C20" s="2">
        <v>49.606108130099997</v>
      </c>
      <c r="E20" s="1">
        <v>6.7956180000000002</v>
      </c>
      <c r="F20" s="2">
        <v>50.389877709399997</v>
      </c>
      <c r="H20" s="1">
        <v>-4.7330999999999998E-2</v>
      </c>
      <c r="I20" s="2">
        <v>52.443270257299993</v>
      </c>
      <c r="K20" s="1">
        <v>-0.71530000000000005</v>
      </c>
      <c r="L20" s="2">
        <v>53.139977475899997</v>
      </c>
      <c r="N20" s="1">
        <v>2.0871279999999999</v>
      </c>
      <c r="O20" s="2">
        <v>61.096589745299994</v>
      </c>
      <c r="Q20" s="1">
        <v>2.7858260000000001</v>
      </c>
      <c r="R20" s="2">
        <v>81.434369704799991</v>
      </c>
      <c r="T20" s="1">
        <v>0.86248800000000003</v>
      </c>
      <c r="U20" s="2">
        <v>89.1952947873</v>
      </c>
      <c r="X20" s="3">
        <v>9878</v>
      </c>
      <c r="Y20" s="3">
        <v>1.5413678749999999</v>
      </c>
      <c r="Z20" s="3"/>
    </row>
    <row r="21" spans="2:26" x14ac:dyDescent="0.2">
      <c r="B21" s="1">
        <v>27.103155000000001</v>
      </c>
      <c r="C21" s="2">
        <v>49.611358121699993</v>
      </c>
      <c r="E21" s="1">
        <v>6.4123859999999997</v>
      </c>
      <c r="F21" s="2">
        <v>50.394690201699994</v>
      </c>
      <c r="H21" s="1">
        <v>0.59872899999999996</v>
      </c>
      <c r="I21" s="2">
        <v>52.425853618499993</v>
      </c>
      <c r="K21" s="1">
        <v>-0.19675899999999999</v>
      </c>
      <c r="L21" s="2">
        <v>53.162935772499999</v>
      </c>
      <c r="N21" s="1"/>
      <c r="O21" s="2">
        <v>61.097756410099997</v>
      </c>
      <c r="Q21" s="1"/>
      <c r="R21" s="2">
        <v>81.474057141299994</v>
      </c>
      <c r="T21" s="1"/>
      <c r="U21" s="2">
        <v>89.247919703099996</v>
      </c>
      <c r="X21" s="3">
        <v>29734</v>
      </c>
      <c r="Y21" s="3">
        <v>1.0796546250000001</v>
      </c>
      <c r="Z21" s="3"/>
    </row>
    <row r="22" spans="2:26" x14ac:dyDescent="0.2">
      <c r="B22" s="1">
        <v>21.250162</v>
      </c>
      <c r="C22" s="2">
        <v>49.607837293999999</v>
      </c>
      <c r="E22" s="1">
        <v>5.1421869999999998</v>
      </c>
      <c r="F22" s="2">
        <v>50.381669389199999</v>
      </c>
      <c r="H22" s="1">
        <v>0.14549400000000001</v>
      </c>
      <c r="I22" s="2">
        <v>52.429186946499996</v>
      </c>
      <c r="K22" s="1">
        <v>-0.55312799999999995</v>
      </c>
      <c r="L22" s="2">
        <v>53.135060817099998</v>
      </c>
      <c r="N22" s="1"/>
      <c r="O22" s="2">
        <v>61.116964712699996</v>
      </c>
      <c r="Q22" s="1"/>
      <c r="R22" s="2">
        <v>81.620077740999989</v>
      </c>
      <c r="T22" s="1"/>
      <c r="U22" s="2">
        <v>89.16771149809999</v>
      </c>
      <c r="X22" s="3">
        <v>80445</v>
      </c>
      <c r="Y22" s="3">
        <v>0.397321125</v>
      </c>
      <c r="Z22" s="3"/>
    </row>
    <row r="23" spans="2:26" x14ac:dyDescent="0.2">
      <c r="B23" s="1">
        <v>22.489697</v>
      </c>
      <c r="C23" s="2">
        <v>49.603149801499995</v>
      </c>
      <c r="E23" s="1">
        <v>5.3480759999999998</v>
      </c>
      <c r="F23" s="2">
        <v>50.372002737999999</v>
      </c>
      <c r="H23" s="1">
        <v>0.68451399999999996</v>
      </c>
      <c r="I23" s="2">
        <v>52.420166127599998</v>
      </c>
      <c r="K23" s="1">
        <v>-0.72319100000000003</v>
      </c>
      <c r="L23" s="2">
        <v>53.146873298199999</v>
      </c>
      <c r="N23" s="1"/>
      <c r="O23" s="2">
        <v>61.095902246399994</v>
      </c>
      <c r="Q23" s="1"/>
      <c r="R23" s="2">
        <v>81.512119580399997</v>
      </c>
      <c r="T23" s="1"/>
      <c r="U23" s="2">
        <v>89.175315652599991</v>
      </c>
      <c r="X23" s="3">
        <v>99668</v>
      </c>
      <c r="Y23" s="3">
        <v>0.34073937500000001</v>
      </c>
      <c r="Z23" s="3"/>
    </row>
    <row r="24" spans="2:26" x14ac:dyDescent="0.2">
      <c r="B24" s="1">
        <v>24.938503999999998</v>
      </c>
      <c r="C24" s="2">
        <v>49.616191447299997</v>
      </c>
      <c r="E24" s="1">
        <v>6.3450930000000003</v>
      </c>
      <c r="F24" s="2">
        <v>50.389336043599997</v>
      </c>
      <c r="H24" s="1">
        <v>0.23824999999999999</v>
      </c>
      <c r="I24" s="2">
        <v>52.443520256899994</v>
      </c>
      <c r="K24" s="1">
        <v>-0.54197899999999999</v>
      </c>
      <c r="L24" s="2">
        <v>53.158706612599993</v>
      </c>
      <c r="N24" s="1"/>
      <c r="O24" s="2">
        <v>61.100298072699992</v>
      </c>
      <c r="Q24" s="1"/>
      <c r="R24" s="2">
        <v>81.474098807899992</v>
      </c>
      <c r="T24" s="1"/>
      <c r="U24" s="2">
        <v>89.186961467299994</v>
      </c>
      <c r="X24" s="3"/>
      <c r="Y24" s="3"/>
      <c r="Z24" s="3"/>
    </row>
    <row r="25" spans="2:26" x14ac:dyDescent="0.2">
      <c r="B25" s="1">
        <v>26.076948999999999</v>
      </c>
      <c r="C25" s="2">
        <v>49.594566481899996</v>
      </c>
      <c r="E25" s="1">
        <v>6.127885</v>
      </c>
      <c r="F25" s="2">
        <v>50.380211058199997</v>
      </c>
      <c r="H25" s="1">
        <v>-0.118315</v>
      </c>
      <c r="I25" s="2">
        <v>52.418645296699999</v>
      </c>
      <c r="K25" s="1">
        <v>-0.81241699999999994</v>
      </c>
      <c r="L25" s="2">
        <v>53.177435749299995</v>
      </c>
      <c r="N25" s="1"/>
      <c r="O25" s="2">
        <v>61.115568881599998</v>
      </c>
      <c r="Q25" s="1"/>
      <c r="R25" s="2">
        <v>81.513432078299999</v>
      </c>
      <c r="T25" s="1"/>
      <c r="U25" s="2">
        <v>89.165711501299995</v>
      </c>
      <c r="X25" s="3"/>
      <c r="Y25" s="3"/>
      <c r="Z25" s="3"/>
    </row>
    <row r="26" spans="2:26" x14ac:dyDescent="0.2">
      <c r="B26" s="1">
        <v>22.763819999999999</v>
      </c>
      <c r="C26" s="2">
        <v>49.591795652999998</v>
      </c>
      <c r="E26" s="1">
        <v>7.1705990000000002</v>
      </c>
      <c r="F26" s="2">
        <v>50.377106896499996</v>
      </c>
      <c r="H26" s="1">
        <v>0.14943100000000001</v>
      </c>
      <c r="I26" s="2">
        <v>52.430124444999997</v>
      </c>
      <c r="K26" s="1">
        <v>-1.0689360000000001</v>
      </c>
      <c r="L26" s="2">
        <v>53.160248276799997</v>
      </c>
      <c r="N26" s="1"/>
      <c r="O26" s="2">
        <v>61.117339712099998</v>
      </c>
      <c r="R26" s="2">
        <v>81.504640425699989</v>
      </c>
      <c r="T26" s="1"/>
      <c r="U26" s="2">
        <v>89.21971141489999</v>
      </c>
      <c r="X26" s="3"/>
      <c r="Y26" s="3"/>
      <c r="Z26" s="3"/>
    </row>
    <row r="27" spans="2:26" x14ac:dyDescent="0.2">
      <c r="B27" s="1">
        <v>24.276040999999999</v>
      </c>
      <c r="C27" s="2">
        <v>49.606212296599999</v>
      </c>
      <c r="E27" s="1">
        <v>4.5677399999999997</v>
      </c>
      <c r="F27" s="2">
        <v>50.399544360599997</v>
      </c>
      <c r="H27" s="1">
        <v>0.53439400000000004</v>
      </c>
      <c r="I27" s="2">
        <v>52.443124424199993</v>
      </c>
      <c r="K27" s="1">
        <v>-0.47797699999999999</v>
      </c>
      <c r="L27" s="2">
        <v>53.139248310399999</v>
      </c>
      <c r="N27" s="1"/>
      <c r="O27" s="2">
        <v>61.124735533599996</v>
      </c>
      <c r="R27" s="2">
        <v>81.438869697599998</v>
      </c>
      <c r="T27" s="1"/>
      <c r="U27" s="2">
        <v>89.206065603399992</v>
      </c>
      <c r="X27" s="3"/>
      <c r="Y27" s="3"/>
      <c r="Z27" s="3"/>
    </row>
    <row r="28" spans="2:26" x14ac:dyDescent="0.2">
      <c r="B28" s="1">
        <v>21.751619000000002</v>
      </c>
      <c r="C28" s="2">
        <v>49.612108120499997</v>
      </c>
      <c r="E28" s="1">
        <v>7.2663580000000003</v>
      </c>
      <c r="F28" s="1"/>
      <c r="H28" s="1">
        <v>0.37603399999999998</v>
      </c>
      <c r="I28" s="2">
        <v>52.408207813399997</v>
      </c>
      <c r="K28" s="1">
        <v>-0.241312</v>
      </c>
      <c r="L28" s="2">
        <v>53.149206627799998</v>
      </c>
      <c r="N28" s="1"/>
      <c r="O28" s="2">
        <v>61.113735551199994</v>
      </c>
      <c r="R28" s="2">
        <v>81.457932167099997</v>
      </c>
      <c r="T28" s="1"/>
      <c r="U28" s="2">
        <v>89.234878057299994</v>
      </c>
      <c r="X28" s="3">
        <v>989</v>
      </c>
      <c r="Y28" s="3">
        <v>19.27563353</v>
      </c>
      <c r="Z28" s="3"/>
    </row>
    <row r="29" spans="2:26" x14ac:dyDescent="0.2">
      <c r="B29" s="1">
        <v>21.697924</v>
      </c>
      <c r="C29" s="2">
        <v>49.609670624399996</v>
      </c>
      <c r="E29" s="1">
        <v>6.4513069999999999</v>
      </c>
      <c r="F29" s="1"/>
      <c r="H29" s="1">
        <v>-6.0902999999999999E-2</v>
      </c>
      <c r="I29" s="2">
        <v>52.449603580499996</v>
      </c>
      <c r="K29" s="1">
        <v>-0.30964399999999997</v>
      </c>
      <c r="L29" s="2">
        <v>53.142435805299996</v>
      </c>
      <c r="M29" s="2"/>
      <c r="N29" s="1"/>
      <c r="O29" s="2">
        <v>61.106964728699992</v>
      </c>
      <c r="R29" s="2">
        <v>81.490390448499994</v>
      </c>
      <c r="T29" s="1"/>
      <c r="U29" s="2">
        <v>89.180190644799993</v>
      </c>
      <c r="X29" s="3">
        <v>2933</v>
      </c>
      <c r="Y29" s="3">
        <v>13.09292782</v>
      </c>
      <c r="Z29" s="3"/>
    </row>
    <row r="30" spans="2:26" x14ac:dyDescent="0.2">
      <c r="B30" s="1">
        <v>24.341498000000001</v>
      </c>
      <c r="C30" s="2">
        <v>49.612045620599993</v>
      </c>
      <c r="E30" s="1">
        <v>4.6809510000000003</v>
      </c>
      <c r="H30" s="1">
        <v>-0.18762899999999999</v>
      </c>
      <c r="I30" s="2">
        <v>52.453436907699995</v>
      </c>
      <c r="K30" s="1">
        <v>-0.66010400000000002</v>
      </c>
      <c r="M30" s="2"/>
      <c r="O30" s="2">
        <v>61.104693898999997</v>
      </c>
      <c r="R30" s="2">
        <v>81.446807184899995</v>
      </c>
      <c r="U30" s="2">
        <v>89.204128106499994</v>
      </c>
      <c r="X30" s="3">
        <v>8081</v>
      </c>
      <c r="Y30" s="3">
        <v>22.199739180000002</v>
      </c>
      <c r="Z30" s="3"/>
    </row>
    <row r="31" spans="2:26" x14ac:dyDescent="0.2">
      <c r="B31" s="1">
        <v>23.920141999999998</v>
      </c>
      <c r="C31" s="2">
        <v>49.585483163099994</v>
      </c>
      <c r="E31" s="1">
        <v>4.6159080000000001</v>
      </c>
      <c r="H31" s="1">
        <v>0.287464</v>
      </c>
      <c r="I31" s="2">
        <v>52.424291120999996</v>
      </c>
      <c r="J31" s="2"/>
      <c r="K31" s="1">
        <v>-0.64500400000000002</v>
      </c>
      <c r="L31" s="1"/>
      <c r="M31" s="2"/>
      <c r="N31" s="1"/>
      <c r="O31" s="2">
        <v>61.121506372099994</v>
      </c>
      <c r="R31" s="2">
        <v>81.445161354199996</v>
      </c>
      <c r="T31" s="1"/>
      <c r="U31" s="2">
        <v>89.229065566599999</v>
      </c>
      <c r="X31" s="3">
        <v>9878</v>
      </c>
      <c r="Y31" s="3">
        <v>21.450674119999999</v>
      </c>
      <c r="Z31" s="3"/>
    </row>
    <row r="32" spans="2:26" x14ac:dyDescent="0.2">
      <c r="B32" s="1">
        <v>26.062258</v>
      </c>
      <c r="C32" s="2">
        <v>49.589566489899994</v>
      </c>
      <c r="E32" s="1">
        <v>4.7203220000000004</v>
      </c>
      <c r="H32" s="1">
        <v>0.50258999999999998</v>
      </c>
      <c r="I32" s="2">
        <v>52.432166108399997</v>
      </c>
      <c r="J32" s="2"/>
      <c r="K32" s="1">
        <v>-0.53272600000000003</v>
      </c>
      <c r="M32" s="2"/>
      <c r="O32" s="2"/>
      <c r="R32" s="2">
        <v>81.452765508699997</v>
      </c>
      <c r="U32" s="2">
        <v>89.20827393319999</v>
      </c>
      <c r="X32" s="3">
        <v>29734</v>
      </c>
      <c r="Y32" s="3">
        <v>24.762945240000001</v>
      </c>
      <c r="Z32" s="3"/>
    </row>
    <row r="33" spans="2:26" x14ac:dyDescent="0.2">
      <c r="B33" s="1">
        <v>27.964925000000001</v>
      </c>
      <c r="C33" s="2">
        <v>49.576420677599998</v>
      </c>
      <c r="E33" s="1">
        <v>6.3947750000000001</v>
      </c>
      <c r="H33" s="1">
        <v>-0.45577800000000002</v>
      </c>
      <c r="I33" s="2">
        <v>0</v>
      </c>
      <c r="J33" s="2"/>
      <c r="K33" s="1">
        <v>-0.66339800000000004</v>
      </c>
      <c r="M33" s="2"/>
      <c r="R33" s="1"/>
      <c r="U33" s="2">
        <v>89.218315583799992</v>
      </c>
      <c r="X33" s="3">
        <v>80445</v>
      </c>
      <c r="Y33" s="3">
        <v>24.323580880000002</v>
      </c>
      <c r="Z33" s="3"/>
    </row>
    <row r="34" spans="2:26" x14ac:dyDescent="0.2">
      <c r="B34" s="1">
        <v>24.659483000000002</v>
      </c>
      <c r="C34" s="2">
        <v>49.593795649799993</v>
      </c>
      <c r="E34" s="1">
        <v>7.4915529999999997</v>
      </c>
      <c r="H34" s="1">
        <v>0.30282399999999998</v>
      </c>
      <c r="J34" s="2"/>
      <c r="K34" s="1">
        <v>-0.445633</v>
      </c>
      <c r="R34" s="1"/>
      <c r="U34" s="2">
        <v>89.232628060899998</v>
      </c>
      <c r="X34" s="3">
        <v>99668</v>
      </c>
      <c r="Y34" s="3">
        <v>23.870857000000001</v>
      </c>
      <c r="Z34" s="3"/>
    </row>
    <row r="35" spans="2:26" x14ac:dyDescent="0.2">
      <c r="B35" s="1">
        <v>25.816132</v>
      </c>
      <c r="C35" s="2">
        <v>49.595878979799998</v>
      </c>
      <c r="H35" s="1">
        <v>-0.15718299999999999</v>
      </c>
      <c r="J35" s="2"/>
      <c r="K35" s="1">
        <v>-0.58945599999999998</v>
      </c>
      <c r="R35" s="1"/>
      <c r="U35" s="2">
        <v>89.236607221199989</v>
      </c>
      <c r="X35" s="3"/>
      <c r="Y35" s="3"/>
      <c r="Z35" s="3"/>
    </row>
    <row r="36" spans="2:26" x14ac:dyDescent="0.2">
      <c r="B36" s="1">
        <v>24.390642</v>
      </c>
      <c r="C36" s="2">
        <v>49.601462304199998</v>
      </c>
      <c r="H36" s="1">
        <v>8.0984E-2</v>
      </c>
      <c r="J36" s="2"/>
      <c r="K36" s="1">
        <v>-0.73909800000000003</v>
      </c>
      <c r="R36" s="1"/>
      <c r="X36" s="3"/>
      <c r="Y36" s="3"/>
      <c r="Z36" s="3"/>
    </row>
    <row r="37" spans="2:26" x14ac:dyDescent="0.2">
      <c r="B37" s="1">
        <v>22.568428000000001</v>
      </c>
      <c r="H37" s="1">
        <v>4.4225E-2</v>
      </c>
      <c r="J37" s="2"/>
      <c r="K37" s="1">
        <v>-0.111803</v>
      </c>
      <c r="R37" s="1"/>
      <c r="X37" s="3">
        <v>989</v>
      </c>
      <c r="Y37" s="3">
        <v>6.0238392220000003</v>
      </c>
      <c r="Z37" s="3"/>
    </row>
    <row r="38" spans="2:26" x14ac:dyDescent="0.2">
      <c r="B38" s="1">
        <v>28.188444</v>
      </c>
      <c r="H38" s="1">
        <v>0.15709200000000001</v>
      </c>
      <c r="K38" s="1">
        <v>-0.48502400000000001</v>
      </c>
      <c r="R38" s="1"/>
      <c r="X38" s="3">
        <v>2933</v>
      </c>
      <c r="Y38" s="3">
        <v>3.0696525000000001</v>
      </c>
      <c r="Z38" s="3"/>
    </row>
    <row r="39" spans="2:26" x14ac:dyDescent="0.2">
      <c r="B39" s="1">
        <v>20.732562000000001</v>
      </c>
      <c r="H39" s="1">
        <v>0.42615399999999998</v>
      </c>
      <c r="K39" s="1">
        <v>-0.56351200000000001</v>
      </c>
      <c r="R39" s="1"/>
      <c r="X39" s="3">
        <v>8081</v>
      </c>
      <c r="Y39" s="3">
        <v>6.2237518889999999</v>
      </c>
      <c r="Z39" s="3"/>
    </row>
    <row r="40" spans="2:26" x14ac:dyDescent="0.2">
      <c r="B40" s="1">
        <v>23.261496999999999</v>
      </c>
      <c r="H40" s="1">
        <v>0.16259999999999999</v>
      </c>
      <c r="K40" s="1">
        <v>-0.61472899999999997</v>
      </c>
      <c r="R40" s="1"/>
      <c r="X40" s="3">
        <v>9878</v>
      </c>
      <c r="Y40" s="3">
        <v>4.8164425</v>
      </c>
      <c r="Z40" s="3"/>
    </row>
    <row r="41" spans="2:26" x14ac:dyDescent="0.2">
      <c r="H41" s="1">
        <v>4.9660000000000003E-2</v>
      </c>
      <c r="K41" s="1">
        <v>-0.78719099999999997</v>
      </c>
      <c r="R41" s="1"/>
      <c r="X41" s="3">
        <v>29734</v>
      </c>
      <c r="Y41" s="3">
        <v>7.0592071110000001</v>
      </c>
      <c r="Z41" s="3"/>
    </row>
    <row r="42" spans="2:26" x14ac:dyDescent="0.2">
      <c r="H42" s="1">
        <v>0.49795899999999998</v>
      </c>
      <c r="K42" s="1">
        <v>-0.85613399999999995</v>
      </c>
      <c r="R42" s="1"/>
      <c r="X42" s="3">
        <v>80445</v>
      </c>
      <c r="Y42" s="3">
        <v>7.2381873890000001</v>
      </c>
      <c r="Z42" s="3"/>
    </row>
    <row r="43" spans="2:26" x14ac:dyDescent="0.2">
      <c r="H43" s="1">
        <v>0.20832000000000001</v>
      </c>
      <c r="K43" s="1">
        <v>-0.64858499999999997</v>
      </c>
      <c r="R43" s="1"/>
      <c r="X43" s="3">
        <v>99668</v>
      </c>
      <c r="Y43" s="3">
        <v>7.956421722</v>
      </c>
      <c r="Z43" s="3"/>
    </row>
    <row r="44" spans="2:26" x14ac:dyDescent="0.2">
      <c r="H44" s="1">
        <v>-3.6828E-2</v>
      </c>
      <c r="K44" s="1">
        <v>-1.1837059999999999</v>
      </c>
      <c r="R44" s="1"/>
    </row>
    <row r="45" spans="2:26" x14ac:dyDescent="0.2">
      <c r="H45" s="1">
        <v>-5.3135000000000002E-2</v>
      </c>
      <c r="K45" s="1">
        <v>-1.2200059999999999</v>
      </c>
      <c r="R45" s="1"/>
    </row>
    <row r="46" spans="2:26" x14ac:dyDescent="0.2">
      <c r="H46" s="1">
        <v>-6.1899999999999997E-2</v>
      </c>
      <c r="K46" s="1">
        <v>-0.57889400000000002</v>
      </c>
      <c r="R46" s="1"/>
    </row>
    <row r="47" spans="2:26" x14ac:dyDescent="0.2">
      <c r="H47" s="1">
        <v>0.54683599999999999</v>
      </c>
      <c r="R47" s="1"/>
    </row>
    <row r="48" spans="2:26" x14ac:dyDescent="0.2">
      <c r="R48" s="1"/>
    </row>
    <row r="49" spans="18:18" x14ac:dyDescent="0.2">
      <c r="R49" s="1"/>
    </row>
    <row r="50" spans="18:18" x14ac:dyDescent="0.2">
      <c r="R50" s="1"/>
    </row>
    <row r="51" spans="18:18" x14ac:dyDescent="0.2">
      <c r="R5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"/>
  <sheetViews>
    <sheetView zoomScale="75" workbookViewId="0">
      <selection activeCell="W28" sqref="W28"/>
    </sheetView>
  </sheetViews>
  <sheetFormatPr baseColWidth="10" defaultRowHeight="16" x14ac:dyDescent="0.2"/>
  <cols>
    <col min="13" max="13" width="11.83203125" bestFit="1" customWidth="1"/>
  </cols>
  <sheetData>
    <row r="1" spans="1:21" x14ac:dyDescent="0.2">
      <c r="A1" t="s">
        <v>4</v>
      </c>
    </row>
    <row r="2" spans="1:21" x14ac:dyDescent="0.2">
      <c r="A2" t="s">
        <v>0</v>
      </c>
    </row>
    <row r="3" spans="1:21" x14ac:dyDescent="0.2">
      <c r="A3" t="s">
        <v>6</v>
      </c>
      <c r="M3">
        <f>1/48000000</f>
        <v>2.0833333333333335E-8</v>
      </c>
    </row>
    <row r="4" spans="1:21" x14ac:dyDescent="0.2">
      <c r="O4" s="2"/>
    </row>
    <row r="6" spans="1:21" x14ac:dyDescent="0.2">
      <c r="A6" t="s">
        <v>1</v>
      </c>
      <c r="B6" t="s">
        <v>2</v>
      </c>
      <c r="C6" t="s">
        <v>3</v>
      </c>
      <c r="D6" t="s">
        <v>1</v>
      </c>
      <c r="E6" t="s">
        <v>2</v>
      </c>
      <c r="F6" t="s">
        <v>3</v>
      </c>
      <c r="G6" t="s">
        <v>1</v>
      </c>
      <c r="H6" t="s">
        <v>2</v>
      </c>
      <c r="I6" t="s">
        <v>3</v>
      </c>
      <c r="J6" t="s">
        <v>1</v>
      </c>
      <c r="K6" t="s">
        <v>2</v>
      </c>
      <c r="L6" t="s">
        <v>3</v>
      </c>
      <c r="M6" t="s">
        <v>1</v>
      </c>
      <c r="N6" t="s">
        <v>2</v>
      </c>
      <c r="O6" t="s">
        <v>3</v>
      </c>
      <c r="P6" t="s">
        <v>1</v>
      </c>
      <c r="Q6" t="s">
        <v>2</v>
      </c>
      <c r="R6" t="s">
        <v>3</v>
      </c>
      <c r="S6" t="s">
        <v>1</v>
      </c>
      <c r="T6" t="s">
        <v>2</v>
      </c>
      <c r="U6" t="s">
        <v>3</v>
      </c>
    </row>
    <row r="7" spans="1:21" x14ac:dyDescent="0.2">
      <c r="A7">
        <v>989</v>
      </c>
      <c r="B7" s="1">
        <v>1.0150999999999999</v>
      </c>
      <c r="C7">
        <f>3099405000*(1/48000000)</f>
        <v>64.570937499999999</v>
      </c>
      <c r="D7">
        <v>2933</v>
      </c>
      <c r="E7" s="1">
        <v>6.3383999999999996E-2</v>
      </c>
      <c r="F7">
        <f>3261163000*(1/48000000)</f>
        <v>67.940895833333343</v>
      </c>
      <c r="G7">
        <v>8081</v>
      </c>
      <c r="H7" s="1">
        <v>-0.49591800000000003</v>
      </c>
      <c r="I7">
        <f>3698142000*(1/48000000)</f>
        <v>77.044625000000011</v>
      </c>
      <c r="J7">
        <v>9878</v>
      </c>
      <c r="K7" s="1">
        <v>-0.51727699999999999</v>
      </c>
      <c r="L7">
        <f>3849492000*(1/48000000)</f>
        <v>80.197749999999999</v>
      </c>
      <c r="M7">
        <v>29734</v>
      </c>
      <c r="N7" s="1">
        <v>-0.77379399999999998</v>
      </c>
      <c r="O7">
        <f>5536300000*(1/48000000)</f>
        <v>115.33958333333334</v>
      </c>
      <c r="P7">
        <v>80445</v>
      </c>
      <c r="Q7" s="1">
        <v>-0.86565099999999995</v>
      </c>
      <c r="R7">
        <f>9848227000*(1/48000000)</f>
        <v>205.17139583333335</v>
      </c>
      <c r="S7">
        <v>99668</v>
      </c>
      <c r="T7" s="1">
        <v>-0.78053499999999998</v>
      </c>
      <c r="U7">
        <f>11486590000*(1/48000000)</f>
        <v>239.30395833333336</v>
      </c>
    </row>
    <row r="8" spans="1:21" x14ac:dyDescent="0.2">
      <c r="B8" s="1">
        <v>2.275512</v>
      </c>
      <c r="C8">
        <f>3101829000*(1/48000000)</f>
        <v>64.621437499999999</v>
      </c>
      <c r="E8" s="1">
        <v>0.29142299999999999</v>
      </c>
      <c r="F8">
        <f>3261124000*(1/48000000)</f>
        <v>67.940083333333334</v>
      </c>
      <c r="H8" s="1">
        <v>-0.36106500000000002</v>
      </c>
      <c r="I8">
        <f>3697256000*(1/48000000)</f>
        <v>77.026166666666668</v>
      </c>
      <c r="K8" s="1">
        <v>-0.552477</v>
      </c>
      <c r="L8">
        <f>3850801000*(1/48000000)</f>
        <v>80.225020833333332</v>
      </c>
      <c r="N8" s="1">
        <v>-0.76742200000000005</v>
      </c>
      <c r="O8">
        <f>5537973000*(1/48000000)</f>
        <v>115.37443750000001</v>
      </c>
      <c r="Q8" s="1">
        <v>-0.86625200000000002</v>
      </c>
      <c r="R8">
        <f>9848036000*(1/48000000)</f>
        <v>205.16741666666667</v>
      </c>
      <c r="T8" s="1">
        <v>-0.74800100000000003</v>
      </c>
      <c r="U8">
        <f>11484437000*(1/48000000)</f>
        <v>239.25910416666667</v>
      </c>
    </row>
    <row r="9" spans="1:21" x14ac:dyDescent="0.2">
      <c r="B9" s="1">
        <v>1.6537189999999999</v>
      </c>
      <c r="C9">
        <f>3101334000*(1/48000000)</f>
        <v>64.611125000000001</v>
      </c>
      <c r="E9" s="1">
        <v>0.36205500000000002</v>
      </c>
      <c r="F9">
        <f>3260564000*(1/48000000)</f>
        <v>67.928416666666678</v>
      </c>
      <c r="H9" s="1">
        <v>-0.44336799999999998</v>
      </c>
      <c r="I9">
        <f>3696991000*(1/48000000)</f>
        <v>77.020645833333333</v>
      </c>
      <c r="K9" s="1">
        <v>-0.39891700000000002</v>
      </c>
      <c r="L9">
        <f>3850476000*(1/48000000)</f>
        <v>80.218250000000012</v>
      </c>
      <c r="N9" s="1">
        <v>-0.56662400000000002</v>
      </c>
      <c r="O9">
        <f>5537466000*(1/48000000)</f>
        <v>115.36387500000001</v>
      </c>
      <c r="Q9" s="1">
        <v>-0.90682799999999997</v>
      </c>
      <c r="R9">
        <f>9850721000*(1/48000000)</f>
        <v>205.22335416666667</v>
      </c>
      <c r="T9" s="1">
        <v>-0.96410700000000005</v>
      </c>
      <c r="U9">
        <f>11486017000*(1/48000000)</f>
        <v>239.29202083333334</v>
      </c>
    </row>
    <row r="10" spans="1:21" x14ac:dyDescent="0.2">
      <c r="B10" s="1">
        <v>1.402066</v>
      </c>
      <c r="C10">
        <f>3101624000*(1/48000000)</f>
        <v>64.617166666666677</v>
      </c>
      <c r="E10" s="1">
        <v>0.16526099999999999</v>
      </c>
      <c r="F10">
        <f>3260149000*(1/48000000)</f>
        <v>67.919770833333331</v>
      </c>
      <c r="H10" s="1">
        <v>-0.44003300000000001</v>
      </c>
      <c r="I10">
        <f>3698707000*(1/48000000)</f>
        <v>77.05639583333334</v>
      </c>
      <c r="K10" s="1">
        <v>-0.60108399999999995</v>
      </c>
      <c r="L10">
        <f>3848714000*(1/48000000)</f>
        <v>80.181541666666675</v>
      </c>
      <c r="N10" s="1">
        <v>-0.68272999999999995</v>
      </c>
      <c r="O10">
        <f>5538390000*(1/48000000)</f>
        <v>115.38312500000001</v>
      </c>
      <c r="Q10" s="1">
        <v>-0.85603499999999999</v>
      </c>
      <c r="R10">
        <f>9850114000*(1/48000000)</f>
        <v>205.21070833333334</v>
      </c>
      <c r="T10" s="1">
        <v>-0.85419100000000003</v>
      </c>
      <c r="U10">
        <f>11486997000*(1/48000000)</f>
        <v>239.31243750000002</v>
      </c>
    </row>
    <row r="11" spans="1:21" x14ac:dyDescent="0.2">
      <c r="B11" s="1">
        <v>2.059545</v>
      </c>
      <c r="C11">
        <f>3100121000*(1/48000000)</f>
        <v>64.585854166666664</v>
      </c>
      <c r="E11" s="1">
        <v>0.69083799999999995</v>
      </c>
      <c r="F11">
        <f>3260784000*(1/48000000)</f>
        <v>67.933000000000007</v>
      </c>
      <c r="H11" s="1">
        <v>-0.51891200000000004</v>
      </c>
      <c r="I11">
        <f>3698170000*(1/48000000)</f>
        <v>77.045208333333335</v>
      </c>
      <c r="K11" s="1">
        <v>-0.48364000000000001</v>
      </c>
      <c r="L11">
        <f>3850998000*(1/48000000)</f>
        <v>80.22912500000001</v>
      </c>
      <c r="N11" s="1">
        <v>-0.85813200000000001</v>
      </c>
      <c r="O11">
        <f>5537823000*(1/48000000)</f>
        <v>115.3713125</v>
      </c>
      <c r="Q11" s="1">
        <v>-0.96345599999999998</v>
      </c>
      <c r="R11">
        <f>9854707000*(1/48000000)</f>
        <v>205.30639583333334</v>
      </c>
      <c r="T11" s="1">
        <v>-0.812612</v>
      </c>
      <c r="U11">
        <f>11487643000*(1/48000000)</f>
        <v>239.32589583333333</v>
      </c>
    </row>
    <row r="12" spans="1:21" x14ac:dyDescent="0.2">
      <c r="B12" s="1">
        <v>0.71245800000000004</v>
      </c>
      <c r="C12">
        <f>3102266000*(1/48000000)</f>
        <v>64.630541666666673</v>
      </c>
      <c r="E12" s="1">
        <v>0.65465499999999999</v>
      </c>
      <c r="F12">
        <f>3261193000*(1/48000000)</f>
        <v>67.941520833333342</v>
      </c>
      <c r="H12" s="1">
        <v>-0.365394</v>
      </c>
      <c r="I12">
        <f>3698327000*(1/48000000)</f>
        <v>77.048479166666667</v>
      </c>
      <c r="K12" s="1">
        <v>-0.43445699999999998</v>
      </c>
      <c r="L12">
        <f>3850908000*(1/48000000)</f>
        <v>80.227249999999998</v>
      </c>
      <c r="N12" s="1">
        <v>-0.76907199999999998</v>
      </c>
      <c r="O12">
        <f>5536829000*(1/48000000)</f>
        <v>115.35060416666667</v>
      </c>
      <c r="Q12" s="1">
        <v>-0.86727600000000005</v>
      </c>
      <c r="R12">
        <f>9854184000*(1/48000000)</f>
        <v>205.2955</v>
      </c>
      <c r="T12" s="1">
        <v>-0.87679499999999999</v>
      </c>
      <c r="U12">
        <f>11488206000*(1/48000000)</f>
        <v>239.337625</v>
      </c>
    </row>
    <row r="13" spans="1:21" x14ac:dyDescent="0.2">
      <c r="B13" s="1">
        <v>1.593472</v>
      </c>
      <c r="C13">
        <f>3101252000*(1/48000000)</f>
        <v>64.609416666666675</v>
      </c>
      <c r="E13" s="1">
        <v>0.48875200000000002</v>
      </c>
      <c r="F13">
        <f>3260804000*(1/48000000)</f>
        <v>67.933416666666673</v>
      </c>
      <c r="H13" s="1">
        <v>-0.59926500000000005</v>
      </c>
      <c r="I13">
        <f>3697227000*(1/48000000)</f>
        <v>77.025562500000007</v>
      </c>
      <c r="K13" s="1">
        <v>-0.49775700000000001</v>
      </c>
      <c r="L13">
        <f>3849778000*(1/48000000)</f>
        <v>80.203708333333338</v>
      </c>
      <c r="N13" s="1">
        <v>-0.63584700000000005</v>
      </c>
      <c r="O13">
        <f>5538023000*(1/48000000)</f>
        <v>115.37547916666668</v>
      </c>
      <c r="Q13" s="1">
        <v>-0.85900100000000001</v>
      </c>
      <c r="R13">
        <f>9854723000*(1/48000000)</f>
        <v>205.30672916666668</v>
      </c>
      <c r="T13" s="1">
        <v>-0.84726800000000002</v>
      </c>
      <c r="U13">
        <f>11483986000*(1/48000000)</f>
        <v>239.24970833333336</v>
      </c>
    </row>
    <row r="14" spans="1:21" x14ac:dyDescent="0.2">
      <c r="B14" s="1">
        <v>2.0636640000000002</v>
      </c>
      <c r="C14">
        <f>3100997000*(1/48000000)</f>
        <v>64.604104166666673</v>
      </c>
      <c r="E14" s="1">
        <v>0.54098400000000002</v>
      </c>
      <c r="F14">
        <f>3260018000*(1/48000000)</f>
        <v>67.917041666666677</v>
      </c>
      <c r="H14" s="1">
        <v>-0.51641099999999995</v>
      </c>
      <c r="I14">
        <f>3697659000*(1/48000000)</f>
        <v>77.034562500000007</v>
      </c>
      <c r="K14" s="1">
        <v>-0.40324100000000002</v>
      </c>
      <c r="L14">
        <f>3850090000*(1/48000000)</f>
        <v>80.210208333333341</v>
      </c>
      <c r="N14" s="1">
        <v>-0.67514399999999997</v>
      </c>
      <c r="O14">
        <f>5537737000*(1/48000000)</f>
        <v>115.36952083333334</v>
      </c>
      <c r="Q14" s="1">
        <v>-0.75176500000000002</v>
      </c>
      <c r="R14">
        <f>9852539000*(1/48000000)</f>
        <v>205.26122916666668</v>
      </c>
      <c r="T14" s="1">
        <v>-0.85427200000000003</v>
      </c>
      <c r="U14">
        <f>11490421000*(1/48000000)</f>
        <v>239.38377083333336</v>
      </c>
    </row>
    <row r="15" spans="1:21" x14ac:dyDescent="0.2">
      <c r="B15" s="1">
        <v>2.0754950000000001</v>
      </c>
      <c r="C15">
        <f>3101376000*(1/48000000)</f>
        <v>64.612000000000009</v>
      </c>
      <c r="E15" s="1">
        <v>0.38673800000000003</v>
      </c>
      <c r="F15">
        <f>3260962000*(1/48000000)</f>
        <v>67.936708333333343</v>
      </c>
      <c r="H15" s="1">
        <v>-0.29613299999999998</v>
      </c>
      <c r="I15">
        <f>3698279000*(1/48000000)</f>
        <v>77.047479166666676</v>
      </c>
      <c r="K15" s="1">
        <v>-0.26544899999999999</v>
      </c>
      <c r="L15">
        <f>3850857000*(1/48000000)</f>
        <v>80.226187500000009</v>
      </c>
      <c r="N15" s="1">
        <v>-0.68386400000000003</v>
      </c>
      <c r="O15">
        <f>5539651000*(1/48000000)</f>
        <v>115.40939583333333</v>
      </c>
      <c r="Q15" s="1">
        <v>-0.81786000000000003</v>
      </c>
      <c r="R15">
        <f>9853965000*(1/48000000)</f>
        <v>205.29093750000001</v>
      </c>
      <c r="T15" s="1">
        <v>-0.77791999999999994</v>
      </c>
      <c r="U15">
        <f>11489295000*(1/48000000)</f>
        <v>239.36031250000002</v>
      </c>
    </row>
    <row r="16" spans="1:21" x14ac:dyDescent="0.2">
      <c r="B16" s="1">
        <v>1.736472</v>
      </c>
      <c r="C16">
        <f>3100928000*(1/48000000)</f>
        <v>64.602666666666664</v>
      </c>
      <c r="E16" s="1">
        <v>0.18611900000000001</v>
      </c>
      <c r="F16">
        <f>3260995000*(1/48000000)</f>
        <v>67.937395833333341</v>
      </c>
      <c r="H16" s="1">
        <v>-0.57483399999999996</v>
      </c>
      <c r="I16">
        <f>3697766000*(1/48000000)</f>
        <v>77.036791666666673</v>
      </c>
      <c r="K16" s="1">
        <v>-0.39651900000000001</v>
      </c>
      <c r="L16">
        <f>3851105000*(1/48000000)</f>
        <v>80.231354166666677</v>
      </c>
      <c r="N16" s="1">
        <v>-0.81178700000000004</v>
      </c>
      <c r="O16">
        <f>5539453000*(1/48000000)</f>
        <v>115.40527083333335</v>
      </c>
      <c r="Q16" s="1">
        <v>-0.82930499999999996</v>
      </c>
      <c r="R16">
        <f>9852748000*(1/48000000)</f>
        <v>205.26558333333335</v>
      </c>
      <c r="T16" s="1">
        <v>-0.875413</v>
      </c>
      <c r="U16">
        <f>11488174000*(1/48000000)</f>
        <v>239.33695833333334</v>
      </c>
    </row>
    <row r="17" spans="2:21" x14ac:dyDescent="0.2">
      <c r="B17" s="1">
        <v>2.0427240000000002</v>
      </c>
      <c r="C17">
        <f>3100321000*(1/48000000)</f>
        <v>64.590020833333341</v>
      </c>
      <c r="E17" s="1">
        <v>1.01485</v>
      </c>
      <c r="F17">
        <f>3259816000*(1/48000000)</f>
        <v>67.912833333333339</v>
      </c>
      <c r="H17" s="1">
        <v>-0.59470000000000001</v>
      </c>
      <c r="I17">
        <f>3697526000*(1/48000000)</f>
        <v>77.031791666666678</v>
      </c>
      <c r="K17" s="1">
        <v>-0.46971800000000002</v>
      </c>
      <c r="L17">
        <f>3851683000*(1/48000000)</f>
        <v>80.243395833333338</v>
      </c>
      <c r="N17" s="1">
        <v>-0.65221700000000005</v>
      </c>
      <c r="O17">
        <f>5536950000*(1/48000000)</f>
        <v>115.35312500000001</v>
      </c>
      <c r="Q17" s="1">
        <v>-0.90621399999999996</v>
      </c>
      <c r="R17">
        <f>9853159000*(1/48000000)</f>
        <v>205.27414583333334</v>
      </c>
      <c r="T17" s="1">
        <v>-0.85535000000000005</v>
      </c>
      <c r="U17">
        <f>11486147000*(1/48000000)</f>
        <v>239.29472916666668</v>
      </c>
    </row>
    <row r="18" spans="2:21" x14ac:dyDescent="0.2">
      <c r="B18" s="1">
        <v>0.330399</v>
      </c>
      <c r="C18">
        <f>3101073000*(1/48000000)</f>
        <v>64.605687500000002</v>
      </c>
      <c r="E18" s="1">
        <v>0.34070499999999998</v>
      </c>
      <c r="F18">
        <f>3260417000*(1/48000000)</f>
        <v>67.925354166666665</v>
      </c>
      <c r="H18" s="1">
        <v>-0.55829099999999998</v>
      </c>
      <c r="I18">
        <f>3697549000*(1/48000000)</f>
        <v>77.032270833333342</v>
      </c>
      <c r="K18" s="1">
        <v>-0.52841300000000002</v>
      </c>
      <c r="L18">
        <f>3851033000*(1/48000000)</f>
        <v>80.229854166666669</v>
      </c>
      <c r="N18" s="1">
        <v>-0.82206999999999997</v>
      </c>
      <c r="O18">
        <f>5537135000*(1/48000000)</f>
        <v>115.35697916666668</v>
      </c>
      <c r="Q18" s="1">
        <v>-0.92191000000000001</v>
      </c>
      <c r="R18">
        <f>9857194000*(1/48000000)</f>
        <v>205.35820833333335</v>
      </c>
      <c r="T18" s="1">
        <v>-0.80740100000000004</v>
      </c>
      <c r="U18">
        <f>11486637000*(1/48000000)</f>
        <v>239.30493750000002</v>
      </c>
    </row>
    <row r="19" spans="2:21" x14ac:dyDescent="0.2">
      <c r="B19" s="1">
        <v>0.56623400000000002</v>
      </c>
      <c r="C19">
        <f>3101977000*(1/48000000)</f>
        <v>64.624520833333335</v>
      </c>
      <c r="E19" s="1">
        <v>0.21129700000000001</v>
      </c>
      <c r="F19">
        <f>3260857000*(1/48000000)</f>
        <v>67.934520833333337</v>
      </c>
      <c r="H19" s="1">
        <v>-0.61573500000000003</v>
      </c>
      <c r="I19">
        <f>3699941000*(1/48000000)</f>
        <v>77.082104166666667</v>
      </c>
      <c r="K19" s="1">
        <v>-0.478381</v>
      </c>
      <c r="L19">
        <f>3849860000*(1/48000000)</f>
        <v>80.205416666666665</v>
      </c>
      <c r="N19" s="1">
        <v>-0.62445600000000001</v>
      </c>
      <c r="O19">
        <f>5538810000*(1/48000000)</f>
        <v>115.39187500000001</v>
      </c>
      <c r="Q19" s="1">
        <v>-0.76434899999999995</v>
      </c>
      <c r="R19">
        <f>9855002000*(1/48000000)</f>
        <v>205.31254166666668</v>
      </c>
      <c r="T19" s="1">
        <v>-0.66653499999999999</v>
      </c>
      <c r="U19">
        <f>11492712000*(1/48000000)</f>
        <v>239.43150000000003</v>
      </c>
    </row>
    <row r="20" spans="2:21" x14ac:dyDescent="0.2">
      <c r="B20" s="1">
        <v>0.77945699999999996</v>
      </c>
      <c r="C20">
        <f>3099297000*(1/48000000)</f>
        <v>64.56868750000001</v>
      </c>
      <c r="E20" s="1">
        <v>0.68982900000000003</v>
      </c>
      <c r="F20">
        <f>3260302000*(1/48000000)</f>
        <v>67.922958333333341</v>
      </c>
      <c r="H20" s="1">
        <v>-0.51479299999999995</v>
      </c>
      <c r="I20">
        <f>3698481000*(1/48000000)</f>
        <v>77.0516875</v>
      </c>
      <c r="K20" s="1">
        <v>-0.26699800000000001</v>
      </c>
      <c r="L20">
        <f>3850906000*(1/48000000)</f>
        <v>80.227208333333337</v>
      </c>
      <c r="N20" s="1">
        <v>-0.64338300000000004</v>
      </c>
      <c r="O20">
        <f>5537890000*(1/48000000)</f>
        <v>115.37270833333334</v>
      </c>
      <c r="Q20" s="1">
        <v>-0.77954500000000004</v>
      </c>
      <c r="R20">
        <f>9854842000*(1/48000000)</f>
        <v>205.30920833333334</v>
      </c>
      <c r="T20" s="1">
        <v>-0.83110499999999998</v>
      </c>
      <c r="U20">
        <f>11488932000*(1/48000000)</f>
        <v>239.35275000000001</v>
      </c>
    </row>
    <row r="21" spans="2:21" x14ac:dyDescent="0.2">
      <c r="B21" s="1">
        <v>1.0465230000000001</v>
      </c>
      <c r="C21">
        <f>3100914000*(1/48000000)</f>
        <v>64.602375000000009</v>
      </c>
      <c r="E21" s="1">
        <v>0.45388299999999998</v>
      </c>
      <c r="F21">
        <f>3260445000*(1/48000000)</f>
        <v>67.925937500000003</v>
      </c>
      <c r="H21" s="1">
        <v>-0.54425900000000005</v>
      </c>
      <c r="I21">
        <f>3698810000*(1/48000000)</f>
        <v>77.05854166666667</v>
      </c>
      <c r="K21" s="1">
        <v>-0.31212099999999998</v>
      </c>
      <c r="L21">
        <f>3851335000*(1/48000000)</f>
        <v>80.236145833333339</v>
      </c>
      <c r="N21" s="1">
        <v>-0.64804600000000001</v>
      </c>
      <c r="O21">
        <f>5537913000*(1/48000000)</f>
        <v>115.3731875</v>
      </c>
      <c r="Q21" s="1">
        <v>-0.73245700000000002</v>
      </c>
      <c r="R21">
        <f>9852209000*(1/48000000)</f>
        <v>205.25435416666667</v>
      </c>
      <c r="T21" s="1">
        <v>-0.73692800000000003</v>
      </c>
      <c r="U21">
        <f>11490369000*(1/48000000)</f>
        <v>239.3826875</v>
      </c>
    </row>
    <row r="22" spans="2:21" x14ac:dyDescent="0.2">
      <c r="B22" s="1">
        <v>1.1161540000000001</v>
      </c>
      <c r="C22">
        <f>3101810000*(1/48000000)</f>
        <v>64.62104166666667</v>
      </c>
      <c r="E22" s="1">
        <v>0.60697100000000004</v>
      </c>
      <c r="F22">
        <f>3260211000*(1/48000000)</f>
        <v>67.921062500000005</v>
      </c>
      <c r="H22" s="1">
        <v>-0.36675799999999997</v>
      </c>
      <c r="I22">
        <f>3698328000*(1/48000000)</f>
        <v>77.048500000000004</v>
      </c>
      <c r="K22" s="1">
        <v>-0.51070400000000005</v>
      </c>
      <c r="L22">
        <f>3850902000*(1/48000000)</f>
        <v>80.227125000000001</v>
      </c>
      <c r="N22" s="1">
        <v>-0.70926299999999998</v>
      </c>
      <c r="O22">
        <f>5539018000*(1/48000000)</f>
        <v>115.39620833333333</v>
      </c>
      <c r="Q22" s="1">
        <v>-0.667601</v>
      </c>
      <c r="R22">
        <f>9853579000*(1/48000000)</f>
        <v>205.28289583333336</v>
      </c>
      <c r="T22" s="1">
        <v>-1.0331300000000001</v>
      </c>
      <c r="U22">
        <f>11490075000*(1/48000000)</f>
        <v>239.37656250000001</v>
      </c>
    </row>
    <row r="23" spans="2:21" x14ac:dyDescent="0.2">
      <c r="B23" s="1">
        <v>1.4251</v>
      </c>
      <c r="C23">
        <f>3101008000*(1/48000000)</f>
        <v>64.604333333333344</v>
      </c>
      <c r="E23" s="1">
        <v>0.44379999999999997</v>
      </c>
      <c r="F23">
        <f>3260705000*(1/48000000)</f>
        <v>67.931354166666665</v>
      </c>
      <c r="H23" s="1">
        <v>-0.57269800000000004</v>
      </c>
      <c r="I23">
        <f>3698801000*(1/48000000)</f>
        <v>77.058354166666675</v>
      </c>
      <c r="K23" s="1">
        <v>-0.314747</v>
      </c>
      <c r="L23">
        <f>3850019000*(1/48000000)</f>
        <v>80.208729166666672</v>
      </c>
      <c r="N23" s="1">
        <v>-0.80788899999999997</v>
      </c>
      <c r="O23">
        <f>5538921000*(1/48000000)</f>
        <v>115.3941875</v>
      </c>
      <c r="Q23" s="1">
        <v>-0.874278</v>
      </c>
      <c r="R23">
        <f>9853127000*(1/48000000)</f>
        <v>205.27347916666668</v>
      </c>
      <c r="T23" s="1">
        <v>-0.79751700000000003</v>
      </c>
      <c r="U23">
        <f>11491993000*(1/48000000)</f>
        <v>239.41652083333335</v>
      </c>
    </row>
    <row r="24" spans="2:21" x14ac:dyDescent="0.2">
      <c r="B24" s="1">
        <v>1.4257379999999999</v>
      </c>
      <c r="C24">
        <f>3101347000*(1/48000000)</f>
        <v>64.611395833333333</v>
      </c>
      <c r="E24" s="1">
        <v>0.66752299999999998</v>
      </c>
      <c r="F24">
        <f>3259636000*(1/48000000)</f>
        <v>67.909083333333342</v>
      </c>
      <c r="H24" s="1">
        <v>-0.25098999999999999</v>
      </c>
      <c r="I24">
        <f>3698355000*(1/48000000)</f>
        <v>77.049062500000005</v>
      </c>
      <c r="K24" s="1">
        <v>-0.34446399999999999</v>
      </c>
      <c r="L24">
        <f>3849596000*(1/48000000)</f>
        <v>80.199916666666667</v>
      </c>
      <c r="N24" s="1">
        <v>-0.739622</v>
      </c>
      <c r="O24">
        <f>5539627000*(1/48000000)</f>
        <v>115.40889583333335</v>
      </c>
      <c r="Q24" s="1">
        <v>-0.77917099999999995</v>
      </c>
      <c r="R24">
        <f>9855067000*(1/48000000)</f>
        <v>205.31389583333333</v>
      </c>
      <c r="T24" s="1">
        <v>-0.88819599999999999</v>
      </c>
      <c r="U24">
        <f>11490554000*(1/48000000)</f>
        <v>239.38654166666669</v>
      </c>
    </row>
    <row r="25" spans="2:21" x14ac:dyDescent="0.2">
      <c r="B25" s="1">
        <v>1.6576839999999999</v>
      </c>
      <c r="C25">
        <f>3100945000*(1/48000000)</f>
        <v>64.603020833333332</v>
      </c>
      <c r="E25" s="1">
        <v>0.40745199999999998</v>
      </c>
      <c r="F25">
        <f>3260026000*(1/48000000)</f>
        <v>67.917208333333335</v>
      </c>
      <c r="H25" s="1">
        <v>-0.64910100000000004</v>
      </c>
      <c r="I25">
        <f>3699233000*(1/48000000)</f>
        <v>77.067354166666675</v>
      </c>
      <c r="K25" s="1">
        <v>-0.34827399999999997</v>
      </c>
      <c r="L25">
        <f>3851337000*(1/48000000)</f>
        <v>80.2361875</v>
      </c>
      <c r="N25" s="1">
        <v>-0.66056700000000002</v>
      </c>
      <c r="O25">
        <f>5538376000*(1/48000000)</f>
        <v>115.38283333333334</v>
      </c>
      <c r="Q25" s="1">
        <v>-0.88675499999999996</v>
      </c>
      <c r="R25">
        <f>9854959000*(1/48000000)</f>
        <v>205.31164583333336</v>
      </c>
      <c r="T25" s="1">
        <v>-0.80674800000000002</v>
      </c>
      <c r="U25">
        <f>11490783000*(1/48000000)</f>
        <v>239.39131250000003</v>
      </c>
    </row>
    <row r="26" spans="2:21" x14ac:dyDescent="0.2">
      <c r="B26" s="1">
        <v>2.612136</v>
      </c>
      <c r="C26">
        <f>3100972000*(1/48000000)</f>
        <v>64.603583333333333</v>
      </c>
      <c r="E26" s="1">
        <v>0.80895899999999998</v>
      </c>
      <c r="F26">
        <f>3261003000*(1/48000000)</f>
        <v>67.937562499999999</v>
      </c>
      <c r="H26" s="1">
        <v>-0.71882100000000004</v>
      </c>
      <c r="I26">
        <f>3698040000*(1/48000000)</f>
        <v>77.042500000000004</v>
      </c>
      <c r="K26" s="1">
        <v>-0.44283699999999998</v>
      </c>
      <c r="L26">
        <f>3850151000*(1/48000000)</f>
        <v>80.211479166666678</v>
      </c>
      <c r="N26" s="1">
        <v>-0.74699700000000002</v>
      </c>
      <c r="O26">
        <f>5539753000*(1/48000000)</f>
        <v>115.41152083333334</v>
      </c>
      <c r="Q26" s="1">
        <v>-0.81945100000000004</v>
      </c>
      <c r="R26">
        <f>9858417000*(1/48000000)</f>
        <v>205.38368750000001</v>
      </c>
      <c r="T26" s="1">
        <v>-0.80042199999999997</v>
      </c>
      <c r="U26">
        <f>11494367000*(1/48000000)</f>
        <v>239.46597916666667</v>
      </c>
    </row>
    <row r="27" spans="2:21" x14ac:dyDescent="0.2">
      <c r="B27" s="1">
        <v>1.4370240000000001</v>
      </c>
      <c r="E27" s="1">
        <v>0.33095000000000002</v>
      </c>
      <c r="F27">
        <f>3259862000*(1/48000000)</f>
        <v>67.913791666666668</v>
      </c>
      <c r="H27" s="1">
        <v>-0.25304599999999999</v>
      </c>
      <c r="I27">
        <f>3696388000*(1/48000000)</f>
        <v>77.008083333333332</v>
      </c>
      <c r="K27" s="1">
        <v>-0.59082299999999999</v>
      </c>
      <c r="L27">
        <f>3849421000*(1/48000000)</f>
        <v>80.196270833333344</v>
      </c>
      <c r="N27" s="1">
        <v>-0.777389</v>
      </c>
      <c r="O27">
        <f>5539146000*(1/48000000)</f>
        <v>115.398875</v>
      </c>
      <c r="Q27" s="1">
        <v>-0.86636400000000002</v>
      </c>
      <c r="R27">
        <f>9856793000*(1/48000000)</f>
        <v>205.34985416666669</v>
      </c>
      <c r="T27" s="1">
        <v>-0.91923500000000002</v>
      </c>
      <c r="U27">
        <f>11491418000*(1/48000000)</f>
        <v>239.40454166666669</v>
      </c>
    </row>
    <row r="28" spans="2:21" x14ac:dyDescent="0.2">
      <c r="B28" s="1">
        <v>1.561968</v>
      </c>
      <c r="E28" s="1">
        <v>0.45242300000000002</v>
      </c>
      <c r="F28">
        <f>3259545000*(1/48000000)</f>
        <v>67.907187500000006</v>
      </c>
      <c r="H28" s="1">
        <v>-0.16125500000000001</v>
      </c>
      <c r="I28">
        <f>3698057000*(1/48000000)</f>
        <v>77.042854166666672</v>
      </c>
      <c r="K28" s="1">
        <v>-0.40256900000000001</v>
      </c>
      <c r="L28">
        <f>3849784000*(1/48000000)</f>
        <v>80.203833333333336</v>
      </c>
      <c r="N28" s="1">
        <v>-0.58543000000000001</v>
      </c>
      <c r="O28">
        <f>5538984000*(1/48000000)</f>
        <v>115.39550000000001</v>
      </c>
      <c r="Q28" s="1">
        <v>-0.73360999999999998</v>
      </c>
      <c r="R28">
        <f>9852550000*(1/48000000)</f>
        <v>205.26145833333334</v>
      </c>
      <c r="T28" s="1">
        <v>-0.80499299999999996</v>
      </c>
      <c r="U28">
        <f>11493002000*(1/48000000)</f>
        <v>239.43754166666668</v>
      </c>
    </row>
    <row r="29" spans="2:21" x14ac:dyDescent="0.2">
      <c r="B29" s="1">
        <v>2.3769650000000002</v>
      </c>
      <c r="E29" s="1">
        <v>0.62201799999999996</v>
      </c>
      <c r="F29">
        <f>3260307000*(1/48000000)</f>
        <v>67.9230625</v>
      </c>
      <c r="H29" s="1">
        <v>-0.63269600000000004</v>
      </c>
      <c r="I29">
        <f>3696805000*(1/48000000)</f>
        <v>77.016770833333339</v>
      </c>
      <c r="K29" s="1">
        <v>-0.40415000000000001</v>
      </c>
      <c r="L29">
        <f>3849632000*(1/48000000)</f>
        <v>80.200666666666677</v>
      </c>
      <c r="N29" s="1">
        <v>-0.64070400000000005</v>
      </c>
      <c r="O29">
        <f>5538784000*(1/48000000)</f>
        <v>115.39133333333334</v>
      </c>
      <c r="Q29" s="1">
        <v>-0.64782600000000001</v>
      </c>
      <c r="R29">
        <f>9860439000*(1/48000000)</f>
        <v>205.42581250000001</v>
      </c>
      <c r="T29" s="1">
        <v>-0.90467600000000004</v>
      </c>
      <c r="U29">
        <f>11489832000*(1/48000000)</f>
        <v>239.37150000000003</v>
      </c>
    </row>
    <row r="30" spans="2:21" x14ac:dyDescent="0.2">
      <c r="B30" s="1">
        <v>1.730043</v>
      </c>
      <c r="E30" s="1">
        <v>0.30230400000000002</v>
      </c>
      <c r="F30">
        <f>3261660000*(1/48000000)</f>
        <v>67.951250000000002</v>
      </c>
      <c r="H30" s="1">
        <v>-0.16314799999999999</v>
      </c>
      <c r="I30">
        <f>3699827000*(1/48000000)</f>
        <v>77.079729166666667</v>
      </c>
      <c r="K30" s="1">
        <v>-0.24925600000000001</v>
      </c>
      <c r="L30">
        <f>3850657000*(1/48000000)</f>
        <v>80.222020833333332</v>
      </c>
      <c r="N30" s="1">
        <v>-0.69084100000000004</v>
      </c>
      <c r="O30">
        <f>5538189000*(1/48000000)</f>
        <v>115.37893750000001</v>
      </c>
      <c r="Q30" s="1">
        <v>-0.72085200000000005</v>
      </c>
      <c r="R30">
        <f>9856864000*(1/48000000)</f>
        <v>205.35133333333334</v>
      </c>
      <c r="T30" s="1">
        <v>-0.92949199999999998</v>
      </c>
      <c r="U30">
        <f>11494209000*(1/48000000)</f>
        <v>239.46268750000002</v>
      </c>
    </row>
    <row r="31" spans="2:21" x14ac:dyDescent="0.2">
      <c r="B31" s="1">
        <v>0.89977200000000002</v>
      </c>
      <c r="E31" s="1">
        <v>0.32663900000000001</v>
      </c>
      <c r="F31">
        <f>3260602000*(1/48000000)</f>
        <v>67.929208333333335</v>
      </c>
      <c r="H31" s="1">
        <v>-0.55735000000000001</v>
      </c>
      <c r="I31">
        <f>3698884000*(1/48000000)</f>
        <v>77.060083333333338</v>
      </c>
      <c r="K31" s="1">
        <v>-0.29070400000000002</v>
      </c>
      <c r="L31">
        <f>3849602000*(1/48000000)</f>
        <v>80.200041666666678</v>
      </c>
      <c r="N31" s="1">
        <v>-0.69173499999999999</v>
      </c>
      <c r="O31">
        <f>5537913000*(1/48000000)</f>
        <v>115.3731875</v>
      </c>
      <c r="Q31" s="1">
        <v>-0.86748999999999998</v>
      </c>
      <c r="R31">
        <f>9858044000*(1/48000000)</f>
        <v>205.37591666666668</v>
      </c>
      <c r="T31" s="1">
        <v>-0.83431500000000003</v>
      </c>
      <c r="U31">
        <f>11492735000*(1/48000000)</f>
        <v>239.43197916666668</v>
      </c>
    </row>
    <row r="32" spans="2:21" x14ac:dyDescent="0.2">
      <c r="B32" s="1">
        <v>1.169441</v>
      </c>
      <c r="E32" s="1">
        <v>0.638405</v>
      </c>
      <c r="F32">
        <f>3259884000*(1/48000000)</f>
        <v>67.91425000000001</v>
      </c>
      <c r="H32" s="1">
        <v>-0.14028199999999999</v>
      </c>
      <c r="I32">
        <f>3697800000*(1/48000000)</f>
        <v>77.037500000000009</v>
      </c>
      <c r="K32" s="1">
        <v>-0.26162400000000002</v>
      </c>
      <c r="L32">
        <f>3850493000*(1/48000000)</f>
        <v>80.218604166666665</v>
      </c>
      <c r="N32" s="1">
        <v>-0.63338000000000005</v>
      </c>
      <c r="O32">
        <f>5539100000*(1/48000000)</f>
        <v>115.39791666666667</v>
      </c>
      <c r="Q32" s="1">
        <v>-0.81889500000000004</v>
      </c>
      <c r="R32">
        <f>9857759000*(1/48000000)</f>
        <v>205.36997916666667</v>
      </c>
      <c r="T32" s="1">
        <v>-0.86206700000000003</v>
      </c>
      <c r="U32">
        <f>11489925000*(1/48000000)</f>
        <v>239.37343750000002</v>
      </c>
    </row>
    <row r="33" spans="2:21" x14ac:dyDescent="0.2">
      <c r="B33" s="1">
        <v>2.5474800000000002</v>
      </c>
      <c r="E33" s="1">
        <v>0.65781599999999996</v>
      </c>
      <c r="F33">
        <f>3260842000*(1/48000000)</f>
        <v>67.934208333333331</v>
      </c>
      <c r="H33" s="1">
        <v>-0.28955700000000001</v>
      </c>
      <c r="I33">
        <f>3698080000*(1/48000000)</f>
        <v>77.043333333333337</v>
      </c>
      <c r="K33" s="1">
        <v>-0.66365200000000002</v>
      </c>
      <c r="L33">
        <f>3850880000*(1/48000000)</f>
        <v>80.226666666666674</v>
      </c>
      <c r="N33" s="1">
        <v>-0.62544100000000002</v>
      </c>
      <c r="O33">
        <f>5540560000*(1/48000000)</f>
        <v>115.42833333333334</v>
      </c>
      <c r="Q33" s="1">
        <v>-0.85031000000000001</v>
      </c>
      <c r="R33">
        <f>9858620000*(1/48000000)</f>
        <v>205.38791666666668</v>
      </c>
      <c r="T33" s="1">
        <v>-0.82787299999999997</v>
      </c>
      <c r="U33">
        <f>11492849000*(1/48000000)</f>
        <v>239.43435416666668</v>
      </c>
    </row>
    <row r="34" spans="2:21" x14ac:dyDescent="0.2">
      <c r="B34" s="1">
        <v>2.5871219999999999</v>
      </c>
      <c r="E34" s="1">
        <v>0.41278500000000001</v>
      </c>
      <c r="F34">
        <f>3259875000*(1/48000000)</f>
        <v>67.9140625</v>
      </c>
      <c r="H34" s="1">
        <v>-0.36324400000000001</v>
      </c>
      <c r="I34">
        <f>3698516000*(1/48000000)</f>
        <v>77.052416666666673</v>
      </c>
      <c r="K34" s="1">
        <v>-0.426041</v>
      </c>
      <c r="L34">
        <f>3851639000*(1/48000000)</f>
        <v>80.242479166666669</v>
      </c>
      <c r="N34" s="1">
        <v>-0.82661899999999999</v>
      </c>
      <c r="O34">
        <f>5540626000*(1/48000000)</f>
        <v>115.42970833333334</v>
      </c>
      <c r="Q34" s="1">
        <v>-0.88931000000000004</v>
      </c>
      <c r="R34">
        <f>9857474000*(1/48000000)</f>
        <v>205.36404166666668</v>
      </c>
      <c r="T34" s="1">
        <v>-0.73036900000000005</v>
      </c>
      <c r="U34">
        <f>11489912000*(1/48000000)</f>
        <v>239.37316666666669</v>
      </c>
    </row>
    <row r="35" spans="2:21" x14ac:dyDescent="0.2">
      <c r="B35" s="1">
        <v>1.7014009999999999</v>
      </c>
      <c r="E35" s="1">
        <v>0.87230300000000005</v>
      </c>
      <c r="F35">
        <f>3261487000*(1/48000000)</f>
        <v>67.94764583333334</v>
      </c>
      <c r="H35" s="1">
        <v>-0.56692299999999995</v>
      </c>
      <c r="I35">
        <f>3697982000*(1/48000000)</f>
        <v>77.041291666666666</v>
      </c>
      <c r="K35" s="1">
        <v>-0.359595</v>
      </c>
      <c r="L35">
        <f>3850124000*(1/48000000)</f>
        <v>80.210916666666677</v>
      </c>
      <c r="N35" s="1">
        <v>-0.70779899999999996</v>
      </c>
      <c r="O35">
        <f>5540336000*(1/48000000)</f>
        <v>115.42366666666668</v>
      </c>
      <c r="Q35" s="1">
        <v>-0.79168300000000003</v>
      </c>
      <c r="R35">
        <f>9856859000*(1/48000000)</f>
        <v>205.35122916666668</v>
      </c>
      <c r="T35" s="1">
        <v>-0.81815199999999999</v>
      </c>
      <c r="U35">
        <f>11493726000*(1/48000000)</f>
        <v>239.45262500000001</v>
      </c>
    </row>
    <row r="36" spans="2:21" x14ac:dyDescent="0.2">
      <c r="B36" s="1">
        <v>1.8121309999999999</v>
      </c>
      <c r="E36" s="1">
        <v>0.36420000000000002</v>
      </c>
      <c r="F36">
        <f>3260527000*(1/48000000)</f>
        <v>67.927645833333344</v>
      </c>
      <c r="H36" s="1">
        <v>-0.313079</v>
      </c>
      <c r="I36">
        <f>3698310000*(1/48000000)</f>
        <v>77.048124999999999</v>
      </c>
      <c r="K36" s="1">
        <v>-0.31285499999999999</v>
      </c>
      <c r="L36">
        <f>3851219000*(1/48000000)</f>
        <v>80.233729166666677</v>
      </c>
      <c r="N36" s="1">
        <v>-0.62665800000000005</v>
      </c>
      <c r="O36">
        <f>5539461000*(1/48000000)</f>
        <v>115.40543750000001</v>
      </c>
      <c r="Q36" s="1">
        <v>-0.76847100000000002</v>
      </c>
      <c r="R36">
        <f>9858458000*(1/48000000)</f>
        <v>205.38454166666668</v>
      </c>
      <c r="T36" s="1">
        <v>-0.80223100000000003</v>
      </c>
      <c r="U36">
        <f>11491156000*(1/48000000)</f>
        <v>239.39908333333335</v>
      </c>
    </row>
    <row r="37" spans="2:21" x14ac:dyDescent="0.2">
      <c r="B37" s="1">
        <v>1.461873</v>
      </c>
      <c r="E37" s="1">
        <v>0.25659599999999999</v>
      </c>
      <c r="F37">
        <f>3260974000*(1/48000000)</f>
        <v>67.936958333333337</v>
      </c>
      <c r="H37" s="1">
        <v>-0.37670399999999998</v>
      </c>
      <c r="I37">
        <f>3698100000*(1/48000000)</f>
        <v>77.043750000000003</v>
      </c>
      <c r="K37" s="1">
        <v>-0.34588099999999999</v>
      </c>
      <c r="L37">
        <f>3851488000*(1/48000000)</f>
        <v>80.239333333333335</v>
      </c>
      <c r="N37" s="1">
        <v>-0.72026999999999997</v>
      </c>
      <c r="O37">
        <f>5539238000*(1/48000000)</f>
        <v>115.40079166666668</v>
      </c>
      <c r="Q37" s="1">
        <v>-0.75445499999999999</v>
      </c>
      <c r="R37">
        <f>9860084000*(1/48000000)</f>
        <v>205.41841666666667</v>
      </c>
      <c r="T37" s="1">
        <v>-0.79296699999999998</v>
      </c>
      <c r="U37">
        <f>11491402000*(1/48000000)</f>
        <v>239.40420833333334</v>
      </c>
    </row>
    <row r="38" spans="2:21" x14ac:dyDescent="0.2">
      <c r="B38" s="1">
        <v>2.2890299999999999</v>
      </c>
      <c r="E38" s="1">
        <v>0.51112100000000005</v>
      </c>
      <c r="F38">
        <f>0*(1/48000000)</f>
        <v>0</v>
      </c>
      <c r="H38" s="1">
        <v>-0.38236900000000001</v>
      </c>
      <c r="I38">
        <f>3698258000*(1/48000000)</f>
        <v>77.047041666666672</v>
      </c>
      <c r="K38" s="1">
        <v>-0.34062599999999998</v>
      </c>
      <c r="L38">
        <f>3849571000*(1/48000000)</f>
        <v>80.199395833333341</v>
      </c>
      <c r="N38" s="1">
        <v>-0.81843200000000005</v>
      </c>
      <c r="O38">
        <f>5539768000*(1/48000000)</f>
        <v>115.41183333333333</v>
      </c>
      <c r="Q38" s="1">
        <v>-0.82697200000000004</v>
      </c>
      <c r="R38">
        <f>9859658000*(1/48000000)</f>
        <v>205.40954166666668</v>
      </c>
      <c r="T38" s="1">
        <v>-0.864147</v>
      </c>
      <c r="U38">
        <f>11493030000*(1/48000000)</f>
        <v>239.43812500000001</v>
      </c>
    </row>
    <row r="39" spans="2:21" x14ac:dyDescent="0.2">
      <c r="B39" s="1">
        <v>2.5784280000000002</v>
      </c>
      <c r="E39" s="1">
        <v>0.258774</v>
      </c>
      <c r="H39" s="1">
        <v>-0.35935099999999998</v>
      </c>
      <c r="I39">
        <f>3697982000*(1/48000000)</f>
        <v>77.041291666666666</v>
      </c>
      <c r="K39" s="1">
        <v>-0.28935300000000003</v>
      </c>
      <c r="L39">
        <f>3850754000*(1/48000000)</f>
        <v>80.224041666666665</v>
      </c>
      <c r="N39" s="1">
        <v>-0.63139100000000004</v>
      </c>
      <c r="O39">
        <f>5539487000*(1/48000000)</f>
        <v>115.40597916666667</v>
      </c>
      <c r="Q39" s="1">
        <v>-0.82625899999999997</v>
      </c>
      <c r="R39">
        <f>9861670000*(1/48000000)</f>
        <v>205.45145833333333</v>
      </c>
      <c r="T39" s="1">
        <v>-0.80647500000000005</v>
      </c>
      <c r="U39">
        <f>11490544000*(1/48000000)</f>
        <v>239.38633333333334</v>
      </c>
    </row>
    <row r="40" spans="2:21" x14ac:dyDescent="0.2">
      <c r="B40" s="1">
        <v>1.084028</v>
      </c>
      <c r="E40" s="1">
        <v>0.869645</v>
      </c>
      <c r="H40" s="1">
        <v>-0.28749599999999997</v>
      </c>
      <c r="I40">
        <f>3697495000*(1/48000000)</f>
        <v>77.031145833333341</v>
      </c>
      <c r="K40" s="1">
        <v>-0.36976199999999998</v>
      </c>
      <c r="L40">
        <f>3851099000*(1/48000000)</f>
        <v>80.231229166666665</v>
      </c>
      <c r="N40" s="1">
        <v>-0.57851399999999997</v>
      </c>
      <c r="O40">
        <f>5539400000*(1/48000000)</f>
        <v>115.40416666666667</v>
      </c>
      <c r="Q40" s="1">
        <v>-0.87379600000000002</v>
      </c>
      <c r="R40">
        <f>9861913000*(1/48000000)</f>
        <v>205.45652083333334</v>
      </c>
      <c r="T40" s="1">
        <v>-0.83459099999999997</v>
      </c>
      <c r="U40">
        <f>11491249000*(1/48000000)</f>
        <v>239.40102083333335</v>
      </c>
    </row>
    <row r="41" spans="2:21" x14ac:dyDescent="0.2">
      <c r="B41" s="1">
        <v>2.4929350000000001</v>
      </c>
      <c r="E41" s="1">
        <v>0.45470699999999997</v>
      </c>
      <c r="H41" s="1">
        <v>-0.43079000000000001</v>
      </c>
      <c r="I41">
        <f>3698804000*(1/48000000)</f>
        <v>77.058416666666673</v>
      </c>
      <c r="K41" s="1">
        <v>-0.33518199999999998</v>
      </c>
      <c r="L41">
        <f>3849414000*(1/48000000)</f>
        <v>80.196125000000009</v>
      </c>
      <c r="Q41" s="1">
        <v>-0.95792500000000003</v>
      </c>
      <c r="R41">
        <f>9859606000*(1/48000000)</f>
        <v>205.40845833333336</v>
      </c>
      <c r="T41" s="1">
        <v>-0.90536000000000005</v>
      </c>
      <c r="U41">
        <f>11491790000*(1/48000000)</f>
        <v>239.41229166666668</v>
      </c>
    </row>
    <row r="42" spans="2:21" x14ac:dyDescent="0.2">
      <c r="B42" s="1">
        <v>2.449274</v>
      </c>
      <c r="E42" s="1">
        <v>0.26312000000000002</v>
      </c>
      <c r="H42" s="1">
        <v>-0.32186799999999999</v>
      </c>
      <c r="I42">
        <f>3697546000*(1/48000000)</f>
        <v>77.032208333333344</v>
      </c>
      <c r="K42" s="1">
        <v>-0.44131199999999998</v>
      </c>
      <c r="L42">
        <f>3850505000*(1/48000000)</f>
        <v>80.218854166666674</v>
      </c>
      <c r="R42">
        <f>9862567000*(1/48000000)</f>
        <v>205.47014583333333</v>
      </c>
      <c r="T42" s="1">
        <v>-0.72975100000000004</v>
      </c>
      <c r="U42">
        <f>11490652000*(1/48000000)</f>
        <v>239.38858333333334</v>
      </c>
    </row>
    <row r="43" spans="2:21" x14ac:dyDescent="0.2">
      <c r="B43" s="1">
        <v>1.819769</v>
      </c>
      <c r="E43" s="1">
        <v>0.346968</v>
      </c>
      <c r="H43" s="1">
        <v>-0.464694</v>
      </c>
      <c r="K43" s="1">
        <v>-0.38032300000000002</v>
      </c>
      <c r="T43" s="1">
        <v>-0.86512999999999995</v>
      </c>
      <c r="U43">
        <f>11488838000*(1/48000000)</f>
        <v>239.35079166666668</v>
      </c>
    </row>
    <row r="44" spans="2:21" x14ac:dyDescent="0.2">
      <c r="B44" s="1">
        <v>2.1278549999999998</v>
      </c>
      <c r="E44" s="1">
        <v>0.42655199999999999</v>
      </c>
      <c r="H44" s="1">
        <v>-0.298236</v>
      </c>
      <c r="K44" s="1">
        <v>-0.36285299999999998</v>
      </c>
      <c r="U44">
        <f>11488768000*(1/48000000)</f>
        <v>239.34933333333333</v>
      </c>
    </row>
    <row r="45" spans="2:21" x14ac:dyDescent="0.2">
      <c r="B45" s="1">
        <v>1.2357039999999999</v>
      </c>
      <c r="E45" s="1">
        <v>0.425846</v>
      </c>
      <c r="H45" s="1">
        <v>-0.58779099999999995</v>
      </c>
      <c r="K45" s="1">
        <v>-0.252556</v>
      </c>
    </row>
    <row r="46" spans="2:21" x14ac:dyDescent="0.2">
      <c r="B46" s="1">
        <v>1.6947110000000001</v>
      </c>
      <c r="K46" s="1">
        <v>-0.39672000000000002</v>
      </c>
    </row>
    <row r="47" spans="2:21" x14ac:dyDescent="0.2">
      <c r="B47" s="1">
        <v>2.3291490000000001</v>
      </c>
      <c r="K47" s="1">
        <v>-0.32802999999999999</v>
      </c>
    </row>
    <row r="48" spans="2:21" x14ac:dyDescent="0.2">
      <c r="B48" s="1">
        <v>1.258618</v>
      </c>
      <c r="K48" s="1">
        <v>-0.45961099999999999</v>
      </c>
    </row>
    <row r="49" spans="2:11" x14ac:dyDescent="0.2">
      <c r="B49" s="1">
        <v>0.98757899999999998</v>
      </c>
      <c r="K49" s="1">
        <v>-0.35967100000000002</v>
      </c>
    </row>
    <row r="50" spans="2:11" x14ac:dyDescent="0.2">
      <c r="B50" s="1">
        <v>2.147907</v>
      </c>
      <c r="K50" s="1">
        <v>-0.36538900000000002</v>
      </c>
    </row>
    <row r="51" spans="2:11" x14ac:dyDescent="0.2">
      <c r="B51" s="1">
        <v>1.4769589999999999</v>
      </c>
      <c r="K51" s="1">
        <v>-0.49580999999999997</v>
      </c>
    </row>
    <row r="52" spans="2:11" x14ac:dyDescent="0.2">
      <c r="B52" s="1">
        <v>2.0214159999999999</v>
      </c>
      <c r="K52" s="1">
        <v>-0.30316199999999999</v>
      </c>
    </row>
    <row r="53" spans="2:11" x14ac:dyDescent="0.2">
      <c r="B53" s="1">
        <v>2.1635840000000002</v>
      </c>
      <c r="K53" s="1">
        <v>-0.47389599999999998</v>
      </c>
    </row>
    <row r="54" spans="2:11" x14ac:dyDescent="0.2">
      <c r="B54" s="1">
        <v>1.9422839999999999</v>
      </c>
      <c r="K54" s="1">
        <v>-0.56133500000000003</v>
      </c>
    </row>
    <row r="55" spans="2:11" x14ac:dyDescent="0.2">
      <c r="B55" s="1">
        <v>1.6948620000000001</v>
      </c>
      <c r="K55" s="1">
        <v>-0.33966000000000002</v>
      </c>
    </row>
    <row r="56" spans="2:11" x14ac:dyDescent="0.2">
      <c r="B56" s="1">
        <v>2.2267579999999998</v>
      </c>
      <c r="K56" s="1">
        <v>-0.30751499999999998</v>
      </c>
    </row>
    <row r="57" spans="2:11" x14ac:dyDescent="0.2">
      <c r="B57" s="1">
        <v>1.178326</v>
      </c>
      <c r="K57" s="1">
        <v>-0.107114</v>
      </c>
    </row>
    <row r="58" spans="2:11" x14ac:dyDescent="0.2">
      <c r="B58" s="1">
        <v>2.8704559999999999</v>
      </c>
      <c r="K58" s="1">
        <v>-0.35126200000000002</v>
      </c>
    </row>
    <row r="59" spans="2:11" x14ac:dyDescent="0.2">
      <c r="B59" s="1">
        <v>1.0196780000000001</v>
      </c>
      <c r="K59" s="1">
        <v>-0.33740199999999998</v>
      </c>
    </row>
    <row r="60" spans="2:11" x14ac:dyDescent="0.2">
      <c r="B60" s="1">
        <v>1.4561820000000001</v>
      </c>
      <c r="K60" s="1">
        <v>-0.40593400000000002</v>
      </c>
    </row>
    <row r="61" spans="2:11" x14ac:dyDescent="0.2">
      <c r="B61" s="1">
        <v>2.351804</v>
      </c>
      <c r="K61" s="1">
        <v>-0.48154000000000002</v>
      </c>
    </row>
    <row r="62" spans="2:11" x14ac:dyDescent="0.2">
      <c r="B62" s="1">
        <v>2.7813240000000001</v>
      </c>
      <c r="K62" s="1">
        <v>-0.534717</v>
      </c>
    </row>
    <row r="63" spans="2:11" x14ac:dyDescent="0.2">
      <c r="B63" s="1">
        <v>2.5294300000000001</v>
      </c>
      <c r="K63" s="1">
        <v>-0.33312999999999998</v>
      </c>
    </row>
    <row r="64" spans="2:11" x14ac:dyDescent="0.2">
      <c r="B64" s="1">
        <v>1.7382010000000001</v>
      </c>
      <c r="K64" s="1">
        <v>-0.48678199999999999</v>
      </c>
    </row>
    <row r="65" spans="2:11" x14ac:dyDescent="0.2">
      <c r="B65" s="1">
        <v>1.010283</v>
      </c>
      <c r="K65" s="1">
        <v>-0.39574599999999999</v>
      </c>
    </row>
    <row r="66" spans="2:11" x14ac:dyDescent="0.2">
      <c r="B66" s="1">
        <v>2.3090609999999998</v>
      </c>
    </row>
    <row r="67" spans="2:11" x14ac:dyDescent="0.2">
      <c r="B67" s="1">
        <v>2.0226320000000002</v>
      </c>
    </row>
    <row r="68" spans="2:11" x14ac:dyDescent="0.2">
      <c r="B68" s="1">
        <v>1.367774</v>
      </c>
    </row>
    <row r="69" spans="2:11" x14ac:dyDescent="0.2">
      <c r="B69" s="1">
        <v>2.4493070000000001</v>
      </c>
    </row>
    <row r="70" spans="2:11" x14ac:dyDescent="0.2">
      <c r="B70" s="1">
        <v>2.517458</v>
      </c>
    </row>
    <row r="71" spans="2:11" x14ac:dyDescent="0.2">
      <c r="B71" s="1">
        <v>1.0061249999999999</v>
      </c>
    </row>
    <row r="72" spans="2:11" x14ac:dyDescent="0.2">
      <c r="B72" s="1">
        <v>1.7146030000000001</v>
      </c>
    </row>
    <row r="73" spans="2:11" x14ac:dyDescent="0.2">
      <c r="B73" s="1">
        <v>1.750146</v>
      </c>
    </row>
    <row r="74" spans="2:11" x14ac:dyDescent="0.2">
      <c r="B74" s="1">
        <v>1.3468990000000001</v>
      </c>
    </row>
    <row r="75" spans="2:11" x14ac:dyDescent="0.2">
      <c r="B75" s="1">
        <v>1.2834300000000001</v>
      </c>
    </row>
    <row r="76" spans="2:11" x14ac:dyDescent="0.2">
      <c r="B76" s="1">
        <v>1.318403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10knocap</vt:lpstr>
      <vt:lpstr>10k2cap</vt:lpstr>
      <vt:lpstr>1knocap</vt:lpstr>
      <vt:lpstr>1k1ap</vt:lpstr>
      <vt:lpstr>10knocap2</vt:lpstr>
      <vt:lpstr>10k1cap</vt:lpstr>
      <vt:lpstr>all</vt:lpstr>
      <vt:lpstr>10knocap_redo</vt:lpstr>
      <vt:lpstr>10k1cap_redo</vt:lpstr>
      <vt:lpstr>1k1cap_redo </vt:lpstr>
      <vt:lpstr>allredo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cyan xie</dc:creator>
  <cp:lastModifiedBy>cyan xie</cp:lastModifiedBy>
  <dcterms:created xsi:type="dcterms:W3CDTF">2017-10-19T19:52:53Z</dcterms:created>
  <dcterms:modified xsi:type="dcterms:W3CDTF">2017-10-21T20:39:30Z</dcterms:modified>
</cp:coreProperties>
</file>