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"/>
    </mc:Choice>
  </mc:AlternateContent>
  <bookViews>
    <workbookView xWindow="28800" yWindow="-2540" windowWidth="33600" windowHeight="20460" tabRatio="500" activeTab="4"/>
  </bookViews>
  <sheets>
    <sheet name="no_extra_cap" sheetId="1" r:id="rId1"/>
    <sheet name="2.25uf" sheetId="3" r:id="rId2"/>
    <sheet name="4.5uF" sheetId="4" r:id="rId3"/>
    <sheet name="6.75uF" sheetId="8" r:id="rId4"/>
    <sheet name="deltaT" sheetId="7" r:id="rId5"/>
    <sheet name="deltaT_rawdata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8" i="1" l="1"/>
  <c r="T2" i="1"/>
  <c r="T6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6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68" i="1"/>
  <c r="W6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6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6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6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6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68" i="1"/>
  <c r="AJ67" i="6"/>
  <c r="AJ40" i="6"/>
  <c r="AM2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6" i="6"/>
  <c r="AJ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1" i="6"/>
  <c r="AJ62" i="6"/>
  <c r="AJ63" i="6"/>
  <c r="AJ64" i="6"/>
  <c r="AJ65" i="6"/>
  <c r="AJ66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6" i="6"/>
  <c r="AM102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8" i="6"/>
  <c r="R29" i="6"/>
  <c r="R30" i="6"/>
  <c r="R31" i="6"/>
  <c r="R32" i="6"/>
  <c r="R33" i="6"/>
  <c r="R34" i="6"/>
  <c r="R35" i="6"/>
  <c r="R36" i="6"/>
  <c r="R37" i="6"/>
  <c r="R39" i="6"/>
  <c r="R40" i="6"/>
  <c r="R41" i="6"/>
  <c r="R42" i="6"/>
  <c r="R43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6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106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6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6" i="6"/>
  <c r="F99" i="6"/>
  <c r="F100" i="6"/>
  <c r="F101" i="6"/>
  <c r="F102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0" i="6"/>
  <c r="F18" i="6"/>
  <c r="F11" i="6"/>
  <c r="F8" i="6"/>
  <c r="F2" i="6"/>
  <c r="F3" i="6"/>
  <c r="F4" i="6"/>
  <c r="F5" i="6"/>
  <c r="F6" i="6"/>
  <c r="F7" i="6"/>
  <c r="F9" i="6"/>
  <c r="F10" i="6"/>
  <c r="F12" i="6"/>
  <c r="F13" i="6"/>
  <c r="F14" i="6"/>
  <c r="F15" i="6"/>
  <c r="F16" i="6"/>
  <c r="F17" i="6"/>
  <c r="F19" i="6"/>
  <c r="F20" i="6"/>
  <c r="F21" i="6"/>
  <c r="F22" i="6"/>
  <c r="F23" i="6"/>
  <c r="F24" i="6"/>
  <c r="F25" i="6"/>
  <c r="F26" i="6"/>
  <c r="F27" i="6"/>
  <c r="F28" i="6"/>
  <c r="F29" i="6"/>
  <c r="F31" i="6"/>
  <c r="F32" i="6"/>
  <c r="F33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106" i="6"/>
  <c r="E114" i="6"/>
  <c r="U8" i="6"/>
  <c r="U2" i="6"/>
  <c r="U3" i="6"/>
  <c r="U4" i="6"/>
  <c r="U5" i="6"/>
  <c r="U6" i="6"/>
  <c r="U7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8" i="6"/>
  <c r="U79" i="6"/>
  <c r="U80" i="6"/>
  <c r="U81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6" i="6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6" i="6"/>
  <c r="AA102" i="6"/>
  <c r="AP2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6" i="6"/>
  <c r="AV2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6" i="6"/>
  <c r="AS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6" i="6"/>
  <c r="AS102" i="6"/>
  <c r="AG40" i="6"/>
  <c r="CC2" i="6"/>
  <c r="CC3" i="6"/>
  <c r="CC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8" i="6"/>
  <c r="CC99" i="6"/>
  <c r="CC100" i="6"/>
  <c r="CC101" i="6"/>
  <c r="CC102" i="6"/>
  <c r="CC106" i="6"/>
  <c r="AG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6" i="6"/>
  <c r="AG102" i="6"/>
  <c r="BZ2" i="6"/>
  <c r="BZ3" i="6"/>
  <c r="BZ4" i="6"/>
  <c r="BZ5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6" i="6"/>
  <c r="BW2" i="6"/>
  <c r="BW3" i="6"/>
  <c r="BW4" i="6"/>
  <c r="BW5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6" i="6"/>
  <c r="BT2" i="6"/>
  <c r="BT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6" i="6"/>
  <c r="BQ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6" i="6"/>
  <c r="BN2" i="6"/>
  <c r="BN3" i="6"/>
  <c r="BN4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6" i="6"/>
  <c r="BK2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6" i="6"/>
  <c r="BH2" i="6"/>
  <c r="BH3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6" i="6"/>
  <c r="BE2" i="6"/>
  <c r="BE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6" i="6"/>
  <c r="BB2" i="6"/>
  <c r="BB3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8" i="6"/>
  <c r="BB99" i="6"/>
  <c r="BB100" i="6"/>
  <c r="BB101" i="6"/>
  <c r="BB106" i="6"/>
  <c r="BB102" i="6"/>
  <c r="AY2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6" i="6"/>
  <c r="AY102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6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6" i="6"/>
  <c r="AD102" i="6"/>
  <c r="X102" i="6"/>
  <c r="E113" i="6"/>
  <c r="E115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6" i="6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2" i="4"/>
  <c r="B61" i="4"/>
  <c r="N61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2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P3" i="4"/>
  <c r="AP2" i="4"/>
  <c r="AM58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2" i="4"/>
  <c r="AB63" i="4"/>
  <c r="AK58" i="4"/>
  <c r="AC63" i="4"/>
  <c r="AB64" i="4"/>
  <c r="AC64" i="4"/>
  <c r="AQ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D64" i="4"/>
  <c r="AB65" i="4"/>
  <c r="AC65" i="4"/>
  <c r="AU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D65" i="4"/>
  <c r="AC61" i="4"/>
  <c r="AB62" i="4"/>
  <c r="AC62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D6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O59" i="4"/>
  <c r="M60" i="4"/>
  <c r="N60" i="4"/>
  <c r="U58" i="4"/>
  <c r="M6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O61" i="4"/>
  <c r="M62" i="4"/>
  <c r="N62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O62" i="4"/>
  <c r="AB61" i="4"/>
  <c r="B5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8" i="4"/>
  <c r="A59" i="4"/>
  <c r="E5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C59" i="4"/>
  <c r="A60" i="4"/>
  <c r="B60" i="4"/>
  <c r="I58" i="4"/>
  <c r="A6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C61" i="4"/>
  <c r="M58" i="4"/>
  <c r="N58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8" i="4"/>
  <c r="M59" i="4"/>
  <c r="N59" i="4"/>
  <c r="A58" i="4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C8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C83" i="3"/>
  <c r="I74" i="3"/>
  <c r="I73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C86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C89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A73" i="3"/>
  <c r="AD79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U2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D81" i="3"/>
  <c r="AD83" i="3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C83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C81" i="3"/>
  <c r="AB82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C82" i="3"/>
  <c r="AD82" i="3"/>
  <c r="AB83" i="3"/>
  <c r="B89" i="3"/>
  <c r="AB79" i="3"/>
  <c r="AC76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C79" i="3"/>
  <c r="AB80" i="3"/>
  <c r="AG76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C80" i="3"/>
  <c r="AD80" i="3"/>
  <c r="AB81" i="3"/>
  <c r="AK76" i="3"/>
  <c r="A87" i="3"/>
  <c r="B87" i="3"/>
  <c r="C87" i="3"/>
  <c r="A88" i="3"/>
  <c r="B88" i="3"/>
  <c r="C88" i="3"/>
  <c r="A89" i="3"/>
  <c r="A85" i="3"/>
  <c r="B85" i="3"/>
  <c r="C85" i="3"/>
  <c r="A86" i="3"/>
  <c r="B86" i="3"/>
  <c r="B76" i="3"/>
  <c r="C81" i="3"/>
  <c r="A82" i="3"/>
  <c r="B82" i="3"/>
  <c r="C82" i="3"/>
  <c r="A83" i="3"/>
  <c r="B83" i="3"/>
  <c r="A84" i="3"/>
  <c r="B84" i="3"/>
  <c r="A76" i="3"/>
  <c r="AT73" i="3"/>
  <c r="AP73" i="3"/>
  <c r="AD73" i="3"/>
  <c r="AD74" i="3"/>
  <c r="C58" i="1"/>
  <c r="B58" i="1"/>
  <c r="C57" i="1"/>
  <c r="B57" i="1"/>
  <c r="A6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B6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" i="1"/>
  <c r="B6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U5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C63" i="1"/>
  <c r="A64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C64" i="1"/>
  <c r="V5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63" i="1"/>
  <c r="B54" i="1"/>
  <c r="C54" i="1"/>
  <c r="A54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R120" i="1"/>
</calcChain>
</file>

<file path=xl/sharedStrings.xml><?xml version="1.0" encoding="utf-8"?>
<sst xmlns="http://schemas.openxmlformats.org/spreadsheetml/2006/main" count="245" uniqueCount="16">
  <si>
    <t>res (ohm)</t>
  </si>
  <si>
    <t>Err (%)</t>
  </si>
  <si>
    <t>absolute Err (%)</t>
  </si>
  <si>
    <t>Res</t>
  </si>
  <si>
    <t>acg Error (%)</t>
  </si>
  <si>
    <t>avg time (ms)</t>
  </si>
  <si>
    <t>time to take meas (ms)</t>
  </si>
  <si>
    <t>Rfsr</t>
  </si>
  <si>
    <t>avg</t>
  </si>
  <si>
    <t>[Cortex_M3_0] 7.129177</t>
  </si>
  <si>
    <t>freq</t>
  </si>
  <si>
    <t>cycle</t>
  </si>
  <si>
    <t>end time - start time (s)</t>
  </si>
  <si>
    <t>Frequency (Hz)</t>
  </si>
  <si>
    <t>DeltaT (us)</t>
  </si>
  <si>
    <t>max time - 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</si>
</sst>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"/>
    <numFmt numFmtId="166" formatCode="0.00000"/>
    <numFmt numFmtId="167" formatCode="0.0000"/>
    <numFmt numFmtId="168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6"/>
  <sheetViews>
    <sheetView zoomScale="119" workbookViewId="0">
      <pane ySplit="1" topLeftCell="A2" activePane="bottomLeft" state="frozen"/>
      <selection pane="bottomLeft" activeCell="B11" sqref="B11"/>
    </sheetView>
  </sheetViews>
  <sheetFormatPr baseColWidth="10" defaultRowHeight="16" x14ac:dyDescent="0.2"/>
  <cols>
    <col min="2" max="2" width="15.33203125" bestFit="1" customWidth="1"/>
    <col min="3" max="3" width="19.83203125" bestFit="1" customWidth="1"/>
    <col min="4" max="4" width="12" bestFit="1" customWidth="1"/>
    <col min="5" max="5" width="11.6640625" bestFit="1" customWidth="1"/>
    <col min="6" max="6" width="16.1640625" bestFit="1" customWidth="1"/>
    <col min="7" max="7" width="13.83203125" bestFit="1" customWidth="1"/>
    <col min="8" max="8" width="11.6640625" bestFit="1" customWidth="1"/>
    <col min="9" max="9" width="16.1640625" bestFit="1" customWidth="1"/>
    <col min="10" max="15" width="16.1640625" customWidth="1"/>
    <col min="18" max="18" width="16.1640625" bestFit="1" customWidth="1"/>
    <col min="21" max="21" width="14" bestFit="1" customWidth="1"/>
    <col min="22" max="22" width="16.1640625" bestFit="1" customWidth="1"/>
    <col min="25" max="25" width="14" bestFit="1" customWidth="1"/>
    <col min="26" max="26" width="16.1640625" bestFit="1" customWidth="1"/>
    <col min="30" max="30" width="16.1640625" bestFit="1" customWidth="1"/>
    <col min="34" max="34" width="16.1640625" bestFit="1" customWidth="1"/>
    <col min="38" max="38" width="19.83203125" bestFit="1" customWidth="1"/>
    <col min="39" max="39" width="12" bestFit="1" customWidth="1"/>
  </cols>
  <sheetData>
    <row r="1" spans="1:39" x14ac:dyDescent="0.2">
      <c r="A1" t="s">
        <v>0</v>
      </c>
      <c r="B1" t="s">
        <v>1</v>
      </c>
      <c r="C1" t="s">
        <v>6</v>
      </c>
      <c r="D1" t="s">
        <v>0</v>
      </c>
      <c r="E1" t="s">
        <v>1</v>
      </c>
      <c r="F1" t="s">
        <v>6</v>
      </c>
      <c r="G1" t="s">
        <v>0</v>
      </c>
      <c r="H1" t="s">
        <v>1</v>
      </c>
      <c r="I1" t="s">
        <v>6</v>
      </c>
      <c r="J1" t="s">
        <v>0</v>
      </c>
      <c r="K1" t="s">
        <v>1</v>
      </c>
      <c r="L1" t="s">
        <v>6</v>
      </c>
      <c r="M1" t="s">
        <v>0</v>
      </c>
      <c r="N1" t="s">
        <v>1</v>
      </c>
      <c r="O1" t="s">
        <v>6</v>
      </c>
      <c r="P1" t="s">
        <v>0</v>
      </c>
      <c r="Q1" t="s">
        <v>1</v>
      </c>
      <c r="R1" t="s">
        <v>6</v>
      </c>
      <c r="S1" t="s">
        <v>0</v>
      </c>
      <c r="T1" t="s">
        <v>1</v>
      </c>
      <c r="U1" t="s">
        <v>2</v>
      </c>
      <c r="V1" t="s">
        <v>6</v>
      </c>
      <c r="W1" t="s">
        <v>0</v>
      </c>
      <c r="X1" t="s">
        <v>1</v>
      </c>
      <c r="Y1" t="s">
        <v>2</v>
      </c>
      <c r="Z1" t="s">
        <v>6</v>
      </c>
      <c r="AA1" t="s">
        <v>0</v>
      </c>
      <c r="AB1" t="s">
        <v>1</v>
      </c>
      <c r="AC1" t="s">
        <v>2</v>
      </c>
      <c r="AD1" t="s">
        <v>6</v>
      </c>
      <c r="AE1" t="s">
        <v>0</v>
      </c>
      <c r="AF1" t="s">
        <v>1</v>
      </c>
      <c r="AG1" t="s">
        <v>2</v>
      </c>
      <c r="AH1" t="s">
        <v>6</v>
      </c>
      <c r="AI1" t="s">
        <v>0</v>
      </c>
      <c r="AJ1" t="s">
        <v>1</v>
      </c>
      <c r="AK1" t="s">
        <v>2</v>
      </c>
      <c r="AL1" t="s">
        <v>6</v>
      </c>
    </row>
    <row r="2" spans="1:39" x14ac:dyDescent="0.2">
      <c r="A2">
        <v>989.3</v>
      </c>
      <c r="B2" s="1">
        <v>36.609684999999999</v>
      </c>
      <c r="C2" s="5">
        <f>((26384*(1/48000000))*1000000)/1000</f>
        <v>0.54966666666666675</v>
      </c>
      <c r="D2">
        <v>1964.5</v>
      </c>
      <c r="E2" s="1">
        <v>14.875475</v>
      </c>
      <c r="F2" s="5">
        <f>((44043*(1/48000000))*1000000)/1000</f>
        <v>0.91756250000000006</v>
      </c>
      <c r="G2" s="1">
        <v>2933</v>
      </c>
      <c r="H2" s="1">
        <v>8.8080210000000001</v>
      </c>
      <c r="I2">
        <f>(64123*(1/48000000))*1000</f>
        <v>1.3358958333333335</v>
      </c>
      <c r="J2" s="1">
        <v>5059</v>
      </c>
      <c r="K2" s="1">
        <v>2.6578400000000002</v>
      </c>
      <c r="L2">
        <f>(103904*(1/48000000))*1000</f>
        <v>2.1646666666666667</v>
      </c>
      <c r="M2" s="1">
        <v>6202</v>
      </c>
      <c r="N2" s="1">
        <v>2.2290220000000001</v>
      </c>
      <c r="O2">
        <f>(124915*(1/48000000))*1000</f>
        <v>2.6023958333333335</v>
      </c>
      <c r="P2" s="1">
        <v>8081</v>
      </c>
      <c r="Q2" s="1">
        <v>1.8839490000000001</v>
      </c>
      <c r="R2">
        <f>(161971*(1/48000000))*1000</f>
        <v>3.3743958333333333</v>
      </c>
      <c r="S2" s="1">
        <v>9958</v>
      </c>
      <c r="T2" s="1">
        <f>ABS(1.208027)</f>
        <v>1.208027</v>
      </c>
      <c r="U2" s="1">
        <f>ABS(T2)</f>
        <v>1.208027</v>
      </c>
      <c r="V2" s="5">
        <f>(196749*(1/48000000))*1000</f>
        <v>4.0989374999999999</v>
      </c>
      <c r="W2" s="1">
        <v>19786</v>
      </c>
      <c r="X2" s="1">
        <v>-1.2524630000000001</v>
      </c>
      <c r="Y2" s="1">
        <f>ABS(X2)</f>
        <v>1.2524630000000001</v>
      </c>
      <c r="Z2">
        <f>(384848*(1/48000000))*1000</f>
        <v>8.0176666666666669</v>
      </c>
      <c r="AA2">
        <v>29717</v>
      </c>
      <c r="AB2" s="1">
        <v>-1.9318599999999999</v>
      </c>
      <c r="AC2" s="1">
        <f>ABS(AB2)</f>
        <v>1.9318599999999999</v>
      </c>
      <c r="AD2">
        <f>(578130*(1/48000000))*1000</f>
        <v>12.044375</v>
      </c>
      <c r="AE2" s="1">
        <v>80506</v>
      </c>
      <c r="AF2" s="1">
        <v>-0.97475699999999998</v>
      </c>
      <c r="AG2" s="1">
        <f>ABS(AF2:AF50)</f>
        <v>0.97475699999999998</v>
      </c>
      <c r="AH2">
        <f>(1555491*(1/48000000))*1000</f>
        <v>32.406062499999997</v>
      </c>
      <c r="AI2" s="1">
        <v>99668</v>
      </c>
      <c r="AJ2" s="1">
        <v>-1.5268550000000001</v>
      </c>
      <c r="AK2" s="1">
        <f>ABS(AJ2)</f>
        <v>1.5268550000000001</v>
      </c>
      <c r="AL2" s="1">
        <f>(1930982*(1/48000000))*1000</f>
        <v>40.228791666666666</v>
      </c>
    </row>
    <row r="3" spans="1:39" x14ac:dyDescent="0.2">
      <c r="A3">
        <v>989.3</v>
      </c>
      <c r="B3" s="1">
        <v>37.419162</v>
      </c>
      <c r="C3" s="5">
        <f>((26918*(1/48000000))*1000000)/1000</f>
        <v>0.56079166666666669</v>
      </c>
      <c r="D3">
        <v>1964.5</v>
      </c>
      <c r="E3" s="1">
        <v>16.529737000000001</v>
      </c>
      <c r="F3" s="5">
        <f>((44709*(1/48000000))*1000000)/1000</f>
        <v>0.93143750000000014</v>
      </c>
      <c r="G3" s="1">
        <v>2933</v>
      </c>
      <c r="H3" s="1">
        <v>9.6786329999999996</v>
      </c>
      <c r="I3">
        <f>(63356*(1/48000000))*1000</f>
        <v>1.3199166666666666</v>
      </c>
      <c r="K3" s="1">
        <v>2.833612</v>
      </c>
      <c r="L3">
        <f>(103914*(1/48000000))*1000</f>
        <v>2.1648750000000003</v>
      </c>
      <c r="M3" s="1"/>
      <c r="N3" s="1">
        <v>2.710089</v>
      </c>
      <c r="O3">
        <f>(126786*(1/48000000))*1000</f>
        <v>2.641375</v>
      </c>
      <c r="P3" s="1">
        <v>8081</v>
      </c>
      <c r="Q3" s="1">
        <v>2.0433720000000002</v>
      </c>
      <c r="R3">
        <f>(162283*(1/48000000))*1000</f>
        <v>3.3808958333333332</v>
      </c>
      <c r="S3" s="1">
        <v>9958</v>
      </c>
      <c r="T3" s="1">
        <v>1.0178670000000001</v>
      </c>
      <c r="U3" s="1">
        <f t="shared" ref="U3:U50" si="0">ABS(T3)</f>
        <v>1.0178670000000001</v>
      </c>
      <c r="V3" s="5">
        <f>(198334*(1/48000000))*1000</f>
        <v>4.1319583333333334</v>
      </c>
      <c r="W3" s="1">
        <v>19786</v>
      </c>
      <c r="X3" s="1">
        <v>-0.65444400000000003</v>
      </c>
      <c r="Y3" s="1">
        <f t="shared" ref="Y3:Y43" si="1">ABS(X3)</f>
        <v>0.65444400000000003</v>
      </c>
      <c r="Z3">
        <f>(386946*(1/48000000))*1000</f>
        <v>8.061375</v>
      </c>
      <c r="AA3">
        <v>29717</v>
      </c>
      <c r="AB3" s="1">
        <v>-1.3081199999999999</v>
      </c>
      <c r="AC3" s="1">
        <f t="shared" ref="AC3:AC50" si="2">ABS(AB3)</f>
        <v>1.3081199999999999</v>
      </c>
      <c r="AD3">
        <f>(578041*(1/48000000))*1000</f>
        <v>12.042520833333334</v>
      </c>
      <c r="AE3" s="1">
        <v>80506</v>
      </c>
      <c r="AF3" s="1">
        <v>-0.97475699999999998</v>
      </c>
      <c r="AG3" s="1">
        <f t="shared" ref="AG3:AG50" si="3">ABS(AF3:AF51)</f>
        <v>0.97475699999999998</v>
      </c>
      <c r="AH3">
        <f>(1549252*(1/48000000))*1000</f>
        <v>32.276083333333339</v>
      </c>
      <c r="AI3" s="1">
        <v>99668</v>
      </c>
      <c r="AJ3" s="1">
        <v>-0.69695600000000002</v>
      </c>
      <c r="AK3" s="1">
        <f t="shared" ref="AK3:AK43" si="4">ABS(AJ3)</f>
        <v>0.69695600000000002</v>
      </c>
      <c r="AL3" s="1">
        <f>(1927502*(1/48000000))*1000</f>
        <v>40.156291666666668</v>
      </c>
      <c r="AM3" s="1"/>
    </row>
    <row r="4" spans="1:39" x14ac:dyDescent="0.2">
      <c r="A4">
        <v>989.3</v>
      </c>
      <c r="B4" s="1">
        <v>38.579228999999998</v>
      </c>
      <c r="C4" s="5">
        <f>((27115*(1/48000000))*1000000)/1000</f>
        <v>0.56489583333333337</v>
      </c>
      <c r="D4">
        <v>1964.5</v>
      </c>
      <c r="E4" s="1">
        <v>13.534278</v>
      </c>
      <c r="F4" s="5">
        <f>((44179*(1/48000000))*1000000)/1000</f>
        <v>0.92039583333333341</v>
      </c>
      <c r="G4" s="1">
        <v>2933</v>
      </c>
      <c r="H4" s="1">
        <v>10.199490000000001</v>
      </c>
      <c r="I4">
        <f>(64045*(1/48000000))*1000</f>
        <v>1.3342708333333333</v>
      </c>
      <c r="K4" s="1">
        <v>3.6597620000000002</v>
      </c>
      <c r="L4">
        <f>(105080*(1/48000000))*1000</f>
        <v>2.1891666666666669</v>
      </c>
      <c r="M4" s="1"/>
      <c r="N4" s="1">
        <v>2.07836</v>
      </c>
      <c r="O4">
        <f>(128016*(1/48000000))*1000</f>
        <v>2.6670000000000003</v>
      </c>
      <c r="P4" s="1">
        <v>8081</v>
      </c>
      <c r="Q4" s="1">
        <v>1.517395</v>
      </c>
      <c r="R4">
        <f>(158826*(1/48000000))*1000</f>
        <v>3.308875</v>
      </c>
      <c r="S4" s="1">
        <v>9958</v>
      </c>
      <c r="T4" s="1">
        <v>1.6176269999999999</v>
      </c>
      <c r="U4" s="1">
        <f t="shared" si="0"/>
        <v>1.6176269999999999</v>
      </c>
      <c r="V4" s="5">
        <f>(198710*(1/48000000))*1000</f>
        <v>4.1397916666666665</v>
      </c>
      <c r="W4" s="1">
        <v>19786</v>
      </c>
      <c r="X4" s="1">
        <v>-1.6471359999999999</v>
      </c>
      <c r="Y4" s="1">
        <f t="shared" si="1"/>
        <v>1.6471359999999999</v>
      </c>
      <c r="Z4">
        <f>(382398*(1/48000000))*1000</f>
        <v>7.9666249999999996</v>
      </c>
      <c r="AA4">
        <v>29717</v>
      </c>
      <c r="AB4" s="1">
        <v>-0.76037500000000002</v>
      </c>
      <c r="AC4" s="1">
        <f t="shared" si="2"/>
        <v>0.76037500000000002</v>
      </c>
      <c r="AD4">
        <f>(581057*(1/48000000))*1000</f>
        <v>12.105354166666666</v>
      </c>
      <c r="AE4" s="1">
        <v>80506</v>
      </c>
      <c r="AF4" s="1">
        <v>-1.053315</v>
      </c>
      <c r="AG4" s="1">
        <f t="shared" si="3"/>
        <v>1.053315</v>
      </c>
      <c r="AH4">
        <f>(1560075*(1/48000000))*1000</f>
        <v>32.501562500000006</v>
      </c>
      <c r="AI4" s="1">
        <v>99668</v>
      </c>
      <c r="AJ4" s="1">
        <v>-1.227517</v>
      </c>
      <c r="AK4" s="1">
        <f t="shared" si="4"/>
        <v>1.227517</v>
      </c>
      <c r="AL4" s="1">
        <f>(1936243*(1/48000000))*1000</f>
        <v>40.338395833333337</v>
      </c>
    </row>
    <row r="5" spans="1:39" x14ac:dyDescent="0.2">
      <c r="A5">
        <v>989.3</v>
      </c>
      <c r="B5" s="1">
        <v>35.259974999999997</v>
      </c>
      <c r="C5" s="5">
        <f>((27492*(1/48000000))*1000000)/1000</f>
        <v>0.57274999999999998</v>
      </c>
      <c r="D5">
        <v>1964.5</v>
      </c>
      <c r="E5" s="1">
        <v>14.265739</v>
      </c>
      <c r="F5" s="5">
        <f>((45372*(1/48000000))*1000000)/1000</f>
        <v>0.94525000000000003</v>
      </c>
      <c r="G5" s="1">
        <v>2933</v>
      </c>
      <c r="H5" s="1">
        <v>8.6345770000000002</v>
      </c>
      <c r="I5">
        <f>(64243*(1/48000000))*1000</f>
        <v>1.3383958333333335</v>
      </c>
      <c r="K5" s="1">
        <v>2.2569859999999999</v>
      </c>
      <c r="L5">
        <f>(103684*(1/48000000))*1000</f>
        <v>2.1600833333333331</v>
      </c>
      <c r="M5" s="1"/>
      <c r="N5" s="1">
        <v>3.955495</v>
      </c>
      <c r="O5">
        <f>(126808*(1/48000000))*1000</f>
        <v>2.6418333333333339</v>
      </c>
      <c r="P5" s="1">
        <v>8081</v>
      </c>
      <c r="Q5" s="1">
        <v>1.787296</v>
      </c>
      <c r="R5">
        <f>(162532*(1/48000000))*1000</f>
        <v>3.3860833333333336</v>
      </c>
      <c r="S5" s="1">
        <v>9958</v>
      </c>
      <c r="T5" s="1">
        <v>1.812956</v>
      </c>
      <c r="U5" s="1">
        <f t="shared" si="0"/>
        <v>1.812956</v>
      </c>
      <c r="V5" s="5">
        <f>(196202*(1/48000000))*1000</f>
        <v>4.0875416666666675</v>
      </c>
      <c r="W5" s="1">
        <v>19786</v>
      </c>
      <c r="X5" s="1">
        <v>-0.39159300000000002</v>
      </c>
      <c r="Y5" s="1">
        <f t="shared" si="1"/>
        <v>0.39159300000000002</v>
      </c>
      <c r="Z5">
        <f>(386386*(1/48000000))*1000</f>
        <v>8.0497083333333332</v>
      </c>
      <c r="AA5">
        <v>29717</v>
      </c>
      <c r="AB5" s="1">
        <v>-0.65873700000000002</v>
      </c>
      <c r="AC5" s="1">
        <f t="shared" si="2"/>
        <v>0.65873700000000002</v>
      </c>
      <c r="AD5">
        <f>(576876*(1/48000000))*1000</f>
        <v>12.018250000000002</v>
      </c>
      <c r="AE5" s="1">
        <v>80506</v>
      </c>
      <c r="AF5" s="1">
        <v>-1.365189</v>
      </c>
      <c r="AG5" s="1">
        <f t="shared" si="3"/>
        <v>1.365189</v>
      </c>
      <c r="AH5">
        <f>(1559528*(1/48000000))*1000</f>
        <v>32.490166666666667</v>
      </c>
      <c r="AI5" s="1">
        <v>99668</v>
      </c>
      <c r="AJ5" s="1">
        <v>-1.0078590000000001</v>
      </c>
      <c r="AK5" s="1">
        <f t="shared" si="4"/>
        <v>1.0078590000000001</v>
      </c>
      <c r="AL5" s="1">
        <f>(1935269*(1/48000000))*1000</f>
        <v>40.318104166666664</v>
      </c>
    </row>
    <row r="6" spans="1:39" x14ac:dyDescent="0.2">
      <c r="A6">
        <v>989.3</v>
      </c>
      <c r="B6" s="1">
        <v>36.056567000000001</v>
      </c>
      <c r="C6" s="5">
        <f>((26654*(1/48000000))*1000000)/1000</f>
        <v>0.55529166666666674</v>
      </c>
      <c r="D6">
        <v>1964.5</v>
      </c>
      <c r="E6" s="1">
        <v>13.737254</v>
      </c>
      <c r="F6" s="5">
        <f>((45324*(1/48000000))*1000000)/1000</f>
        <v>0.94425000000000014</v>
      </c>
      <c r="G6" s="1">
        <v>2933</v>
      </c>
      <c r="H6" s="1">
        <v>8.0446849999999994</v>
      </c>
      <c r="I6">
        <f>(63955*(1/48000000))*1000</f>
        <v>1.3323958333333334</v>
      </c>
      <c r="K6" s="1">
        <v>3.2994590000000001</v>
      </c>
      <c r="L6">
        <f>(103005*(1/48000000))*1000</f>
        <v>2.1459375000000005</v>
      </c>
      <c r="M6" s="1"/>
      <c r="N6" s="1">
        <v>3.2448890000000001</v>
      </c>
      <c r="O6">
        <f>(129342*(1/48000000))*1000</f>
        <v>2.6946249999999998</v>
      </c>
      <c r="P6" s="1">
        <v>8081</v>
      </c>
      <c r="Q6" s="1">
        <v>1.4290780000000001</v>
      </c>
      <c r="R6">
        <f>(161192*(1/48000000))*1000</f>
        <v>3.358166666666667</v>
      </c>
      <c r="S6" s="1">
        <v>9958</v>
      </c>
      <c r="T6" s="1">
        <v>1.224197</v>
      </c>
      <c r="U6" s="1">
        <f t="shared" si="0"/>
        <v>1.224197</v>
      </c>
      <c r="V6" s="5">
        <f>(196960*(1/48000000))*1000</f>
        <v>4.1033333333333335</v>
      </c>
      <c r="W6" s="1">
        <v>19786</v>
      </c>
      <c r="X6" s="1">
        <v>-1.036386</v>
      </c>
      <c r="Y6" s="1">
        <f t="shared" si="1"/>
        <v>1.036386</v>
      </c>
      <c r="Z6">
        <f>(387119*(1/48000000))*1000</f>
        <v>8.0649791666666673</v>
      </c>
      <c r="AA6">
        <v>29717</v>
      </c>
      <c r="AB6" s="1">
        <v>-1.046314</v>
      </c>
      <c r="AC6" s="1">
        <f t="shared" si="2"/>
        <v>1.046314</v>
      </c>
      <c r="AD6">
        <f>(571352*(1/48000000))*1000</f>
        <v>11.903166666666667</v>
      </c>
      <c r="AE6" s="1">
        <v>80506</v>
      </c>
      <c r="AF6" s="1">
        <v>-1.5134810000000001</v>
      </c>
      <c r="AG6" s="1">
        <f t="shared" si="3"/>
        <v>1.5134810000000001</v>
      </c>
      <c r="AH6">
        <f>(1564695*(1/48000000))*1000</f>
        <v>32.597812500000003</v>
      </c>
      <c r="AI6" s="1">
        <v>99668</v>
      </c>
      <c r="AJ6" s="1">
        <v>-1.1948920000000001</v>
      </c>
      <c r="AK6" s="1">
        <f t="shared" si="4"/>
        <v>1.1948920000000001</v>
      </c>
      <c r="AL6" s="1">
        <f>(1927241*(1/48000000))*1000</f>
        <v>40.150854166666669</v>
      </c>
    </row>
    <row r="7" spans="1:39" x14ac:dyDescent="0.2">
      <c r="A7">
        <v>989.3</v>
      </c>
      <c r="B7" s="1">
        <v>41.432467000000003</v>
      </c>
      <c r="C7" s="5">
        <f>((26690*(1/48000000))*1000000)/1000</f>
        <v>0.55604166666666677</v>
      </c>
      <c r="D7">
        <v>1964.5</v>
      </c>
      <c r="E7" s="1">
        <v>15.766800999999999</v>
      </c>
      <c r="F7" s="5">
        <f>((44042*(1/48000000))*1000000)/1000</f>
        <v>0.9175416666666667</v>
      </c>
      <c r="G7" s="1">
        <v>2933</v>
      </c>
      <c r="H7" s="1">
        <v>11.086769</v>
      </c>
      <c r="I7">
        <f>(63678*(1/48000000))*1000</f>
        <v>1.3266250000000002</v>
      </c>
      <c r="K7" s="1">
        <v>2.6444179999999999</v>
      </c>
      <c r="L7">
        <f>(104336*(1/48000000))*1000</f>
        <v>2.1736666666666666</v>
      </c>
      <c r="M7" s="1"/>
      <c r="N7" s="1">
        <v>3.5057559999999999</v>
      </c>
      <c r="O7">
        <f>(127904*(1/48000000))*1000</f>
        <v>2.6646666666666667</v>
      </c>
      <c r="P7" s="1">
        <v>8081</v>
      </c>
      <c r="Q7" s="1">
        <v>2.0001340000000001</v>
      </c>
      <c r="R7">
        <f>(160691*(1/48000000))*1000</f>
        <v>3.3477291666666669</v>
      </c>
      <c r="S7" s="1">
        <v>9958</v>
      </c>
      <c r="T7" s="1">
        <v>0.86930499999999999</v>
      </c>
      <c r="U7" s="1">
        <f t="shared" si="0"/>
        <v>0.86930499999999999</v>
      </c>
      <c r="V7" s="5">
        <f>(197934*(1/48000000))*1000</f>
        <v>4.1236250000000005</v>
      </c>
      <c r="W7" s="1">
        <v>19786</v>
      </c>
      <c r="X7" s="1">
        <v>-0.68991800000000003</v>
      </c>
      <c r="Y7" s="1">
        <f t="shared" si="1"/>
        <v>0.68991800000000003</v>
      </c>
      <c r="Z7">
        <f>(385280*(1/48000000))*1000</f>
        <v>8.0266666666666655</v>
      </c>
      <c r="AA7">
        <v>29717</v>
      </c>
      <c r="AB7" s="1">
        <v>-1.08569</v>
      </c>
      <c r="AC7" s="1">
        <f t="shared" si="2"/>
        <v>1.08569</v>
      </c>
      <c r="AD7">
        <f>(580125*(1/48000000))*1000</f>
        <v>12.085937500000002</v>
      </c>
      <c r="AE7" s="1">
        <v>80506</v>
      </c>
      <c r="AF7" s="1">
        <v>-1.1667289999999999</v>
      </c>
      <c r="AG7" s="1">
        <f t="shared" si="3"/>
        <v>1.1667289999999999</v>
      </c>
      <c r="AH7">
        <f>(1567770*(1/48000000))*1000</f>
        <v>32.661875000000002</v>
      </c>
      <c r="AI7" s="1">
        <v>99668</v>
      </c>
      <c r="AJ7" s="1">
        <v>-0.65664500000000003</v>
      </c>
      <c r="AK7" s="1">
        <f t="shared" si="4"/>
        <v>0.65664500000000003</v>
      </c>
      <c r="AL7" s="1">
        <f>(1933280*(1/48000000))*1000</f>
        <v>40.276666666666671</v>
      </c>
    </row>
    <row r="8" spans="1:39" x14ac:dyDescent="0.2">
      <c r="A8">
        <v>989.3</v>
      </c>
      <c r="B8" s="1">
        <v>33.019807999999998</v>
      </c>
      <c r="C8" s="5">
        <f>((27200*(1/48000000))*1000000)/1000</f>
        <v>0.56666666666666676</v>
      </c>
      <c r="D8">
        <v>1964.5</v>
      </c>
      <c r="E8" s="1">
        <v>16.826293</v>
      </c>
      <c r="F8" s="5">
        <f>((44263*(1/48000000))*1000000)/1000</f>
        <v>0.92214583333333333</v>
      </c>
      <c r="G8" s="1">
        <v>2933</v>
      </c>
      <c r="H8" s="1">
        <v>9.3912940000000003</v>
      </c>
      <c r="I8">
        <f>(64334*(1/48000000))*1000</f>
        <v>1.3402916666666667</v>
      </c>
      <c r="K8" s="1">
        <v>2.9594450000000001</v>
      </c>
      <c r="L8">
        <f>(101890*(1/48000000))*1000</f>
        <v>2.1227083333333336</v>
      </c>
      <c r="M8" s="1"/>
      <c r="N8" s="1">
        <v>1.978869</v>
      </c>
      <c r="O8">
        <f>(127085*(1/48000000))*1000</f>
        <v>2.647604166666667</v>
      </c>
      <c r="P8" s="1">
        <v>8081</v>
      </c>
      <c r="Q8" s="1">
        <v>1.841591</v>
      </c>
      <c r="R8">
        <f>(161799*(1/48000000))*1000</f>
        <v>3.3708125</v>
      </c>
      <c r="S8" s="1">
        <v>9958</v>
      </c>
      <c r="T8" s="1">
        <v>1.8004439999999999</v>
      </c>
      <c r="U8" s="1">
        <f t="shared" si="0"/>
        <v>1.8004439999999999</v>
      </c>
      <c r="V8" s="5">
        <f>(198518*(1/48000000))*1000</f>
        <v>4.135791666666667</v>
      </c>
      <c r="W8" s="1">
        <v>19786</v>
      </c>
      <c r="X8" s="1">
        <v>-1.5618540000000001</v>
      </c>
      <c r="Y8" s="1">
        <f t="shared" si="1"/>
        <v>1.5618540000000001</v>
      </c>
      <c r="Z8">
        <f>(386569*(1/48000000))*1000</f>
        <v>8.0535208333333337</v>
      </c>
      <c r="AA8">
        <v>29717</v>
      </c>
      <c r="AB8" s="1">
        <v>-1.145696</v>
      </c>
      <c r="AC8" s="1">
        <f t="shared" si="2"/>
        <v>1.145696</v>
      </c>
      <c r="AD8">
        <f>(580597*(1/48000000))*1000</f>
        <v>12.095770833333333</v>
      </c>
      <c r="AE8" s="1">
        <v>80506</v>
      </c>
      <c r="AF8" s="1">
        <v>-1.3962950000000001</v>
      </c>
      <c r="AG8" s="1">
        <f t="shared" si="3"/>
        <v>1.3962950000000001</v>
      </c>
      <c r="AH8">
        <f>(1554473*(1/48000000))*1000</f>
        <v>32.38485416666667</v>
      </c>
      <c r="AI8" s="1">
        <v>99668</v>
      </c>
      <c r="AJ8" s="1">
        <v>-1.6145350000000001</v>
      </c>
      <c r="AK8" s="1">
        <f t="shared" si="4"/>
        <v>1.6145350000000001</v>
      </c>
      <c r="AL8" s="1">
        <f>(1932339*(1/48000000))*1000</f>
        <v>40.257062500000004</v>
      </c>
    </row>
    <row r="9" spans="1:39" x14ac:dyDescent="0.2">
      <c r="A9">
        <v>989.3</v>
      </c>
      <c r="B9" s="1">
        <v>36.858283999999998</v>
      </c>
      <c r="C9" s="5">
        <f>((26046*(1/48000000))*1000000)/1000</f>
        <v>0.54262500000000002</v>
      </c>
      <c r="D9">
        <v>1964.5</v>
      </c>
      <c r="E9" s="1">
        <v>15.474888999999999</v>
      </c>
      <c r="F9" s="5">
        <f>((43723*(1/48000000))*1000000)/1000</f>
        <v>0.91089583333333346</v>
      </c>
      <c r="G9" s="1">
        <v>2933</v>
      </c>
      <c r="H9" s="1">
        <v>9.0425459999999998</v>
      </c>
      <c r="I9">
        <f>(63486*(1/48000000))*1000</f>
        <v>1.3226249999999999</v>
      </c>
      <c r="K9" s="1">
        <v>3.0048249999999999</v>
      </c>
      <c r="L9">
        <f>(102894*(1/48000000))*1000</f>
        <v>2.1436250000000001</v>
      </c>
      <c r="M9" s="1"/>
      <c r="N9" s="1">
        <v>3.2885089999999999</v>
      </c>
      <c r="O9">
        <f>(127369*(1/48000000))*1000</f>
        <v>2.6535208333333338</v>
      </c>
      <c r="P9" s="1">
        <v>8081</v>
      </c>
      <c r="Q9" s="1">
        <v>2.5105879999999998</v>
      </c>
      <c r="R9">
        <f>(160763*(1/48000000))*1000</f>
        <v>3.3492291666666669</v>
      </c>
      <c r="S9" s="1">
        <v>9958</v>
      </c>
      <c r="T9" s="1">
        <v>0.78074399999999999</v>
      </c>
      <c r="U9" s="1">
        <f t="shared" si="0"/>
        <v>0.78074399999999999</v>
      </c>
      <c r="V9" s="5">
        <f>(197747*(1/48000000))*1000</f>
        <v>4.1197291666666667</v>
      </c>
      <c r="W9" s="1">
        <v>19786</v>
      </c>
      <c r="X9" s="1">
        <v>-0.61178200000000005</v>
      </c>
      <c r="Y9" s="1">
        <f t="shared" si="1"/>
        <v>0.61178200000000005</v>
      </c>
      <c r="Z9">
        <f>(387182*(1/48000000))*1000</f>
        <v>8.0662916666666682</v>
      </c>
      <c r="AA9">
        <v>29717</v>
      </c>
      <c r="AB9" s="1">
        <v>-2.0870410000000001</v>
      </c>
      <c r="AC9" s="1">
        <f t="shared" si="2"/>
        <v>2.0870410000000001</v>
      </c>
      <c r="AD9">
        <f>(578485*(1/48000000))*1000</f>
        <v>12.051770833333334</v>
      </c>
      <c r="AE9" s="1">
        <v>80506</v>
      </c>
      <c r="AF9" s="1">
        <v>-0.69399599999999995</v>
      </c>
      <c r="AG9" s="1">
        <f t="shared" si="3"/>
        <v>0.69399599999999995</v>
      </c>
      <c r="AH9">
        <f>(1561289*(1/48000000))*1000</f>
        <v>32.526854166666666</v>
      </c>
      <c r="AI9" s="1">
        <v>99668</v>
      </c>
      <c r="AJ9" s="1">
        <v>-1.5894870000000001</v>
      </c>
      <c r="AK9" s="1">
        <f t="shared" si="4"/>
        <v>1.5894870000000001</v>
      </c>
      <c r="AL9" s="1">
        <f>(1938820*(1/48000000))*1000</f>
        <v>40.392083333333332</v>
      </c>
    </row>
    <row r="10" spans="1:39" x14ac:dyDescent="0.2">
      <c r="A10">
        <v>989.3</v>
      </c>
      <c r="B10" s="1">
        <v>40.200938000000001</v>
      </c>
      <c r="C10" s="5">
        <f>((26692*(1/48000000))*1000000)/1000</f>
        <v>0.55608333333333337</v>
      </c>
      <c r="D10">
        <v>1964.5</v>
      </c>
      <c r="E10" s="1">
        <v>14.415552999999999</v>
      </c>
      <c r="F10" s="5">
        <f>((44517*(1/48000000))*1000000)/1000</f>
        <v>0.92743750000000014</v>
      </c>
      <c r="G10" s="1">
        <v>2933</v>
      </c>
      <c r="H10" s="1">
        <v>10.249279</v>
      </c>
      <c r="I10">
        <f>(64162*(1/48000000))*1000</f>
        <v>1.3367083333333334</v>
      </c>
      <c r="K10" s="1">
        <v>3.154242</v>
      </c>
      <c r="L10">
        <f>(104014*(1/48000000))*1000</f>
        <v>2.1669583333333335</v>
      </c>
      <c r="M10" s="1"/>
      <c r="N10" s="1">
        <v>2.7663989999999998</v>
      </c>
      <c r="O10">
        <f>(128354*(1/48000000))*1000</f>
        <v>2.6740416666666671</v>
      </c>
      <c r="P10" s="1">
        <v>8081</v>
      </c>
      <c r="Q10" s="1">
        <v>1.8332729999999999</v>
      </c>
      <c r="R10">
        <f>(161699*(1/48000000))*1000</f>
        <v>3.3687291666666672</v>
      </c>
      <c r="S10" s="1">
        <v>9958</v>
      </c>
      <c r="T10" s="1">
        <v>1.9351830000000001</v>
      </c>
      <c r="U10" s="1">
        <f t="shared" si="0"/>
        <v>1.9351830000000001</v>
      </c>
      <c r="V10" s="5">
        <f>(197073*(1/48000000))*1000</f>
        <v>4.1056875000000002</v>
      </c>
      <c r="W10" s="1">
        <v>19786</v>
      </c>
      <c r="X10" s="1">
        <v>-0.10756</v>
      </c>
      <c r="Y10" s="1">
        <f t="shared" si="1"/>
        <v>0.10756</v>
      </c>
      <c r="Z10">
        <f>(386299*(1/48000000))*1000</f>
        <v>8.0478958333333335</v>
      </c>
      <c r="AA10">
        <v>29717</v>
      </c>
      <c r="AB10" s="1">
        <v>-1.0444420000000001</v>
      </c>
      <c r="AC10" s="1">
        <f t="shared" si="2"/>
        <v>1.0444420000000001</v>
      </c>
      <c r="AD10">
        <f>(577765*(1/48000000))*1000</f>
        <v>12.036770833333334</v>
      </c>
      <c r="AE10" s="1">
        <v>80506</v>
      </c>
      <c r="AF10" s="1">
        <v>-0.88709300000000002</v>
      </c>
      <c r="AG10" s="1">
        <f t="shared" si="3"/>
        <v>0.88709300000000002</v>
      </c>
      <c r="AH10">
        <f>(1574114*(1/48000000))*1000</f>
        <v>32.794041666666672</v>
      </c>
      <c r="AI10" s="1">
        <v>99668</v>
      </c>
      <c r="AJ10" s="1">
        <v>-1.2660530000000001</v>
      </c>
      <c r="AK10" s="1">
        <f t="shared" si="4"/>
        <v>1.2660530000000001</v>
      </c>
      <c r="AL10" s="1">
        <f>(1934286*(1/48000000))*1000</f>
        <v>40.297625000000004</v>
      </c>
    </row>
    <row r="11" spans="1:39" x14ac:dyDescent="0.2">
      <c r="A11">
        <v>989.3</v>
      </c>
      <c r="B11" s="1">
        <v>34.716529000000001</v>
      </c>
      <c r="C11" s="5">
        <f>((26566*(1/48000000))*1000000)/1000</f>
        <v>0.55345833333333339</v>
      </c>
      <c r="D11">
        <v>1964.5</v>
      </c>
      <c r="E11" s="1">
        <v>14.042813000000001</v>
      </c>
      <c r="F11" s="5">
        <f>((44566*(1/48000000))*1000000)/1000</f>
        <v>0.9284583333333335</v>
      </c>
      <c r="G11" s="1">
        <v>2933</v>
      </c>
      <c r="H11" s="1">
        <v>10.622044000000001</v>
      </c>
      <c r="I11">
        <f>(63633*(1/48000000))*1000</f>
        <v>1.3256875000000001</v>
      </c>
      <c r="K11" s="1">
        <v>2.2782249999999999</v>
      </c>
      <c r="L11">
        <f>(102830*(1/48000000))*1000</f>
        <v>2.1422916666666669</v>
      </c>
      <c r="M11" s="1"/>
      <c r="N11" s="1">
        <v>2.6619899999999999</v>
      </c>
      <c r="O11">
        <f>(126337*(1/48000000))*1000</f>
        <v>2.6320208333333333</v>
      </c>
      <c r="P11" s="1">
        <v>8081</v>
      </c>
      <c r="Q11" s="1">
        <v>1.492156</v>
      </c>
      <c r="R11">
        <f>(160737*(1/48000000))*1000</f>
        <v>3.3486875</v>
      </c>
      <c r="S11" s="1">
        <v>9958</v>
      </c>
      <c r="T11" s="1">
        <v>1.099305</v>
      </c>
      <c r="U11" s="1">
        <f t="shared" si="0"/>
        <v>1.099305</v>
      </c>
      <c r="V11" s="5">
        <f>(196522*(1/48000000))*1000</f>
        <v>4.0942083333333334</v>
      </c>
      <c r="W11" s="1">
        <v>19786</v>
      </c>
      <c r="X11" s="1">
        <v>-0.74001799999999995</v>
      </c>
      <c r="Y11" s="1">
        <f t="shared" si="1"/>
        <v>0.74001799999999995</v>
      </c>
      <c r="Z11">
        <f>(382541*(1/48000000))*1000</f>
        <v>7.9696041666666666</v>
      </c>
      <c r="AA11">
        <v>29717</v>
      </c>
      <c r="AB11" s="1">
        <v>-0.95776799999999995</v>
      </c>
      <c r="AC11" s="1">
        <f t="shared" si="2"/>
        <v>0.95776799999999995</v>
      </c>
      <c r="AD11">
        <f>(580524*(1/48000000))*1000</f>
        <v>12.094250000000001</v>
      </c>
      <c r="AE11" s="1">
        <v>80506</v>
      </c>
      <c r="AF11" s="1">
        <v>-0.51179600000000003</v>
      </c>
      <c r="AG11" s="1">
        <f t="shared" si="3"/>
        <v>0.51179600000000003</v>
      </c>
      <c r="AH11">
        <f>(1564852*(1/48000000))*1000</f>
        <v>32.601083333333335</v>
      </c>
      <c r="AI11" s="1">
        <v>99668</v>
      </c>
      <c r="AJ11" s="1">
        <v>-1.9660120000000001</v>
      </c>
      <c r="AK11" s="1">
        <f t="shared" si="4"/>
        <v>1.9660120000000001</v>
      </c>
      <c r="AL11" s="1">
        <f>(1934425*(1/48000000))*1000</f>
        <v>40.300520833333337</v>
      </c>
    </row>
    <row r="12" spans="1:39" x14ac:dyDescent="0.2">
      <c r="A12">
        <v>989.3</v>
      </c>
      <c r="B12" s="1">
        <v>36.685527</v>
      </c>
      <c r="C12" s="5">
        <f>((26182*(1/48000000))*1000000)/1000</f>
        <v>0.54545833333333338</v>
      </c>
      <c r="D12">
        <v>1964.5</v>
      </c>
      <c r="E12" s="1">
        <v>16.629522999999999</v>
      </c>
      <c r="F12" s="5">
        <f>((45583*(1/48000000))*1000000)/1000</f>
        <v>0.94964583333333341</v>
      </c>
      <c r="G12" s="1">
        <v>2933</v>
      </c>
      <c r="H12" s="1">
        <v>10.02135</v>
      </c>
      <c r="I12">
        <f>(63437*(1/48000000))*1000</f>
        <v>1.3216041666666667</v>
      </c>
      <c r="K12" s="1">
        <v>2.1508989999999999</v>
      </c>
      <c r="L12">
        <f>(103767*(1/48000000))*1000</f>
        <v>2.1618124999999999</v>
      </c>
      <c r="M12" s="1"/>
      <c r="N12" s="1">
        <v>3.328198</v>
      </c>
      <c r="O12">
        <f>(127069*(1/48000000))*1000</f>
        <v>2.6472708333333337</v>
      </c>
      <c r="P12" s="1">
        <v>8081</v>
      </c>
      <c r="Q12" s="1">
        <v>1.4187380000000001</v>
      </c>
      <c r="R12">
        <f>(161618*(1/48000000))*1000</f>
        <v>3.3670416666666672</v>
      </c>
      <c r="S12" s="1">
        <v>9958</v>
      </c>
      <c r="T12" s="1">
        <v>1.836022</v>
      </c>
      <c r="U12" s="1">
        <f t="shared" si="0"/>
        <v>1.836022</v>
      </c>
      <c r="V12" s="5">
        <f>(196048*(1/48000000))*1000</f>
        <v>4.0843333333333343</v>
      </c>
      <c r="W12" s="1">
        <v>19786</v>
      </c>
      <c r="X12" s="1">
        <v>-0.18318400000000001</v>
      </c>
      <c r="Y12" s="1">
        <f t="shared" si="1"/>
        <v>0.18318400000000001</v>
      </c>
      <c r="Z12">
        <f>(384513*(1/48000000))*1000</f>
        <v>8.0106875000000013</v>
      </c>
      <c r="AA12">
        <v>29717</v>
      </c>
      <c r="AB12" s="1">
        <v>-1.395035</v>
      </c>
      <c r="AC12" s="1">
        <f t="shared" si="2"/>
        <v>1.395035</v>
      </c>
      <c r="AD12">
        <f>(581248*(1/48000000))*1000</f>
        <v>12.109333333333336</v>
      </c>
      <c r="AE12" s="1">
        <v>80506</v>
      </c>
      <c r="AF12" s="1">
        <v>-1.5127250000000001</v>
      </c>
      <c r="AG12" s="1">
        <f t="shared" si="3"/>
        <v>1.5127250000000001</v>
      </c>
      <c r="AH12">
        <f>(1567682*(1/48000000))*1000</f>
        <v>32.660041666666665</v>
      </c>
      <c r="AI12" s="1">
        <v>99668</v>
      </c>
      <c r="AJ12" s="1">
        <v>-0.93520599999999998</v>
      </c>
      <c r="AK12" s="1">
        <f t="shared" si="4"/>
        <v>0.93520599999999998</v>
      </c>
      <c r="AL12" s="1">
        <f>(1926372*(1/48000000))*1000</f>
        <v>40.132750000000001</v>
      </c>
    </row>
    <row r="13" spans="1:39" x14ac:dyDescent="0.2">
      <c r="A13">
        <v>989.3</v>
      </c>
      <c r="B13" s="1">
        <v>43.674166</v>
      </c>
      <c r="C13" s="5">
        <f>((27299*(1/48000000))*1000000)/1000</f>
        <v>0.56872916666666673</v>
      </c>
      <c r="D13">
        <v>1964.5</v>
      </c>
      <c r="E13" s="1">
        <v>13.773379</v>
      </c>
      <c r="F13" s="5">
        <f>((44598*(1/48000000))*1000000)/1000</f>
        <v>0.92912499999999998</v>
      </c>
      <c r="G13" s="1">
        <v>2933</v>
      </c>
      <c r="H13" s="1">
        <v>10.172644</v>
      </c>
      <c r="I13">
        <f>(64527*(1/48000000))*1000</f>
        <v>1.3443125</v>
      </c>
      <c r="K13" s="1">
        <v>3.1567289999999999</v>
      </c>
      <c r="L13">
        <f>(103984*(1/48000000))*1000</f>
        <v>2.1663333333333337</v>
      </c>
      <c r="M13" s="1"/>
      <c r="N13" s="1">
        <v>3.7220019999999998</v>
      </c>
      <c r="O13">
        <f>(125710*(1/48000000))*1000</f>
        <v>2.6189583333333335</v>
      </c>
      <c r="P13" s="1">
        <v>8081</v>
      </c>
      <c r="Q13" s="1">
        <v>0.89357600000000004</v>
      </c>
      <c r="R13">
        <f>(161540*(1/48000000))*1000</f>
        <v>3.3654166666666669</v>
      </c>
      <c r="S13" s="1">
        <v>9958</v>
      </c>
      <c r="T13" s="1">
        <v>1.22299</v>
      </c>
      <c r="U13" s="1">
        <f t="shared" si="0"/>
        <v>1.22299</v>
      </c>
      <c r="V13" s="5">
        <f>(196826*(1/48000000))*1000</f>
        <v>4.1005416666666674</v>
      </c>
      <c r="W13" s="1">
        <v>19786</v>
      </c>
      <c r="X13" s="1">
        <v>-0.68596500000000005</v>
      </c>
      <c r="Y13" s="1">
        <f t="shared" si="1"/>
        <v>0.68596500000000005</v>
      </c>
      <c r="Z13">
        <f>(383111*(1/48000000))*1000</f>
        <v>7.9814791666666682</v>
      </c>
      <c r="AA13">
        <v>29717</v>
      </c>
      <c r="AB13" s="1">
        <v>-1.944375</v>
      </c>
      <c r="AC13" s="1">
        <f t="shared" si="2"/>
        <v>1.944375</v>
      </c>
      <c r="AD13">
        <f>(579147*(1/48000000))*1000</f>
        <v>12.0655625</v>
      </c>
      <c r="AE13" s="1">
        <v>80506</v>
      </c>
      <c r="AF13" s="1">
        <v>-0.65824800000000006</v>
      </c>
      <c r="AG13" s="1">
        <f t="shared" si="3"/>
        <v>0.65824800000000006</v>
      </c>
      <c r="AH13">
        <f>(1562627*(1/48000000))*1000</f>
        <v>32.554729166666668</v>
      </c>
      <c r="AI13" s="1">
        <v>99668</v>
      </c>
      <c r="AJ13" s="1">
        <v>-0.71357000000000004</v>
      </c>
      <c r="AK13" s="1">
        <f t="shared" si="4"/>
        <v>0.71357000000000004</v>
      </c>
      <c r="AL13" s="1">
        <f>(1903380*(1/48000000))*1000</f>
        <v>39.653750000000002</v>
      </c>
    </row>
    <row r="14" spans="1:39" x14ac:dyDescent="0.2">
      <c r="A14">
        <v>989.3</v>
      </c>
      <c r="B14" s="1">
        <v>32.985365000000002</v>
      </c>
      <c r="C14" s="5">
        <f>((27306*(1/48000000))*1000000)/1000</f>
        <v>0.56887500000000002</v>
      </c>
      <c r="D14">
        <v>1964.5</v>
      </c>
      <c r="E14" s="1">
        <v>15.695593000000001</v>
      </c>
      <c r="F14" s="5">
        <f>((44796*(1/48000000))*1000000)/1000</f>
        <v>0.93325000000000002</v>
      </c>
      <c r="G14" s="1">
        <v>2933</v>
      </c>
      <c r="H14" s="1">
        <v>10.603403</v>
      </c>
      <c r="I14">
        <f>(67514*(1/48000000))*1000</f>
        <v>1.4065416666666668</v>
      </c>
      <c r="K14" s="1">
        <v>4.1605420000000004</v>
      </c>
      <c r="L14">
        <f>(103512*(1/48000000))*1000</f>
        <v>2.1564999999999999</v>
      </c>
      <c r="M14" s="1"/>
      <c r="N14" s="1">
        <v>2.4616180000000001</v>
      </c>
      <c r="O14">
        <f>(126964*(1/48000000))*1000</f>
        <v>2.6450833333333335</v>
      </c>
      <c r="P14" s="1">
        <v>8081</v>
      </c>
      <c r="Q14" s="1">
        <v>1.85548</v>
      </c>
      <c r="R14">
        <f>(162328*(1/48000000))*1000</f>
        <v>3.3818333333333337</v>
      </c>
      <c r="S14" s="1">
        <v>9958</v>
      </c>
      <c r="T14" s="1">
        <v>1.347024</v>
      </c>
      <c r="U14" s="1">
        <f t="shared" si="0"/>
        <v>1.347024</v>
      </c>
      <c r="V14" s="5">
        <f>(196847*(1/48000000))*1000</f>
        <v>4.1009791666666668</v>
      </c>
      <c r="W14" s="1">
        <v>19786</v>
      </c>
      <c r="X14" s="1">
        <v>-0.69537800000000005</v>
      </c>
      <c r="Y14" s="1">
        <f t="shared" si="1"/>
        <v>0.69537800000000005</v>
      </c>
      <c r="Z14">
        <f>(384885*(1/48000000))*1000</f>
        <v>8.018437500000001</v>
      </c>
      <c r="AA14">
        <v>29717</v>
      </c>
      <c r="AB14" s="1">
        <v>-2.2766410000000001</v>
      </c>
      <c r="AC14" s="1">
        <f t="shared" si="2"/>
        <v>2.2766410000000001</v>
      </c>
      <c r="AD14">
        <f>(578197*(1/48000000))*1000</f>
        <v>12.045770833333334</v>
      </c>
      <c r="AE14" s="1">
        <v>80506</v>
      </c>
      <c r="AF14" s="1">
        <v>-0.69112700000000005</v>
      </c>
      <c r="AG14" s="1">
        <f t="shared" si="3"/>
        <v>0.69112700000000005</v>
      </c>
      <c r="AH14">
        <f>(1552514*(1/48000000))*1000</f>
        <v>32.344041666666669</v>
      </c>
      <c r="AI14" s="1">
        <v>99668</v>
      </c>
      <c r="AJ14" s="1">
        <v>-1.090344</v>
      </c>
      <c r="AK14" s="1">
        <f t="shared" si="4"/>
        <v>1.090344</v>
      </c>
      <c r="AL14" s="1">
        <f>(1934847*(1/48000000))*1000</f>
        <v>40.309312499999997</v>
      </c>
    </row>
    <row r="15" spans="1:39" x14ac:dyDescent="0.2">
      <c r="A15">
        <v>989.3</v>
      </c>
      <c r="B15" s="1">
        <v>36.903362999999999</v>
      </c>
      <c r="C15" s="5">
        <f>((27190*(1/48000000))*1000000)/1000</f>
        <v>0.5664583333333334</v>
      </c>
      <c r="D15">
        <v>1964.5</v>
      </c>
      <c r="E15" s="1">
        <v>14.531255</v>
      </c>
      <c r="F15" s="5">
        <f>((43871*(1/48000000))*1000000)/1000</f>
        <v>0.91397916666666668</v>
      </c>
      <c r="G15" s="1">
        <v>2933</v>
      </c>
      <c r="H15" s="1">
        <v>10.615641</v>
      </c>
      <c r="I15">
        <f>(63169*(1/48000000))*1000</f>
        <v>1.3160208333333334</v>
      </c>
      <c r="K15" s="1">
        <v>2.524305</v>
      </c>
      <c r="L15">
        <f>(104181*(1/48000000))*1000</f>
        <v>2.1704375000000002</v>
      </c>
      <c r="M15" s="1"/>
      <c r="N15" s="1">
        <v>3.1407989999999999</v>
      </c>
      <c r="O15">
        <f>(126185*(1/48000000))*1000</f>
        <v>2.6288541666666667</v>
      </c>
      <c r="P15" s="1">
        <v>8081</v>
      </c>
      <c r="Q15" s="1">
        <v>1.279012</v>
      </c>
      <c r="R15">
        <f>(160969*(1/48000000))*1000</f>
        <v>3.3535208333333335</v>
      </c>
      <c r="S15" s="1">
        <v>9958</v>
      </c>
      <c r="T15" s="1">
        <v>-0.238008</v>
      </c>
      <c r="U15" s="1">
        <f t="shared" si="0"/>
        <v>0.238008</v>
      </c>
      <c r="V15" s="5">
        <f>(196874*(1/48000000))*1000</f>
        <v>4.1015416666666669</v>
      </c>
      <c r="W15" s="1">
        <v>19786</v>
      </c>
      <c r="X15" s="1">
        <v>-1.334714</v>
      </c>
      <c r="Y15" s="1">
        <f t="shared" si="1"/>
        <v>1.334714</v>
      </c>
      <c r="Z15">
        <f>(385554*(1/48000000))*1000</f>
        <v>8.0323750000000018</v>
      </c>
      <c r="AA15">
        <v>29717</v>
      </c>
      <c r="AB15" s="1">
        <v>-1.492496</v>
      </c>
      <c r="AC15" s="1">
        <f t="shared" si="2"/>
        <v>1.492496</v>
      </c>
      <c r="AD15">
        <f>(575638*(1/48000000))*1000</f>
        <v>11.992458333333333</v>
      </c>
      <c r="AE15" s="1">
        <v>80506</v>
      </c>
      <c r="AF15" s="1">
        <v>-0.30132900000000001</v>
      </c>
      <c r="AG15" s="1">
        <f t="shared" si="3"/>
        <v>0.30132900000000001</v>
      </c>
      <c r="AH15">
        <f>(1563998*(1/48000000))*1000</f>
        <v>32.583291666666668</v>
      </c>
      <c r="AI15" s="1">
        <v>99668</v>
      </c>
      <c r="AJ15" s="1">
        <v>-1.297283</v>
      </c>
      <c r="AK15" s="1">
        <f t="shared" si="4"/>
        <v>1.297283</v>
      </c>
      <c r="AL15" s="1">
        <f>(1936327*(1/48000000))*1000</f>
        <v>40.340145833333331</v>
      </c>
    </row>
    <row r="16" spans="1:39" x14ac:dyDescent="0.2">
      <c r="A16">
        <v>989.3</v>
      </c>
      <c r="B16" s="1">
        <v>42.480521000000003</v>
      </c>
      <c r="C16" s="5">
        <f>((27017*(1/48000000))*1000000)/1000</f>
        <v>0.56285416666666677</v>
      </c>
      <c r="D16">
        <v>1964.5</v>
      </c>
      <c r="E16" s="1">
        <v>16.635465</v>
      </c>
      <c r="F16" s="5">
        <f>((44920*(1/48000000))*1000000)/1000</f>
        <v>0.93583333333333352</v>
      </c>
      <c r="G16" s="1">
        <v>2933</v>
      </c>
      <c r="H16" s="1">
        <v>9.45749</v>
      </c>
      <c r="I16">
        <f>(63851*(1/48000000))*1000</f>
        <v>1.3302291666666668</v>
      </c>
      <c r="K16" s="1">
        <v>2.8371740000000001</v>
      </c>
      <c r="L16">
        <f>(103121*(1/48000000))*1000</f>
        <v>2.148354166666667</v>
      </c>
      <c r="M16" s="1"/>
      <c r="N16" s="1">
        <v>3.481058</v>
      </c>
      <c r="O16">
        <f>(126356*(1/48000000))*1000</f>
        <v>2.6324166666666668</v>
      </c>
      <c r="P16" s="1">
        <v>8081</v>
      </c>
      <c r="Q16" s="1">
        <v>0.71208700000000003</v>
      </c>
      <c r="R16">
        <f>(161776*(1/48000000))*1000</f>
        <v>3.3703333333333338</v>
      </c>
      <c r="S16" s="1">
        <v>9958</v>
      </c>
      <c r="T16" s="1">
        <v>0.169153</v>
      </c>
      <c r="U16" s="1">
        <f t="shared" si="0"/>
        <v>0.169153</v>
      </c>
      <c r="V16" s="5">
        <f>(199966*(1/48000000))*1000</f>
        <v>4.1659583333333341</v>
      </c>
      <c r="W16" s="1">
        <v>19786</v>
      </c>
      <c r="X16" s="1">
        <v>-1.195764</v>
      </c>
      <c r="Y16" s="1">
        <f t="shared" si="1"/>
        <v>1.195764</v>
      </c>
      <c r="Z16">
        <f>(380239*(1/48000000))*1000</f>
        <v>7.9216458333333346</v>
      </c>
      <c r="AA16">
        <v>29717</v>
      </c>
      <c r="AB16" s="1">
        <v>-2.3122509999999998</v>
      </c>
      <c r="AC16" s="1">
        <f t="shared" si="2"/>
        <v>2.3122509999999998</v>
      </c>
      <c r="AD16">
        <f>(575606*(1/48000000))*1000</f>
        <v>11.991791666666668</v>
      </c>
      <c r="AE16" s="1">
        <v>80506</v>
      </c>
      <c r="AF16" s="1">
        <v>-0.90979500000000002</v>
      </c>
      <c r="AG16" s="1">
        <f t="shared" si="3"/>
        <v>0.90979500000000002</v>
      </c>
      <c r="AH16">
        <f>(1565257*(1/48000000))*1000</f>
        <v>32.609520833333335</v>
      </c>
      <c r="AI16" s="1">
        <v>99668</v>
      </c>
      <c r="AJ16" s="1">
        <v>-1.6367210000000001</v>
      </c>
      <c r="AK16" s="1">
        <f t="shared" si="4"/>
        <v>1.6367210000000001</v>
      </c>
      <c r="AL16" s="1">
        <f>(1922922*(1/48000000))*1000</f>
        <v>40.060875000000003</v>
      </c>
    </row>
    <row r="17" spans="1:38" x14ac:dyDescent="0.2">
      <c r="A17">
        <v>989.3</v>
      </c>
      <c r="B17" s="1">
        <v>35.469974999999998</v>
      </c>
      <c r="C17" s="5">
        <f>((26425*(1/48000000))*1000000)/1000</f>
        <v>0.55052083333333335</v>
      </c>
      <c r="D17">
        <v>1964.5</v>
      </c>
      <c r="E17" s="1">
        <v>16.769604000000001</v>
      </c>
      <c r="F17" s="5">
        <f>((44190*(1/48000000))*1000000)/1000</f>
        <v>0.92062500000000003</v>
      </c>
      <c r="G17" s="1">
        <v>2933</v>
      </c>
      <c r="H17" s="1">
        <v>9.5499939999999999</v>
      </c>
      <c r="I17">
        <f>(64705*(1/48000000))*1000</f>
        <v>1.3480208333333334</v>
      </c>
      <c r="K17" s="1">
        <v>2.23373</v>
      </c>
      <c r="L17">
        <f>(104145*(1/48000000))*1000</f>
        <v>2.1696875000000002</v>
      </c>
      <c r="M17" s="1"/>
      <c r="N17" s="1">
        <v>4.079707</v>
      </c>
      <c r="O17">
        <f>(125559*(1/48000000))*1000</f>
        <v>2.6158125000000001</v>
      </c>
      <c r="P17" s="1">
        <v>8081</v>
      </c>
      <c r="Q17" s="1">
        <v>2.7989120000000001</v>
      </c>
      <c r="R17">
        <f>(162706*(1/48000000))*1000</f>
        <v>3.3897083333333335</v>
      </c>
      <c r="S17" s="1">
        <v>9958</v>
      </c>
      <c r="T17" s="1">
        <v>1.8532599999999999</v>
      </c>
      <c r="U17" s="1">
        <f t="shared" si="0"/>
        <v>1.8532599999999999</v>
      </c>
      <c r="V17" s="5">
        <f>(196992*(1/48000000))*1000</f>
        <v>4.1040000000000001</v>
      </c>
      <c r="W17" s="1">
        <v>19786</v>
      </c>
      <c r="X17" s="1">
        <v>-1.5980669999999999</v>
      </c>
      <c r="Y17" s="1">
        <f t="shared" si="1"/>
        <v>1.5980669999999999</v>
      </c>
      <c r="Z17">
        <f>(384071*(1/48000000))*1000</f>
        <v>8.0014791666666678</v>
      </c>
      <c r="AA17">
        <v>29717</v>
      </c>
      <c r="AB17" s="1">
        <v>-1.710272</v>
      </c>
      <c r="AC17" s="1">
        <f t="shared" si="2"/>
        <v>1.710272</v>
      </c>
      <c r="AD17">
        <f>(577733*(1/48000000))*1000</f>
        <v>12.036104166666668</v>
      </c>
      <c r="AE17" s="1">
        <v>80506</v>
      </c>
      <c r="AF17" s="1">
        <v>-0.85593300000000005</v>
      </c>
      <c r="AG17" s="1">
        <f t="shared" si="3"/>
        <v>0.85593300000000005</v>
      </c>
      <c r="AH17">
        <f>(1574580*(1/48000000))*1000</f>
        <v>32.803750000000001</v>
      </c>
      <c r="AI17" s="1">
        <v>99668</v>
      </c>
      <c r="AJ17" s="1">
        <v>-0.96988399999999997</v>
      </c>
      <c r="AK17" s="1">
        <f t="shared" si="4"/>
        <v>0.96988399999999997</v>
      </c>
      <c r="AL17" s="1">
        <f>(1931771*(1/48000000))*1000</f>
        <v>40.245229166666668</v>
      </c>
    </row>
    <row r="18" spans="1:38" x14ac:dyDescent="0.2">
      <c r="A18">
        <v>989.3</v>
      </c>
      <c r="B18" s="1">
        <v>42.849223000000002</v>
      </c>
      <c r="C18" s="5">
        <f>((27092*(1/48000000))*1000000)/1000</f>
        <v>0.56441666666666679</v>
      </c>
      <c r="D18">
        <v>1964.5</v>
      </c>
      <c r="E18" s="1">
        <v>17.054383000000001</v>
      </c>
      <c r="F18" s="5">
        <f>((44935*(1/48000000))*1000000)/1000</f>
        <v>0.93614583333333334</v>
      </c>
      <c r="G18" s="1">
        <v>2933</v>
      </c>
      <c r="H18" s="1">
        <v>10.93045</v>
      </c>
      <c r="I18">
        <f>(64721*(1/48000000))*1000</f>
        <v>1.3483541666666667</v>
      </c>
      <c r="K18" s="1">
        <v>3.5053649999999998</v>
      </c>
      <c r="L18">
        <f>(104316*(1/48000000))*1000</f>
        <v>2.1732500000000003</v>
      </c>
      <c r="M18" s="1"/>
      <c r="N18" s="1">
        <v>3.4539499999999999</v>
      </c>
      <c r="O18">
        <f>(127652*(1/48000000))*1000</f>
        <v>2.6594166666666665</v>
      </c>
      <c r="P18" s="1">
        <v>8081</v>
      </c>
      <c r="Q18" s="1">
        <v>1.5733680000000001</v>
      </c>
      <c r="R18">
        <f>(160925*(1/48000000))*1000</f>
        <v>3.3526041666666671</v>
      </c>
      <c r="S18" s="1">
        <v>9958</v>
      </c>
      <c r="T18" s="1">
        <v>6.6928000000000001E-2</v>
      </c>
      <c r="U18" s="1">
        <f t="shared" si="0"/>
        <v>6.6928000000000001E-2</v>
      </c>
      <c r="V18" s="5">
        <f>(197652*(1/48000000))*1000</f>
        <v>4.11775</v>
      </c>
      <c r="W18" s="1">
        <v>19786</v>
      </c>
      <c r="X18" s="1">
        <v>-0.57127499999999998</v>
      </c>
      <c r="Y18" s="1">
        <f t="shared" si="1"/>
        <v>0.57127499999999998</v>
      </c>
      <c r="Z18">
        <f>(383768*(1/48000000))*1000</f>
        <v>7.9951666666666679</v>
      </c>
      <c r="AA18">
        <v>29717</v>
      </c>
      <c r="AB18" s="1">
        <v>-1.0672280000000001</v>
      </c>
      <c r="AC18" s="1">
        <f t="shared" si="2"/>
        <v>1.0672280000000001</v>
      </c>
      <c r="AD18">
        <f>(570668*(1/48000000))*1000</f>
        <v>11.888916666666667</v>
      </c>
      <c r="AE18" s="1">
        <v>80506</v>
      </c>
      <c r="AF18" s="1">
        <v>-1.2888390000000001</v>
      </c>
      <c r="AG18" s="1">
        <f t="shared" si="3"/>
        <v>1.2888390000000001</v>
      </c>
      <c r="AH18">
        <f>(1554651*(1/48000000))*1000</f>
        <v>32.388562499999999</v>
      </c>
      <c r="AI18" s="1">
        <v>99668</v>
      </c>
      <c r="AJ18" s="1">
        <v>-1.3403910000000001</v>
      </c>
      <c r="AK18" s="1">
        <f t="shared" si="4"/>
        <v>1.3403910000000001</v>
      </c>
      <c r="AL18" s="1">
        <f>(1925642*(1/48000000))*1000</f>
        <v>40.117541666666668</v>
      </c>
    </row>
    <row r="19" spans="1:38" x14ac:dyDescent="0.2">
      <c r="A19">
        <v>989.3</v>
      </c>
      <c r="B19" s="1">
        <v>39.470638000000001</v>
      </c>
      <c r="C19" s="5">
        <f>((26521*(1/48000000))*1000000)/1000</f>
        <v>0.55252083333333335</v>
      </c>
      <c r="D19">
        <v>1964.5</v>
      </c>
      <c r="E19" s="1">
        <v>14.920966999999999</v>
      </c>
      <c r="F19" s="5">
        <f>((44321*(1/48000000))*1000000)/1000</f>
        <v>0.9233541666666667</v>
      </c>
      <c r="G19" s="1">
        <v>2933</v>
      </c>
      <c r="H19" s="1">
        <v>11.949776</v>
      </c>
      <c r="I19">
        <f>(63919*(1/48000000))*1000</f>
        <v>1.3316458333333334</v>
      </c>
      <c r="K19" s="1">
        <v>2.8873530000000001</v>
      </c>
      <c r="L19">
        <f>(103553*(1/48000000))*1000</f>
        <v>2.1573541666666669</v>
      </c>
      <c r="M19" s="1"/>
      <c r="N19" s="1">
        <v>3.36971</v>
      </c>
      <c r="O19">
        <f>(125546*(1/48000000))*1000</f>
        <v>2.6155416666666667</v>
      </c>
      <c r="P19" s="1">
        <v>8081</v>
      </c>
      <c r="Q19" s="1">
        <v>1.883446</v>
      </c>
      <c r="R19">
        <f>(161109*(1/48000000))*1000</f>
        <v>3.3564375000000002</v>
      </c>
      <c r="S19" s="1">
        <v>9958</v>
      </c>
      <c r="T19" s="1">
        <v>0.49543599999999999</v>
      </c>
      <c r="U19" s="1">
        <f t="shared" si="0"/>
        <v>0.49543599999999999</v>
      </c>
      <c r="V19" s="5">
        <f>(195780*(1/48000000))*1000</f>
        <v>4.0787500000000003</v>
      </c>
      <c r="W19" s="1">
        <v>19786</v>
      </c>
      <c r="X19" s="1">
        <v>-1.547464</v>
      </c>
      <c r="Y19" s="1">
        <f t="shared" si="1"/>
        <v>1.547464</v>
      </c>
      <c r="Z19">
        <f>(383882*(1/48000000))*1000</f>
        <v>7.9975416666666668</v>
      </c>
      <c r="AA19">
        <v>29717</v>
      </c>
      <c r="AB19" s="1">
        <v>-1.9183950000000001</v>
      </c>
      <c r="AC19" s="1">
        <f t="shared" si="2"/>
        <v>1.9183950000000001</v>
      </c>
      <c r="AD19">
        <f>(575438*(1/48000000))*1000</f>
        <v>11.988291666666669</v>
      </c>
      <c r="AE19" s="1">
        <v>80506</v>
      </c>
      <c r="AF19" s="1">
        <v>-1.461965</v>
      </c>
      <c r="AG19" s="1">
        <f t="shared" si="3"/>
        <v>1.461965</v>
      </c>
      <c r="AH19">
        <f>(1563002*(1/48000000))*1000</f>
        <v>32.562541666666668</v>
      </c>
      <c r="AI19" s="1">
        <v>99668</v>
      </c>
      <c r="AJ19" s="1">
        <v>-1.2989889999999999</v>
      </c>
      <c r="AK19" s="1">
        <f t="shared" si="4"/>
        <v>1.2989889999999999</v>
      </c>
      <c r="AL19" s="1">
        <f>(1936844*(1/48000000))*1000</f>
        <v>40.35091666666667</v>
      </c>
    </row>
    <row r="20" spans="1:38" x14ac:dyDescent="0.2">
      <c r="A20">
        <v>989.3</v>
      </c>
      <c r="B20" s="1">
        <v>36.419438999999997</v>
      </c>
      <c r="C20" s="5">
        <f>((27138*(1/48000000))*1000000)/1000</f>
        <v>0.56537499999999996</v>
      </c>
      <c r="D20">
        <v>1964.5</v>
      </c>
      <c r="E20" s="1">
        <v>17.470877000000002</v>
      </c>
      <c r="F20" s="5">
        <f>((44127*(1/48000000))*1000000)/1000</f>
        <v>0.91931250000000009</v>
      </c>
      <c r="G20" s="1">
        <v>2933</v>
      </c>
      <c r="H20" s="1">
        <v>9.9143290000000004</v>
      </c>
      <c r="I20">
        <f>(64547*(1/48000000))*1000</f>
        <v>1.3447291666666668</v>
      </c>
      <c r="K20" s="1">
        <v>4.1649079999999996</v>
      </c>
      <c r="L20">
        <f>(104238*(1/48000000))*1000</f>
        <v>2.1716250000000001</v>
      </c>
      <c r="M20" s="1"/>
      <c r="N20" s="1">
        <v>2.2848290000000002</v>
      </c>
      <c r="O20">
        <f>(126201*(1/48000000))*1000</f>
        <v>2.6291875</v>
      </c>
      <c r="P20" s="1">
        <v>8081</v>
      </c>
      <c r="Q20" s="1">
        <v>0.57560199999999995</v>
      </c>
      <c r="R20">
        <f>(161093*(1/48000000))*1000</f>
        <v>3.3561041666666669</v>
      </c>
      <c r="S20" s="1">
        <v>9958</v>
      </c>
      <c r="T20" s="1">
        <v>1.0762179999999999</v>
      </c>
      <c r="U20" s="1">
        <f t="shared" si="0"/>
        <v>1.0762179999999999</v>
      </c>
      <c r="V20" s="5">
        <f>(196830*(1/48000000))*1000</f>
        <v>4.100625</v>
      </c>
      <c r="W20" s="1">
        <v>19786</v>
      </c>
      <c r="X20" s="1">
        <v>-1.3213269999999999</v>
      </c>
      <c r="Y20" s="1">
        <f t="shared" si="1"/>
        <v>1.3213269999999999</v>
      </c>
      <c r="Z20">
        <f>(384150*(1/48000000))*1000</f>
        <v>8.0031250000000007</v>
      </c>
      <c r="AA20">
        <v>29717</v>
      </c>
      <c r="AB20" s="1">
        <v>-1.43251</v>
      </c>
      <c r="AC20" s="1">
        <f t="shared" si="2"/>
        <v>1.43251</v>
      </c>
      <c r="AD20">
        <f>(576013*(1/48000000))*1000</f>
        <v>12.000270833333333</v>
      </c>
      <c r="AE20" s="1">
        <v>80506</v>
      </c>
      <c r="AF20" s="1">
        <v>-0.48577999999999999</v>
      </c>
      <c r="AG20" s="1">
        <f t="shared" si="3"/>
        <v>0.48577999999999999</v>
      </c>
      <c r="AH20">
        <f>(1562853*(1/48000000))*1000</f>
        <v>32.559437500000001</v>
      </c>
      <c r="AI20" s="1">
        <v>99668</v>
      </c>
      <c r="AJ20" s="1">
        <v>-0.82786099999999996</v>
      </c>
      <c r="AK20" s="1">
        <f t="shared" si="4"/>
        <v>0.82786099999999996</v>
      </c>
      <c r="AL20" s="1">
        <f>(1938031*(1/48000000))*1000</f>
        <v>40.375645833333337</v>
      </c>
    </row>
    <row r="21" spans="1:38" x14ac:dyDescent="0.2">
      <c r="A21">
        <v>989.3</v>
      </c>
      <c r="B21" s="1">
        <v>32.614832</v>
      </c>
      <c r="C21" s="5">
        <f>((27210*(1/48000000))*1000000)/1000</f>
        <v>0.56687500000000002</v>
      </c>
      <c r="D21">
        <v>1964.5</v>
      </c>
      <c r="E21" s="1">
        <v>13.806518000000001</v>
      </c>
      <c r="F21" s="5">
        <f>((44986*(1/48000000))*1000000)/1000</f>
        <v>0.93720833333333342</v>
      </c>
      <c r="G21" s="1">
        <v>2933</v>
      </c>
      <c r="H21" s="1">
        <v>10.835770999999999</v>
      </c>
      <c r="I21">
        <f>(63955*(1/48000000))*1000</f>
        <v>1.3323958333333334</v>
      </c>
      <c r="K21" s="1">
        <v>3.5794419999999998</v>
      </c>
      <c r="L21">
        <f>(103521*(1/48000000))*1000</f>
        <v>2.1566875000000003</v>
      </c>
      <c r="M21" s="1"/>
      <c r="N21" s="1">
        <v>2.3428450000000001</v>
      </c>
      <c r="O21">
        <f>(127150*(1/48000000))*1000</f>
        <v>2.6489583333333333</v>
      </c>
      <c r="P21" s="1">
        <v>8081</v>
      </c>
      <c r="Q21" s="1">
        <v>0.73864700000000005</v>
      </c>
      <c r="R21">
        <f>(161453*(1/48000000))*1000</f>
        <v>3.3636041666666672</v>
      </c>
      <c r="S21" s="1">
        <v>9958</v>
      </c>
      <c r="T21" s="1">
        <v>-0.46959200000000001</v>
      </c>
      <c r="U21" s="1">
        <f t="shared" si="0"/>
        <v>0.46959200000000001</v>
      </c>
      <c r="V21" s="5">
        <f>(197664*(1/48000000))*1000</f>
        <v>4.1180000000000003</v>
      </c>
      <c r="W21" s="1">
        <v>19786</v>
      </c>
      <c r="X21" s="1">
        <v>-0.70639099999999999</v>
      </c>
      <c r="Y21" s="1">
        <f t="shared" si="1"/>
        <v>0.70639099999999999</v>
      </c>
      <c r="Z21">
        <f>(384782*(1/48000000))*1000</f>
        <v>8.0162916666666657</v>
      </c>
      <c r="AA21">
        <v>29717</v>
      </c>
      <c r="AB21" s="1">
        <v>-0.52494200000000002</v>
      </c>
      <c r="AC21" s="1">
        <f t="shared" si="2"/>
        <v>0.52494200000000002</v>
      </c>
      <c r="AD21">
        <f>(574249*(1/48000000))*1000</f>
        <v>11.963520833333334</v>
      </c>
      <c r="AE21" s="1">
        <v>80506</v>
      </c>
      <c r="AF21" s="1">
        <v>-1.6241779999999999</v>
      </c>
      <c r="AG21" s="1">
        <f t="shared" si="3"/>
        <v>1.6241779999999999</v>
      </c>
      <c r="AH21">
        <f>(1569136*(1/48000000))*1000</f>
        <v>32.690333333333335</v>
      </c>
      <c r="AI21" s="1">
        <v>99668</v>
      </c>
      <c r="AJ21" s="1">
        <v>-1.3522350000000001</v>
      </c>
      <c r="AK21" s="1">
        <f t="shared" si="4"/>
        <v>1.3522350000000001</v>
      </c>
      <c r="AL21" s="1">
        <f>(1924174*(1/48000000))*1000</f>
        <v>40.086958333333342</v>
      </c>
    </row>
    <row r="22" spans="1:38" x14ac:dyDescent="0.2">
      <c r="A22">
        <v>989.3</v>
      </c>
      <c r="B22" s="1">
        <v>41.076267999999999</v>
      </c>
      <c r="C22" s="5">
        <f>((26813*(1/48000000))*1000000)/1000</f>
        <v>0.55860416666666668</v>
      </c>
      <c r="D22">
        <v>1964.5</v>
      </c>
      <c r="E22" s="1">
        <v>18.271094999999999</v>
      </c>
      <c r="F22" s="5">
        <f>((43982*(1/48000000))*1000000)/1000</f>
        <v>0.91629166666666673</v>
      </c>
      <c r="G22" s="1">
        <v>2933</v>
      </c>
      <c r="H22" s="1">
        <v>9.8895669999999996</v>
      </c>
      <c r="I22">
        <f>(64150*(1/48000000))*1000</f>
        <v>1.3364583333333333</v>
      </c>
      <c r="K22" s="1">
        <v>3.8208389999999999</v>
      </c>
      <c r="L22">
        <f>(103667*(1/48000000))*1000</f>
        <v>2.1597291666666671</v>
      </c>
      <c r="M22" s="1"/>
      <c r="N22" s="1">
        <v>2.7568269999999999</v>
      </c>
      <c r="O22">
        <f>(126769*(1/48000000))*1000</f>
        <v>2.6410208333333332</v>
      </c>
      <c r="P22" s="1">
        <v>8081</v>
      </c>
      <c r="Q22" s="1">
        <v>2.8574679999999999</v>
      </c>
      <c r="R22">
        <f>(160785*(1/48000000))*1000</f>
        <v>3.3496875000000004</v>
      </c>
      <c r="S22" s="1">
        <v>9958</v>
      </c>
      <c r="T22" s="1">
        <v>1.567563</v>
      </c>
      <c r="U22" s="1">
        <f t="shared" si="0"/>
        <v>1.567563</v>
      </c>
      <c r="V22" s="5">
        <f>(197585*(1/48000000))*1000</f>
        <v>4.1163541666666665</v>
      </c>
      <c r="W22" s="1">
        <v>19786</v>
      </c>
      <c r="X22" s="1">
        <v>-1.9378759999999999</v>
      </c>
      <c r="Y22" s="1">
        <f t="shared" si="1"/>
        <v>1.9378759999999999</v>
      </c>
      <c r="Z22">
        <f>(385178*(1/48000000))*1000</f>
        <v>8.0245416666666678</v>
      </c>
      <c r="AA22">
        <v>29717</v>
      </c>
      <c r="AB22" s="1">
        <v>-1.29993</v>
      </c>
      <c r="AC22" s="1">
        <f t="shared" si="2"/>
        <v>1.29993</v>
      </c>
      <c r="AD22">
        <f>(577295*(1/48000000))*1000</f>
        <v>12.026979166666667</v>
      </c>
      <c r="AE22" s="1">
        <v>80506</v>
      </c>
      <c r="AF22" s="1">
        <v>-0.71769899999999998</v>
      </c>
      <c r="AG22" s="1">
        <f t="shared" si="3"/>
        <v>0.71769899999999998</v>
      </c>
      <c r="AH22">
        <f>(1569415*(1/48000000))*1000</f>
        <v>32.696145833333333</v>
      </c>
      <c r="AI22" s="1">
        <v>99668</v>
      </c>
      <c r="AJ22" s="1">
        <v>-1.038108</v>
      </c>
      <c r="AK22" s="1">
        <f t="shared" si="4"/>
        <v>1.038108</v>
      </c>
      <c r="AL22" s="1">
        <f>(1935596*(1/48000000))*1000</f>
        <v>40.324916666666667</v>
      </c>
    </row>
    <row r="23" spans="1:38" x14ac:dyDescent="0.2">
      <c r="A23">
        <v>989.3</v>
      </c>
      <c r="B23" s="1">
        <v>38.156787999999999</v>
      </c>
      <c r="C23" s="5">
        <f>((26479*(1/48000000))*1000000)/1000</f>
        <v>0.55164583333333339</v>
      </c>
      <c r="D23">
        <v>1964.5</v>
      </c>
      <c r="E23" s="1">
        <v>14.663819</v>
      </c>
      <c r="F23" s="5">
        <f>((45238*(1/48000000))*1000000)/1000</f>
        <v>0.9424583333333334</v>
      </c>
      <c r="G23" s="1">
        <v>2933</v>
      </c>
      <c r="H23" s="1">
        <v>9.0494450000000004</v>
      </c>
      <c r="I23">
        <f>(64794*(1/48000000))*1000</f>
        <v>1.3498750000000002</v>
      </c>
      <c r="K23" s="1">
        <v>2.3244609999999999</v>
      </c>
      <c r="L23">
        <f>(103684*(1/48000000))*1000</f>
        <v>2.1600833333333331</v>
      </c>
      <c r="M23" s="1"/>
      <c r="N23" s="1">
        <v>2.483123</v>
      </c>
      <c r="O23">
        <f>(126692*(1/48000000))*1000</f>
        <v>2.6394166666666665</v>
      </c>
      <c r="P23" s="1">
        <v>8081</v>
      </c>
      <c r="Q23" s="1">
        <v>1.4952190000000001</v>
      </c>
      <c r="R23">
        <f>(161587*(1/48000000))*1000</f>
        <v>3.3663958333333337</v>
      </c>
      <c r="S23" s="1">
        <v>9958</v>
      </c>
      <c r="T23" s="1">
        <v>1.6807179999999999</v>
      </c>
      <c r="U23" s="1">
        <f t="shared" si="0"/>
        <v>1.6807179999999999</v>
      </c>
      <c r="V23" s="5">
        <f>(198041*(1/48000000))*1000</f>
        <v>4.1258541666666666</v>
      </c>
      <c r="W23" s="1">
        <v>19786</v>
      </c>
      <c r="X23" s="1">
        <v>-1.383966</v>
      </c>
      <c r="Y23" s="1">
        <f t="shared" si="1"/>
        <v>1.383966</v>
      </c>
      <c r="Z23">
        <f>(383486*(1/48000000))*1000</f>
        <v>7.9892916666666673</v>
      </c>
      <c r="AA23">
        <v>29717</v>
      </c>
      <c r="AB23" s="1">
        <v>-2.010294</v>
      </c>
      <c r="AC23" s="1">
        <f t="shared" si="2"/>
        <v>2.010294</v>
      </c>
      <c r="AD23">
        <f>(570785*(1/48000000))*1000</f>
        <v>11.891354166666668</v>
      </c>
      <c r="AE23" s="1">
        <v>80506</v>
      </c>
      <c r="AF23" s="1">
        <v>-0.153535</v>
      </c>
      <c r="AG23" s="1">
        <f t="shared" si="3"/>
        <v>0.153535</v>
      </c>
      <c r="AH23">
        <f>(1565786*(1/48000000))*1000</f>
        <v>32.620541666666668</v>
      </c>
      <c r="AI23" s="1">
        <v>99668</v>
      </c>
      <c r="AJ23" s="1">
        <v>-1.372414</v>
      </c>
      <c r="AK23" s="1">
        <f t="shared" si="4"/>
        <v>1.372414</v>
      </c>
      <c r="AL23" s="1">
        <f>(1935189*(1/48000000))*1000</f>
        <v>40.316437500000006</v>
      </c>
    </row>
    <row r="24" spans="1:38" x14ac:dyDescent="0.2">
      <c r="A24">
        <v>989.3</v>
      </c>
      <c r="B24" s="1">
        <v>37.114154999999997</v>
      </c>
      <c r="C24" s="5">
        <f>((27359*(1/48000000))*1000000)/1000</f>
        <v>0.56997916666666659</v>
      </c>
      <c r="D24">
        <v>1964.5</v>
      </c>
      <c r="E24" s="1">
        <v>15.599563</v>
      </c>
      <c r="F24" s="5">
        <f>((45005*(1/48000000))*1000000)/1000</f>
        <v>0.93760416666666679</v>
      </c>
      <c r="G24" s="1">
        <v>2933</v>
      </c>
      <c r="H24" s="1">
        <v>10.470895000000001</v>
      </c>
      <c r="I24">
        <f>(63913*(1/48000000))*1000</f>
        <v>1.3315208333333335</v>
      </c>
      <c r="K24" s="1">
        <v>3.3099919999999998</v>
      </c>
      <c r="L24">
        <f>(102629*(1/48000000))*1000</f>
        <v>2.1381041666666665</v>
      </c>
      <c r="M24" s="1"/>
      <c r="N24" s="1">
        <v>2.882647</v>
      </c>
      <c r="O24">
        <f>(126635*(1/48000000))*1000</f>
        <v>2.6382291666666666</v>
      </c>
      <c r="P24" s="1">
        <v>8081</v>
      </c>
      <c r="Q24" s="1">
        <v>2.993312</v>
      </c>
      <c r="R24">
        <f>(162413*(1/48000000))*1000</f>
        <v>3.3836041666666667</v>
      </c>
      <c r="S24" s="1">
        <v>9958</v>
      </c>
      <c r="T24" s="1">
        <v>-0.25718000000000002</v>
      </c>
      <c r="U24" s="1">
        <f t="shared" si="0"/>
        <v>0.25718000000000002</v>
      </c>
      <c r="V24" s="5">
        <f>(196791*(1/48000000))*1000</f>
        <v>4.0998125000000005</v>
      </c>
      <c r="W24" s="1">
        <v>19786</v>
      </c>
      <c r="X24" s="1">
        <v>-1.598797</v>
      </c>
      <c r="Y24" s="1">
        <f t="shared" si="1"/>
        <v>1.598797</v>
      </c>
      <c r="Z24">
        <f>(383883*(1/48000000))*1000</f>
        <v>7.9975625000000008</v>
      </c>
      <c r="AA24">
        <v>29717</v>
      </c>
      <c r="AB24" s="1">
        <v>-0.91835800000000001</v>
      </c>
      <c r="AC24" s="1">
        <f t="shared" si="2"/>
        <v>0.91835800000000001</v>
      </c>
      <c r="AD24">
        <f>(571040*(1/48000000))*1000</f>
        <v>11.896666666666668</v>
      </c>
      <c r="AE24" s="1">
        <v>80506</v>
      </c>
      <c r="AF24" s="1">
        <v>-0.88414700000000002</v>
      </c>
      <c r="AG24" s="1">
        <f t="shared" si="3"/>
        <v>0.88414700000000002</v>
      </c>
      <c r="AH24">
        <f>(1566179*(1/48000000))*1000</f>
        <v>32.628729166666666</v>
      </c>
      <c r="AI24" s="1">
        <v>99668</v>
      </c>
      <c r="AJ24" s="1">
        <v>-0.65226799999999996</v>
      </c>
      <c r="AK24" s="1">
        <f t="shared" si="4"/>
        <v>0.65226799999999996</v>
      </c>
      <c r="AL24" s="1">
        <f>(1923017*(1/48000000))*1000</f>
        <v>40.062854166666668</v>
      </c>
    </row>
    <row r="25" spans="1:38" x14ac:dyDescent="0.2">
      <c r="A25">
        <v>989.3</v>
      </c>
      <c r="B25" s="1">
        <v>35.477158000000003</v>
      </c>
      <c r="C25" s="5">
        <f>((27310*(1/48000000))*1000000)/1000</f>
        <v>0.56895833333333334</v>
      </c>
      <c r="D25">
        <v>1964.5</v>
      </c>
      <c r="E25" s="1">
        <v>14.653130000000001</v>
      </c>
      <c r="F25" s="5">
        <f>((45552*(1/48000000))*1000000)/1000</f>
        <v>0.94900000000000007</v>
      </c>
      <c r="G25" s="1">
        <v>2933</v>
      </c>
      <c r="H25" s="1">
        <v>9.5306960000000007</v>
      </c>
      <c r="I25">
        <f>(63089*(1/48000000))*1000</f>
        <v>1.3143541666666667</v>
      </c>
      <c r="K25" s="1">
        <v>3.1517620000000002</v>
      </c>
      <c r="L25">
        <f>(104612*(1/48000000))*1000</f>
        <v>2.1794166666666666</v>
      </c>
      <c r="M25" s="1"/>
      <c r="N25" s="1">
        <v>2.5813920000000001</v>
      </c>
      <c r="O25">
        <f>(126537*(1/48000000))*1000</f>
        <v>2.6361875000000001</v>
      </c>
      <c r="P25" s="1">
        <v>8081</v>
      </c>
      <c r="Q25" s="1">
        <v>2.3231410000000001</v>
      </c>
      <c r="R25">
        <f>(160888*(1/48000000))*1000</f>
        <v>3.3518333333333334</v>
      </c>
      <c r="S25" s="1">
        <v>9958</v>
      </c>
      <c r="T25" s="1">
        <v>2.0165980000000001</v>
      </c>
      <c r="U25" s="1">
        <f t="shared" si="0"/>
        <v>2.0165980000000001</v>
      </c>
      <c r="V25" s="5">
        <f>(197701*(1/48000000))*1000</f>
        <v>4.1187708333333335</v>
      </c>
      <c r="W25" s="1">
        <v>19786</v>
      </c>
      <c r="X25" s="1">
        <v>-0.85907900000000004</v>
      </c>
      <c r="Y25" s="1">
        <f t="shared" si="1"/>
        <v>0.85907900000000004</v>
      </c>
      <c r="Z25">
        <f>(383490*(1/48000000))*1000</f>
        <v>7.9893749999999999</v>
      </c>
      <c r="AA25">
        <v>29717</v>
      </c>
      <c r="AB25" s="1">
        <v>-0.922435</v>
      </c>
      <c r="AC25" s="1">
        <f t="shared" si="2"/>
        <v>0.922435</v>
      </c>
      <c r="AD25">
        <f>(575017*(1/48000000))*1000</f>
        <v>11.979520833333334</v>
      </c>
      <c r="AE25" s="1">
        <v>80506</v>
      </c>
      <c r="AF25" s="1">
        <v>-0.96577800000000003</v>
      </c>
      <c r="AG25" s="1">
        <f t="shared" si="3"/>
        <v>0.96577800000000003</v>
      </c>
      <c r="AH25">
        <f>(1570589*(1/48000000))*1000</f>
        <v>32.720604166666668</v>
      </c>
      <c r="AI25" s="1">
        <v>99668</v>
      </c>
      <c r="AJ25" s="1">
        <v>-1.5101329999999999</v>
      </c>
      <c r="AK25" s="1">
        <f t="shared" si="4"/>
        <v>1.5101329999999999</v>
      </c>
      <c r="AL25" s="1">
        <f>(1936922*(1/48000000))*1000</f>
        <v>40.352541666666674</v>
      </c>
    </row>
    <row r="26" spans="1:38" x14ac:dyDescent="0.2">
      <c r="A26">
        <v>989.3</v>
      </c>
      <c r="B26" s="1">
        <v>38.327033</v>
      </c>
      <c r="C26" s="5">
        <f>((27325*(1/48000000))*1000000)/1000</f>
        <v>0.56927083333333339</v>
      </c>
      <c r="D26">
        <v>1964.5</v>
      </c>
      <c r="E26" s="1">
        <v>14.034749</v>
      </c>
      <c r="F26" s="5">
        <f>((44489*(1/48000000))*1000000)/1000</f>
        <v>0.92685416666666676</v>
      </c>
      <c r="G26" s="1">
        <v>2933</v>
      </c>
      <c r="H26" s="1">
        <v>8.8360830000000004</v>
      </c>
      <c r="I26">
        <f>(63902*(1/48000000))*1000</f>
        <v>1.3312916666666668</v>
      </c>
      <c r="K26" s="1">
        <v>2.7002730000000001</v>
      </c>
      <c r="L26">
        <f>(103506*(1/48000000))*1000</f>
        <v>2.1563750000000002</v>
      </c>
      <c r="M26" s="1"/>
      <c r="N26" s="1">
        <v>3.8500890000000001</v>
      </c>
      <c r="O26">
        <f>(127336*(1/48000000))*1000</f>
        <v>2.6528333333333336</v>
      </c>
      <c r="P26" s="1">
        <v>8081</v>
      </c>
      <c r="Q26" s="1">
        <v>2.4736910000000001</v>
      </c>
      <c r="R26">
        <f>(160214*(1/48000000))*1000</f>
        <v>3.3377916666666669</v>
      </c>
      <c r="S26" s="1">
        <v>9958</v>
      </c>
      <c r="T26" s="1">
        <v>2.2936190000000001</v>
      </c>
      <c r="U26" s="1">
        <f t="shared" si="0"/>
        <v>2.2936190000000001</v>
      </c>
      <c r="V26" s="5">
        <f>(197100*(1/48000000))*1000</f>
        <v>4.1062500000000002</v>
      </c>
      <c r="W26" s="1">
        <v>19786</v>
      </c>
      <c r="X26" s="1">
        <v>-0.436587</v>
      </c>
      <c r="Y26" s="1">
        <f t="shared" si="1"/>
        <v>0.436587</v>
      </c>
      <c r="Z26">
        <f>(387125*(1/48000000))*1000</f>
        <v>8.0651041666666661</v>
      </c>
      <c r="AA26">
        <v>29717</v>
      </c>
      <c r="AB26" s="1">
        <v>-1.128185</v>
      </c>
      <c r="AC26" s="1">
        <f t="shared" si="2"/>
        <v>1.128185</v>
      </c>
      <c r="AD26">
        <f>(576508*(1/48000000))*1000</f>
        <v>12.010583333333335</v>
      </c>
      <c r="AE26" s="1">
        <v>80506</v>
      </c>
      <c r="AF26" s="1">
        <v>-0.70409299999999997</v>
      </c>
      <c r="AG26" s="1">
        <f t="shared" si="3"/>
        <v>0.70409299999999997</v>
      </c>
      <c r="AH26">
        <f>(1564228*(1/48000000))*1000</f>
        <v>32.588083333333337</v>
      </c>
      <c r="AI26" s="1">
        <v>99668</v>
      </c>
      <c r="AJ26" s="1">
        <v>-2.1521569999999999</v>
      </c>
      <c r="AK26" s="1">
        <f t="shared" si="4"/>
        <v>2.1521569999999999</v>
      </c>
      <c r="AL26" s="1">
        <f>(1938579*(1/48000000))*1000</f>
        <v>40.387062499999999</v>
      </c>
    </row>
    <row r="27" spans="1:38" x14ac:dyDescent="0.2">
      <c r="A27">
        <v>989.3</v>
      </c>
      <c r="B27" s="1">
        <v>38.356974000000001</v>
      </c>
      <c r="C27" s="5">
        <f>((26475*(1/48000000))*1000000)/1000</f>
        <v>0.55156250000000007</v>
      </c>
      <c r="D27">
        <v>1964.5</v>
      </c>
      <c r="E27" s="1">
        <v>14.988246</v>
      </c>
      <c r="F27" s="5">
        <f>((44744*(1/48000000))*1000000)/1000</f>
        <v>0.9321666666666667</v>
      </c>
      <c r="G27" s="1">
        <v>2933</v>
      </c>
      <c r="H27" s="1">
        <v>9.8784569999999992</v>
      </c>
      <c r="I27">
        <f>(63786*(1/48000000))*1000</f>
        <v>1.328875</v>
      </c>
      <c r="K27" s="1">
        <v>3.3400840000000001</v>
      </c>
      <c r="L27">
        <f>(102959*(1/48000000))*1000</f>
        <v>2.1449791666666669</v>
      </c>
      <c r="M27" s="1"/>
      <c r="N27" s="1">
        <v>3.8419629999999998</v>
      </c>
      <c r="O27">
        <f>(126763*(1/48000000))*1000</f>
        <v>2.6408958333333334</v>
      </c>
      <c r="P27" s="1">
        <v>8081</v>
      </c>
      <c r="Q27" s="1">
        <v>2.2968760000000001</v>
      </c>
      <c r="R27">
        <f>(161222*(1/48000000))*1000</f>
        <v>3.3587916666666668</v>
      </c>
      <c r="S27" s="1">
        <v>9958</v>
      </c>
      <c r="T27" s="1">
        <v>1.3993420000000001</v>
      </c>
      <c r="U27" s="1">
        <f t="shared" si="0"/>
        <v>1.3993420000000001</v>
      </c>
      <c r="V27" s="5">
        <f>(196946*(1/48000000))*1000</f>
        <v>4.1030416666666669</v>
      </c>
      <c r="W27" s="1">
        <v>19786</v>
      </c>
      <c r="X27" s="1">
        <v>-0.60926400000000003</v>
      </c>
      <c r="Y27" s="1">
        <f t="shared" si="1"/>
        <v>0.60926400000000003</v>
      </c>
      <c r="Z27">
        <f>(384572*(1/48000000))*1000</f>
        <v>8.0119166666666679</v>
      </c>
      <c r="AA27">
        <v>29717</v>
      </c>
      <c r="AB27" s="1">
        <v>-0.30521700000000002</v>
      </c>
      <c r="AC27" s="1">
        <f t="shared" si="2"/>
        <v>0.30521700000000002</v>
      </c>
      <c r="AD27">
        <f>(584846*(1/48000000))*1000</f>
        <v>12.184291666666669</v>
      </c>
      <c r="AE27" s="1">
        <v>80506</v>
      </c>
      <c r="AF27" s="1">
        <v>-0.29211900000000002</v>
      </c>
      <c r="AG27" s="1">
        <f t="shared" si="3"/>
        <v>0.29211900000000002</v>
      </c>
      <c r="AH27">
        <f>(1567438*(1/48000000))*1000</f>
        <v>32.65495833333334</v>
      </c>
      <c r="AI27" s="1">
        <v>99668</v>
      </c>
      <c r="AJ27" s="1">
        <v>-1.1015109999999999</v>
      </c>
      <c r="AK27" s="1">
        <f t="shared" si="4"/>
        <v>1.1015109999999999</v>
      </c>
      <c r="AL27" s="1">
        <f>(1934224*(1/48000000))*1000</f>
        <v>40.296333333333337</v>
      </c>
    </row>
    <row r="28" spans="1:38" x14ac:dyDescent="0.2">
      <c r="A28">
        <v>989.3</v>
      </c>
      <c r="B28" s="1">
        <v>40.192635000000003</v>
      </c>
      <c r="C28" s="5">
        <f>((27139*(1/48000000))*1000000)/1000</f>
        <v>0.56539583333333332</v>
      </c>
      <c r="D28">
        <v>1964.5</v>
      </c>
      <c r="E28" s="1">
        <v>12.362231</v>
      </c>
      <c r="F28" s="5">
        <f>((44501*(1/48000000))*1000000)/1000</f>
        <v>0.92710416666666662</v>
      </c>
      <c r="G28" s="1">
        <v>2933</v>
      </c>
      <c r="H28" s="1">
        <v>10.680641</v>
      </c>
      <c r="I28">
        <f>(63889*(1/48000000))*1000</f>
        <v>1.3310208333333333</v>
      </c>
      <c r="K28" s="1">
        <v>2.5888909999999998</v>
      </c>
      <c r="L28">
        <f>(103560*(1/48000000))*1000</f>
        <v>2.1575000000000002</v>
      </c>
      <c r="M28" s="1"/>
      <c r="N28" s="1">
        <v>2.5618780000000001</v>
      </c>
      <c r="O28">
        <f>(126352*(1/48000000))*1000</f>
        <v>2.6323333333333334</v>
      </c>
      <c r="P28" s="1">
        <v>8081</v>
      </c>
      <c r="Q28" s="1">
        <v>0.80874599999999996</v>
      </c>
      <c r="R28">
        <f>(161753*(1/48000000))*1000</f>
        <v>3.3698541666666668</v>
      </c>
      <c r="S28" s="1">
        <v>9958</v>
      </c>
      <c r="T28" s="1">
        <v>1.3918790000000001</v>
      </c>
      <c r="U28" s="1">
        <f t="shared" si="0"/>
        <v>1.3918790000000001</v>
      </c>
      <c r="V28" s="5">
        <f>(197180*(1/48000000))*1000</f>
        <v>4.1079166666666671</v>
      </c>
      <c r="W28" s="1">
        <v>19786</v>
      </c>
      <c r="X28" s="1">
        <v>-2.1143529999999999</v>
      </c>
      <c r="Y28" s="1">
        <f t="shared" si="1"/>
        <v>2.1143529999999999</v>
      </c>
      <c r="Z28">
        <f>(385645*(1/48000000))*1000</f>
        <v>8.0342708333333341</v>
      </c>
      <c r="AA28">
        <v>29717</v>
      </c>
      <c r="AB28" s="1">
        <v>-2.8311799999999998</v>
      </c>
      <c r="AC28" s="1">
        <f t="shared" si="2"/>
        <v>2.8311799999999998</v>
      </c>
      <c r="AD28">
        <f>(573874*(1/48000000))*1000</f>
        <v>11.955708333333334</v>
      </c>
      <c r="AE28" s="1">
        <v>80506</v>
      </c>
      <c r="AF28" s="1">
        <v>-0.96048299999999998</v>
      </c>
      <c r="AG28" s="1">
        <f t="shared" si="3"/>
        <v>0.96048299999999998</v>
      </c>
      <c r="AH28">
        <f>(1565135*(1/48000000))*1000</f>
        <v>32.606979166666669</v>
      </c>
      <c r="AI28" s="1">
        <v>99668</v>
      </c>
      <c r="AJ28" s="1">
        <v>-1.0500100000000001</v>
      </c>
      <c r="AK28" s="1">
        <f t="shared" si="4"/>
        <v>1.0500100000000001</v>
      </c>
      <c r="AL28" s="1">
        <f>(1935168*(1/48000000))*1000</f>
        <v>40.316000000000003</v>
      </c>
    </row>
    <row r="29" spans="1:38" x14ac:dyDescent="0.2">
      <c r="A29">
        <v>989.3</v>
      </c>
      <c r="B29" s="1">
        <v>43.415053</v>
      </c>
      <c r="C29" s="5">
        <f>((26750*(1/48000000))*1000000)/1000</f>
        <v>0.55729166666666663</v>
      </c>
      <c r="D29">
        <v>1964.5</v>
      </c>
      <c r="E29" s="1">
        <v>16.030539000000001</v>
      </c>
      <c r="F29" s="5">
        <f>((44679*(1/48000000))*1000000)/1000</f>
        <v>0.93081250000000015</v>
      </c>
      <c r="G29" s="1">
        <v>2933</v>
      </c>
      <c r="H29" s="1">
        <v>9.2808720000000005</v>
      </c>
      <c r="I29">
        <f>(64172*(1/48000000))*1000</f>
        <v>1.3369166666666668</v>
      </c>
      <c r="K29" s="1">
        <v>3.7382819999999999</v>
      </c>
      <c r="L29">
        <f>(102821*(1/48000000))*1000</f>
        <v>2.1421041666666669</v>
      </c>
      <c r="M29" s="1"/>
      <c r="N29" s="1">
        <v>3.504807</v>
      </c>
      <c r="O29">
        <f>(126033*(1/48000000))*1000</f>
        <v>2.6256875000000002</v>
      </c>
      <c r="P29" s="1">
        <v>8081</v>
      </c>
      <c r="Q29" s="1">
        <v>2.7084649999999999</v>
      </c>
      <c r="R29">
        <f>(161259*(1/48000000))*1000</f>
        <v>3.3595625</v>
      </c>
      <c r="S29" s="1">
        <v>9958</v>
      </c>
      <c r="T29" s="1">
        <v>1.1416139999999999</v>
      </c>
      <c r="U29" s="1">
        <f t="shared" si="0"/>
        <v>1.1416139999999999</v>
      </c>
      <c r="V29" s="5">
        <f>(196873*(1/48000000))*1000</f>
        <v>4.1015208333333337</v>
      </c>
      <c r="W29" s="1">
        <v>19786</v>
      </c>
      <c r="X29" s="1">
        <v>2.5239999999999999E-2</v>
      </c>
      <c r="Y29" s="1">
        <f t="shared" si="1"/>
        <v>2.5239999999999999E-2</v>
      </c>
      <c r="Z29">
        <f>(385875*(1/48000000))*1000</f>
        <v>8.0390625000000018</v>
      </c>
      <c r="AA29">
        <v>29717</v>
      </c>
      <c r="AB29" s="1">
        <v>-1.593013</v>
      </c>
      <c r="AC29" s="1">
        <f t="shared" si="2"/>
        <v>1.593013</v>
      </c>
      <c r="AD29">
        <f>(574311*(1/48000000))*1000</f>
        <v>11.964812500000001</v>
      </c>
      <c r="AE29" s="1">
        <v>80506</v>
      </c>
      <c r="AF29" s="1">
        <v>-0.93113299999999999</v>
      </c>
      <c r="AG29" s="1">
        <f t="shared" si="3"/>
        <v>0.93113299999999999</v>
      </c>
      <c r="AH29">
        <f>(1568078*(1/48000000))*1000</f>
        <v>32.668291666666669</v>
      </c>
      <c r="AI29" s="1">
        <v>99668</v>
      </c>
      <c r="AJ29" s="1">
        <v>-1.832468</v>
      </c>
      <c r="AK29" s="1">
        <f t="shared" si="4"/>
        <v>1.832468</v>
      </c>
      <c r="AL29" s="1">
        <f>(1938576*(1/48000000))*1000</f>
        <v>40.387</v>
      </c>
    </row>
    <row r="30" spans="1:38" x14ac:dyDescent="0.2">
      <c r="A30">
        <v>989.3</v>
      </c>
      <c r="B30" s="1">
        <v>39.394216999999998</v>
      </c>
      <c r="C30" s="5">
        <f>((26016*(1/48000000))*1000000)/1000</f>
        <v>0.54200000000000004</v>
      </c>
      <c r="D30">
        <v>1964.5</v>
      </c>
      <c r="E30" s="1">
        <v>13.963647</v>
      </c>
      <c r="F30" s="5">
        <f>((43981*(1/48000000))*1000000)/1000</f>
        <v>0.91627083333333337</v>
      </c>
      <c r="G30" s="1">
        <v>2933</v>
      </c>
      <c r="H30" s="1">
        <v>10.656613999999999</v>
      </c>
      <c r="I30">
        <f>(64536*(1/48000000))*1000</f>
        <v>1.3445</v>
      </c>
      <c r="K30" s="1">
        <v>4.4139600000000003</v>
      </c>
      <c r="L30">
        <f>(102924*(1/48000000))*1000</f>
        <v>2.1442500000000004</v>
      </c>
      <c r="M30" s="1"/>
      <c r="N30" s="1">
        <v>3.4701469999999999</v>
      </c>
      <c r="O30">
        <f>(127248*(1/48000000))*1000</f>
        <v>2.6510000000000002</v>
      </c>
      <c r="P30" s="1">
        <v>8081</v>
      </c>
      <c r="Q30" s="1">
        <v>1.769541</v>
      </c>
      <c r="R30">
        <f>(163143*(1/48000000))*1000</f>
        <v>3.3988125000000005</v>
      </c>
      <c r="S30" s="1">
        <v>9958</v>
      </c>
      <c r="T30" s="1">
        <v>1.8052980000000001</v>
      </c>
      <c r="U30" s="1">
        <f t="shared" si="0"/>
        <v>1.8052980000000001</v>
      </c>
      <c r="V30" s="5">
        <f>(197358*(1/48000000))*1000</f>
        <v>4.1116250000000001</v>
      </c>
      <c r="W30" s="1">
        <v>19786</v>
      </c>
      <c r="X30" s="1">
        <v>-1.1634059999999999</v>
      </c>
      <c r="Y30" s="1">
        <f t="shared" si="1"/>
        <v>1.1634059999999999</v>
      </c>
      <c r="Z30">
        <f>(385528*(1/48000000))*1000</f>
        <v>8.0318333333333332</v>
      </c>
      <c r="AA30">
        <v>29717</v>
      </c>
      <c r="AB30" s="1">
        <v>-2.3095759999999999</v>
      </c>
      <c r="AC30" s="1">
        <f t="shared" si="2"/>
        <v>2.3095759999999999</v>
      </c>
      <c r="AD30">
        <f>(574266*(1/48000000))*1000</f>
        <v>11.963875</v>
      </c>
      <c r="AE30" s="1">
        <v>80506</v>
      </c>
      <c r="AF30" s="1">
        <v>-1.398919</v>
      </c>
      <c r="AG30" s="1">
        <f t="shared" si="3"/>
        <v>1.398919</v>
      </c>
      <c r="AH30">
        <f>(1556722*(1/48000000))*1000</f>
        <v>32.43170833333334</v>
      </c>
      <c r="AI30" s="1">
        <v>99668</v>
      </c>
      <c r="AJ30" s="1">
        <v>-0.94902500000000001</v>
      </c>
      <c r="AK30" s="1">
        <f t="shared" si="4"/>
        <v>0.94902500000000001</v>
      </c>
      <c r="AL30" s="1">
        <f>(1933652*(1/48000000))*1000</f>
        <v>40.284416666666672</v>
      </c>
    </row>
    <row r="31" spans="1:38" x14ac:dyDescent="0.2">
      <c r="A31">
        <v>989.3</v>
      </c>
      <c r="B31" s="1">
        <v>34.045985999999999</v>
      </c>
      <c r="C31" s="5">
        <f>((26765*(1/48000000))*1000000)/1000</f>
        <v>0.55760416666666679</v>
      </c>
      <c r="D31">
        <v>1964.5</v>
      </c>
      <c r="E31" s="1">
        <v>16.174206999999999</v>
      </c>
      <c r="F31" s="5">
        <f>((45265*(1/48000000))*1000000)/1000</f>
        <v>0.94302083333333342</v>
      </c>
      <c r="G31" s="1">
        <v>2933</v>
      </c>
      <c r="H31" s="1">
        <v>11.382974000000001</v>
      </c>
      <c r="I31">
        <f>(64348*(1/48000000))*1000</f>
        <v>1.3405833333333335</v>
      </c>
      <c r="K31" s="1">
        <v>4.0427809999999997</v>
      </c>
      <c r="L31">
        <f>(102376*(1/48000000))*1000</f>
        <v>2.1328333333333336</v>
      </c>
      <c r="M31" s="1"/>
      <c r="N31" s="1">
        <v>2.9260130000000002</v>
      </c>
      <c r="O31">
        <f>(126127*(1/48000000))*1000</f>
        <v>2.6276458333333332</v>
      </c>
      <c r="P31" s="1">
        <v>8081</v>
      </c>
      <c r="Q31" s="1">
        <v>1.5593490000000001</v>
      </c>
      <c r="R31">
        <f>(162127*(1/48000000))*1000</f>
        <v>3.3776458333333337</v>
      </c>
      <c r="S31" s="1">
        <v>9958</v>
      </c>
      <c r="T31" s="1">
        <v>-6.4549999999999996E-2</v>
      </c>
      <c r="U31" s="1">
        <f t="shared" si="0"/>
        <v>6.4549999999999996E-2</v>
      </c>
      <c r="V31" s="5">
        <f>(196274*(1/48000000))*1000</f>
        <v>4.0890416666666667</v>
      </c>
      <c r="W31" s="1">
        <v>19786</v>
      </c>
      <c r="X31" s="1">
        <v>-1.60626</v>
      </c>
      <c r="Y31" s="1">
        <f t="shared" si="1"/>
        <v>1.60626</v>
      </c>
      <c r="Z31">
        <f>(384576*(1/48000000))*1000</f>
        <v>8.0120000000000005</v>
      </c>
      <c r="AA31">
        <v>29717</v>
      </c>
      <c r="AB31" s="1">
        <v>-1.6556630000000001</v>
      </c>
      <c r="AC31" s="1">
        <f t="shared" si="2"/>
        <v>1.6556630000000001</v>
      </c>
      <c r="AD31">
        <f>(580057*(1/48000000))*1000</f>
        <v>12.084520833333334</v>
      </c>
      <c r="AE31" s="1">
        <v>80506</v>
      </c>
      <c r="AF31" s="1">
        <v>-1.156847</v>
      </c>
      <c r="AG31" s="1">
        <f t="shared" si="3"/>
        <v>1.156847</v>
      </c>
      <c r="AH31">
        <f>(1562052*(1/48000000))*1000</f>
        <v>32.542750000000005</v>
      </c>
      <c r="AI31" s="1">
        <v>99668</v>
      </c>
      <c r="AJ31" s="1">
        <v>-1.0497050000000001</v>
      </c>
      <c r="AK31" s="1">
        <f t="shared" si="4"/>
        <v>1.0497050000000001</v>
      </c>
      <c r="AL31" s="1">
        <f>(1934144*(1/48000000))*1000</f>
        <v>40.294666666666664</v>
      </c>
    </row>
    <row r="32" spans="1:38" x14ac:dyDescent="0.2">
      <c r="A32">
        <v>989.3</v>
      </c>
      <c r="B32" s="1">
        <v>36.248401000000001</v>
      </c>
      <c r="C32" s="5">
        <f>((26156*(1/48000000))*1000000)/1000</f>
        <v>0.54491666666666672</v>
      </c>
      <c r="D32">
        <v>1964.5</v>
      </c>
      <c r="E32" s="1">
        <v>15.472517</v>
      </c>
      <c r="F32" s="5">
        <f>((45631*(1/48000000))*1000000)/1000</f>
        <v>0.95064583333333341</v>
      </c>
      <c r="G32" s="1">
        <v>2933</v>
      </c>
      <c r="H32" s="1">
        <v>11.818965</v>
      </c>
      <c r="I32">
        <f>(65506*(1/48000000))*1000</f>
        <v>1.3647083333333334</v>
      </c>
      <c r="K32" s="1">
        <v>3.2957550000000002</v>
      </c>
      <c r="L32">
        <f>(103038*(1/48000000))*1000</f>
        <v>2.1466250000000002</v>
      </c>
      <c r="M32" s="1"/>
      <c r="N32" s="1">
        <v>3.2307380000000001</v>
      </c>
      <c r="O32">
        <f>(126619*(1/48000000))*1000</f>
        <v>2.6378958333333338</v>
      </c>
      <c r="P32" s="1">
        <v>8081</v>
      </c>
      <c r="Q32" s="1">
        <v>2.0010590000000001</v>
      </c>
      <c r="R32">
        <f>(161047*(1/48000000))*1000</f>
        <v>3.3551458333333337</v>
      </c>
      <c r="S32" s="1">
        <v>9958</v>
      </c>
      <c r="T32" s="1">
        <v>1.7667379999999999</v>
      </c>
      <c r="U32" s="1">
        <f t="shared" si="0"/>
        <v>1.7667379999999999</v>
      </c>
      <c r="V32" s="5">
        <f>(195841*(1/48000000))*1000</f>
        <v>4.0800208333333341</v>
      </c>
      <c r="W32" s="1">
        <v>19786</v>
      </c>
      <c r="X32" s="1">
        <v>-0.67227999999999999</v>
      </c>
      <c r="Y32" s="1">
        <f t="shared" si="1"/>
        <v>0.67227999999999999</v>
      </c>
      <c r="Z32">
        <f>(385547*(1/48000000))*1000</f>
        <v>8.0322291666666672</v>
      </c>
      <c r="AA32">
        <v>29717</v>
      </c>
      <c r="AB32" s="1">
        <v>-1.0907899999999999</v>
      </c>
      <c r="AC32" s="1">
        <f t="shared" si="2"/>
        <v>1.0907899999999999</v>
      </c>
      <c r="AD32">
        <f>(580609*(1/48000000))*1000</f>
        <v>12.096020833333334</v>
      </c>
      <c r="AE32" s="1">
        <v>80506</v>
      </c>
      <c r="AF32" s="1">
        <v>-1.5743640000000001</v>
      </c>
      <c r="AG32" s="1">
        <f t="shared" si="3"/>
        <v>1.5743640000000001</v>
      </c>
      <c r="AH32">
        <f>(1561878*(1/48000000))*1000</f>
        <v>32.539124999999999</v>
      </c>
      <c r="AI32" s="1">
        <v>99668</v>
      </c>
      <c r="AJ32" s="1">
        <v>-1.1939010000000001</v>
      </c>
      <c r="AK32" s="1">
        <f t="shared" si="4"/>
        <v>1.1939010000000001</v>
      </c>
      <c r="AL32" s="1">
        <f>(1938068*(1/48000000))*1000</f>
        <v>40.376416666666671</v>
      </c>
    </row>
    <row r="33" spans="1:38" x14ac:dyDescent="0.2">
      <c r="A33">
        <v>989.3</v>
      </c>
      <c r="B33" s="1">
        <v>42.027433000000002</v>
      </c>
      <c r="C33" s="5">
        <f>((27035*(1/48000000))*1000000)/1000</f>
        <v>0.56322916666666678</v>
      </c>
      <c r="D33">
        <v>1964.5</v>
      </c>
      <c r="E33" s="1">
        <v>15.995305999999999</v>
      </c>
      <c r="F33" s="5">
        <f>((44609*(1/48000000))*1000000)/1000</f>
        <v>0.9293541666666667</v>
      </c>
      <c r="G33" s="1">
        <v>2933</v>
      </c>
      <c r="H33" s="1">
        <v>11.023853000000001</v>
      </c>
      <c r="I33">
        <f>(64030*(1/48000000))*1000</f>
        <v>1.3339583333333336</v>
      </c>
      <c r="K33" s="1">
        <v>3.5978829999999999</v>
      </c>
      <c r="L33">
        <f>(104051*(1/48000000))*1000</f>
        <v>2.1677291666666667</v>
      </c>
      <c r="M33" s="1"/>
      <c r="N33" s="1">
        <v>3.4805009999999998</v>
      </c>
      <c r="O33">
        <f>(126834*(1/48000000))*1000</f>
        <v>2.6423750000000004</v>
      </c>
      <c r="P33" s="1">
        <v>8081</v>
      </c>
      <c r="Q33" s="1">
        <v>2.527301</v>
      </c>
      <c r="R33">
        <f>(160260*(1/48000000))*1000</f>
        <v>3.3387500000000001</v>
      </c>
      <c r="S33" s="1">
        <v>9958</v>
      </c>
      <c r="T33" s="1">
        <v>1.3271660000000001</v>
      </c>
      <c r="U33" s="1">
        <f t="shared" si="0"/>
        <v>1.3271660000000001</v>
      </c>
      <c r="V33" s="5">
        <f>(197259*(1/48000000))*1000</f>
        <v>4.1095625</v>
      </c>
      <c r="W33" s="1">
        <v>19786</v>
      </c>
      <c r="X33" s="1">
        <v>-0.24990100000000001</v>
      </c>
      <c r="Y33" s="1">
        <f t="shared" si="1"/>
        <v>0.24990100000000001</v>
      </c>
      <c r="Z33">
        <f>(384965*(1/48000000))*1000</f>
        <v>8.0201041666666661</v>
      </c>
      <c r="AA33">
        <v>29717</v>
      </c>
      <c r="AB33" s="1">
        <v>-1.0101</v>
      </c>
      <c r="AC33" s="1">
        <f t="shared" si="2"/>
        <v>1.0101</v>
      </c>
      <c r="AD33">
        <f>(576581*(1/48000000))*1000</f>
        <v>12.012104166666667</v>
      </c>
      <c r="AE33" s="1">
        <v>80506</v>
      </c>
      <c r="AF33" s="1">
        <v>-1.9294929999999999</v>
      </c>
      <c r="AG33" s="1">
        <f t="shared" si="3"/>
        <v>1.9294929999999999</v>
      </c>
      <c r="AH33">
        <f>(1566732*(1/48000000))*1000</f>
        <v>32.640250000000002</v>
      </c>
      <c r="AI33" s="1">
        <v>99668</v>
      </c>
      <c r="AJ33" s="1">
        <v>-1.1619299999999999</v>
      </c>
      <c r="AK33" s="1">
        <f t="shared" si="4"/>
        <v>1.1619299999999999</v>
      </c>
      <c r="AL33" s="1">
        <f>(1936533*(1/48000000))*1000</f>
        <v>40.344437500000005</v>
      </c>
    </row>
    <row r="34" spans="1:38" x14ac:dyDescent="0.2">
      <c r="A34">
        <v>989.3</v>
      </c>
      <c r="B34" s="1">
        <v>36.357497000000002</v>
      </c>
      <c r="C34" s="5">
        <f>((27248*(1/48000000))*1000000)/1000</f>
        <v>0.56766666666666676</v>
      </c>
      <c r="D34">
        <v>1964.5</v>
      </c>
      <c r="E34" s="1">
        <v>14.447368000000001</v>
      </c>
      <c r="F34" s="5">
        <f>((45246*(1/48000000))*1000000)/1000</f>
        <v>0.94262500000000016</v>
      </c>
      <c r="G34" s="1">
        <v>2933</v>
      </c>
      <c r="H34" s="1">
        <v>8.8647539999999996</v>
      </c>
      <c r="I34">
        <f>(65230*(1/48000000))*1000</f>
        <v>1.3589583333333333</v>
      </c>
      <c r="K34" s="1">
        <v>4.7034950000000002</v>
      </c>
      <c r="L34">
        <f>(103517*(1/48000000))*1000</f>
        <v>2.1566041666666669</v>
      </c>
      <c r="M34" s="1"/>
      <c r="N34" s="1">
        <v>3.0337269999999998</v>
      </c>
      <c r="O34">
        <f>(127173*(1/48000000))*1000</f>
        <v>2.6494375000000003</v>
      </c>
      <c r="P34" s="1">
        <v>8081</v>
      </c>
      <c r="Q34" s="1">
        <v>1.189613</v>
      </c>
      <c r="R34">
        <f>(161432*(1/48000000))*1000</f>
        <v>3.3631666666666673</v>
      </c>
      <c r="S34" s="1">
        <v>9958</v>
      </c>
      <c r="T34" s="1">
        <v>0.29865000000000003</v>
      </c>
      <c r="U34" s="1">
        <f t="shared" si="0"/>
        <v>0.29865000000000003</v>
      </c>
      <c r="V34" s="5">
        <f>(196645*(1/48000000))*1000</f>
        <v>4.0967708333333333</v>
      </c>
      <c r="W34" s="1">
        <v>19786</v>
      </c>
      <c r="X34" s="1">
        <v>-1.577555</v>
      </c>
      <c r="Y34" s="1">
        <f t="shared" si="1"/>
        <v>1.577555</v>
      </c>
      <c r="Z34">
        <f>(384060*(1/48000000))*1000</f>
        <v>8.0012499999999989</v>
      </c>
      <c r="AA34">
        <v>29717</v>
      </c>
      <c r="AB34" s="1">
        <v>-1.4911639999999999</v>
      </c>
      <c r="AC34" s="1">
        <f t="shared" si="2"/>
        <v>1.4911639999999999</v>
      </c>
      <c r="AD34">
        <f>(576306*(1/48000000))*1000</f>
        <v>12.006375000000002</v>
      </c>
      <c r="AE34" s="1">
        <v>80506</v>
      </c>
      <c r="AF34" s="1">
        <v>-1.0193080000000001</v>
      </c>
      <c r="AG34" s="1">
        <f t="shared" si="3"/>
        <v>1.0193080000000001</v>
      </c>
      <c r="AH34">
        <f>(1566047*(1/48000000))*1000</f>
        <v>32.625979166666667</v>
      </c>
      <c r="AI34" s="1">
        <v>99668</v>
      </c>
      <c r="AJ34" s="1">
        <v>-1.203997</v>
      </c>
      <c r="AK34" s="1">
        <f t="shared" si="4"/>
        <v>1.203997</v>
      </c>
      <c r="AL34" s="1">
        <f>(1925960*(1/48000000))*1000</f>
        <v>40.124166666666667</v>
      </c>
    </row>
    <row r="35" spans="1:38" x14ac:dyDescent="0.2">
      <c r="A35">
        <v>989.3</v>
      </c>
      <c r="B35" s="1">
        <v>37.850895999999999</v>
      </c>
      <c r="C35" s="5">
        <f>((25981*(1/48000000))*1000000)/1000</f>
        <v>0.54127083333333337</v>
      </c>
      <c r="D35">
        <v>1964.5</v>
      </c>
      <c r="E35" s="1">
        <v>14.641356</v>
      </c>
      <c r="F35" s="5">
        <f>((43858*(1/48000000))*1000000)/1000</f>
        <v>0.91370833333333346</v>
      </c>
      <c r="G35" s="1">
        <v>2933</v>
      </c>
      <c r="H35" s="1">
        <v>10.894586</v>
      </c>
      <c r="I35">
        <f>(65609*(1/48000000))*1000</f>
        <v>1.3668541666666669</v>
      </c>
      <c r="K35" s="1">
        <v>2.749126</v>
      </c>
      <c r="L35">
        <f>(103165*(1/48000000))*1000</f>
        <v>2.1492708333333335</v>
      </c>
      <c r="M35" s="1"/>
      <c r="N35" s="1">
        <v>2.8476210000000002</v>
      </c>
      <c r="O35">
        <f>(126347*(1/48000000))*1000</f>
        <v>2.6322291666666668</v>
      </c>
      <c r="P35" s="1">
        <v>8081</v>
      </c>
      <c r="Q35" s="1">
        <v>1.310913</v>
      </c>
      <c r="R35">
        <f>(160814*(1/48000000))*1000</f>
        <v>3.3502916666666667</v>
      </c>
      <c r="S35" s="1">
        <v>9958</v>
      </c>
      <c r="T35" s="1">
        <v>1.7601309999999999</v>
      </c>
      <c r="U35" s="1">
        <f t="shared" si="0"/>
        <v>1.7601309999999999</v>
      </c>
      <c r="V35" s="5">
        <f>(197762*(1/48000000))*1000</f>
        <v>4.1200416666666664</v>
      </c>
      <c r="W35" s="1">
        <v>19786</v>
      </c>
      <c r="X35" s="1">
        <v>-1.6030610000000001</v>
      </c>
      <c r="Y35" s="1">
        <f t="shared" si="1"/>
        <v>1.6030610000000001</v>
      </c>
      <c r="Z35">
        <f>(383539*(1/48000000))*1000</f>
        <v>7.9903958333333334</v>
      </c>
      <c r="AA35">
        <v>29717</v>
      </c>
      <c r="AB35" s="1">
        <v>-0.57780299999999996</v>
      </c>
      <c r="AC35" s="1">
        <f t="shared" si="2"/>
        <v>0.57780299999999996</v>
      </c>
      <c r="AD35">
        <f>(575059*(1/48000000))*1000</f>
        <v>11.980395833333334</v>
      </c>
      <c r="AE35" s="1">
        <v>80506</v>
      </c>
      <c r="AF35" s="1">
        <v>-0.81501199999999996</v>
      </c>
      <c r="AG35" s="1">
        <f t="shared" si="3"/>
        <v>0.81501199999999996</v>
      </c>
      <c r="AH35">
        <f>(1563863*(1/48000000))*1000</f>
        <v>32.58047916666667</v>
      </c>
      <c r="AI35" s="1">
        <v>99668</v>
      </c>
      <c r="AJ35" s="1">
        <v>-1.8276669999999999</v>
      </c>
      <c r="AK35" s="1">
        <f t="shared" si="4"/>
        <v>1.8276669999999999</v>
      </c>
      <c r="AL35" s="1">
        <f>(1931477*(1/48000000))*1000</f>
        <v>40.239104166666671</v>
      </c>
    </row>
    <row r="36" spans="1:38" x14ac:dyDescent="0.2">
      <c r="A36">
        <v>989.3</v>
      </c>
      <c r="B36" s="1">
        <v>39.600315999999999</v>
      </c>
      <c r="C36" s="5">
        <f>((26110*(1/48000000))*1000000)/1000</f>
        <v>0.54395833333333332</v>
      </c>
      <c r="D36">
        <v>1964.5</v>
      </c>
      <c r="E36" s="1">
        <v>14.639340000000001</v>
      </c>
      <c r="F36" s="5">
        <f>((44943*(1/48000000))*1000000)/1000</f>
        <v>0.9363125000000001</v>
      </c>
      <c r="G36" s="1">
        <v>2933</v>
      </c>
      <c r="H36" s="1">
        <v>10.593781</v>
      </c>
      <c r="I36">
        <f>(64642*(1/48000000))*1000</f>
        <v>1.3467083333333334</v>
      </c>
      <c r="K36" s="1">
        <v>2.673114</v>
      </c>
      <c r="L36">
        <f>(103376*(1/48000000))*1000</f>
        <v>2.1536666666666671</v>
      </c>
      <c r="M36" s="1"/>
      <c r="N36" s="1">
        <v>3.0503269999999998</v>
      </c>
      <c r="O36">
        <f>(126128*(1/48000000))*1000</f>
        <v>2.6276666666666673</v>
      </c>
      <c r="P36" s="1">
        <v>8081</v>
      </c>
      <c r="Q36" s="1">
        <v>3.0289540000000001</v>
      </c>
      <c r="R36">
        <f>(161791*(1/48000000))*1000</f>
        <v>3.3706458333333336</v>
      </c>
      <c r="S36" s="1">
        <v>9958</v>
      </c>
      <c r="T36" s="1">
        <v>0.49567</v>
      </c>
      <c r="U36" s="1">
        <f t="shared" si="0"/>
        <v>0.49567</v>
      </c>
      <c r="V36" s="5">
        <f>(196961*(1/48000000))*1000</f>
        <v>4.1033541666666666</v>
      </c>
      <c r="W36" s="1">
        <v>19786</v>
      </c>
      <c r="X36" s="1">
        <v>-0.46237099999999998</v>
      </c>
      <c r="Y36" s="1">
        <f t="shared" si="1"/>
        <v>0.46237099999999998</v>
      </c>
      <c r="Z36">
        <f>(389014*(1/48000000))*1000</f>
        <v>8.1044583333333335</v>
      </c>
      <c r="AA36">
        <v>29717</v>
      </c>
      <c r="AB36" s="1">
        <v>-1.046441</v>
      </c>
      <c r="AC36" s="1">
        <f t="shared" si="2"/>
        <v>1.046441</v>
      </c>
      <c r="AD36">
        <f>(582776*(1/48000000))*1000</f>
        <v>12.141166666666669</v>
      </c>
      <c r="AE36" s="1">
        <v>80506</v>
      </c>
      <c r="AF36" s="1">
        <v>-1.873259</v>
      </c>
      <c r="AG36" s="1">
        <f t="shared" si="3"/>
        <v>1.873259</v>
      </c>
      <c r="AH36">
        <f>(1563572*(1/48000000))*1000</f>
        <v>32.574416666666671</v>
      </c>
      <c r="AI36" s="1">
        <v>99668</v>
      </c>
      <c r="AJ36" s="1">
        <v>-1.8272139999999999</v>
      </c>
      <c r="AK36" s="1">
        <f t="shared" si="4"/>
        <v>1.8272139999999999</v>
      </c>
      <c r="AL36" s="1">
        <f>(1935358*(1/48000000))*1000</f>
        <v>40.319958333333339</v>
      </c>
    </row>
    <row r="37" spans="1:38" x14ac:dyDescent="0.2">
      <c r="A37">
        <v>989.3</v>
      </c>
      <c r="B37" s="1">
        <v>43.574382999999997</v>
      </c>
      <c r="C37" s="5">
        <f>((26727*(1/48000000))*1000000)/1000</f>
        <v>0.55681250000000004</v>
      </c>
      <c r="D37">
        <v>1964.5</v>
      </c>
      <c r="E37" s="1">
        <v>14.737577</v>
      </c>
      <c r="F37" s="5">
        <f>((43621*(1/48000000))*1000000)/1000</f>
        <v>0.90877083333333342</v>
      </c>
      <c r="G37" s="1">
        <v>2933</v>
      </c>
      <c r="H37" s="1">
        <v>8.6609940000000005</v>
      </c>
      <c r="I37">
        <f>(65172*(1/48000000))*1000</f>
        <v>1.35775</v>
      </c>
      <c r="K37" s="1">
        <v>2.7654390000000002</v>
      </c>
      <c r="L37">
        <f>(103779*(1/48000000))*1000</f>
        <v>2.1620624999999998</v>
      </c>
      <c r="M37" s="1"/>
      <c r="N37" s="1">
        <v>2.7105579999999998</v>
      </c>
      <c r="O37">
        <f>(127457*(1/48000000))*1000</f>
        <v>2.6553541666666671</v>
      </c>
      <c r="P37" s="1">
        <v>8081</v>
      </c>
      <c r="Q37" s="1">
        <v>2.5545010000000001</v>
      </c>
      <c r="R37">
        <f>(160465*(1/48000000))*1000</f>
        <v>3.3430208333333336</v>
      </c>
      <c r="S37" s="1">
        <v>9958</v>
      </c>
      <c r="T37" s="1">
        <v>0.414302</v>
      </c>
      <c r="U37" s="1">
        <f t="shared" si="0"/>
        <v>0.414302</v>
      </c>
      <c r="V37" s="5">
        <f>(197832*(1/48000000))*1000</f>
        <v>4.1215000000000002</v>
      </c>
      <c r="W37" s="1">
        <v>19786</v>
      </c>
      <c r="X37" s="1">
        <v>-0.54243699999999995</v>
      </c>
      <c r="Y37" s="1">
        <f t="shared" si="1"/>
        <v>0.54243699999999995</v>
      </c>
      <c r="Z37">
        <f>(386579*(1/48000000))*1000</f>
        <v>8.0537291666666668</v>
      </c>
      <c r="AA37">
        <v>29717</v>
      </c>
      <c r="AB37" s="1">
        <v>-1.615394</v>
      </c>
      <c r="AC37" s="1">
        <f t="shared" si="2"/>
        <v>1.615394</v>
      </c>
      <c r="AD37">
        <f>(576863*(1/48000000))*1000</f>
        <v>12.017979166666668</v>
      </c>
      <c r="AE37" s="1">
        <v>80506</v>
      </c>
      <c r="AF37" s="1">
        <v>-0.87161999999999995</v>
      </c>
      <c r="AG37" s="1">
        <f t="shared" si="3"/>
        <v>0.87161999999999995</v>
      </c>
      <c r="AH37">
        <f>(1564870*(1/48000000))*1000</f>
        <v>32.601458333333333</v>
      </c>
      <c r="AI37" s="1">
        <v>99668</v>
      </c>
      <c r="AJ37" s="1">
        <v>-1.4617929999999999</v>
      </c>
      <c r="AK37" s="1">
        <f t="shared" si="4"/>
        <v>1.4617929999999999</v>
      </c>
      <c r="AL37" s="1">
        <f>(1935036*(1/48000000))*1000</f>
        <v>40.313250000000004</v>
      </c>
    </row>
    <row r="38" spans="1:38" x14ac:dyDescent="0.2">
      <c r="A38">
        <v>989.3</v>
      </c>
      <c r="B38" s="1">
        <v>36.561062</v>
      </c>
      <c r="C38" s="5">
        <f>((26723*(1/48000000))*1000000)/1000</f>
        <v>0.55672916666666672</v>
      </c>
      <c r="D38">
        <v>1964.5</v>
      </c>
      <c r="E38" s="1">
        <v>14.229946999999999</v>
      </c>
      <c r="F38" s="5">
        <f>((44115*(1/48000000))*1000000)/1000</f>
        <v>0.91906250000000012</v>
      </c>
      <c r="G38" s="1">
        <v>2933</v>
      </c>
      <c r="H38" s="1">
        <v>11.63725</v>
      </c>
      <c r="I38">
        <f>(64137*(1/48000000))*1000</f>
        <v>1.3361875000000001</v>
      </c>
      <c r="K38" s="1">
        <v>3.2752460000000001</v>
      </c>
      <c r="L38">
        <f>(102571*(1/48000000))*1000</f>
        <v>2.1368958333333334</v>
      </c>
      <c r="M38" s="1"/>
      <c r="N38" s="1">
        <v>2.2731650000000001</v>
      </c>
      <c r="O38">
        <f>(127777*(1/48000000))*1000</f>
        <v>2.6620208333333335</v>
      </c>
      <c r="P38" s="1">
        <v>8081</v>
      </c>
      <c r="Q38" s="1">
        <v>0.51229000000000002</v>
      </c>
      <c r="R38">
        <f>(162252*(1/48000000))*1000</f>
        <v>3.3802500000000002</v>
      </c>
      <c r="S38" s="1">
        <v>9958</v>
      </c>
      <c r="T38" s="1">
        <v>0.65798400000000001</v>
      </c>
      <c r="U38" s="1">
        <f t="shared" si="0"/>
        <v>0.65798400000000001</v>
      </c>
      <c r="V38" s="5">
        <f>(199345*(1/48000000))*1000</f>
        <v>4.1530208333333336</v>
      </c>
      <c r="W38" s="1">
        <v>19786</v>
      </c>
      <c r="X38" s="1">
        <v>-0.68846300000000005</v>
      </c>
      <c r="Y38" s="1">
        <f t="shared" si="1"/>
        <v>0.68846300000000005</v>
      </c>
      <c r="Z38">
        <f>(385821*(1/48000000))*1000</f>
        <v>8.0379375</v>
      </c>
      <c r="AA38">
        <v>29717</v>
      </c>
      <c r="AB38" s="1">
        <v>-1.8265290000000001</v>
      </c>
      <c r="AC38" s="1">
        <f t="shared" si="2"/>
        <v>1.8265290000000001</v>
      </c>
      <c r="AD38">
        <f>(575337*(1/48000000))*1000</f>
        <v>11.9861875</v>
      </c>
      <c r="AE38" s="1">
        <v>80506</v>
      </c>
      <c r="AF38" s="1">
        <v>-1.510861</v>
      </c>
      <c r="AG38" s="1">
        <f t="shared" si="3"/>
        <v>1.510861</v>
      </c>
      <c r="AH38">
        <f>(1566512*(1/48000000))*1000</f>
        <v>32.635666666666665</v>
      </c>
      <c r="AI38" s="1">
        <v>99668</v>
      </c>
      <c r="AJ38" s="1">
        <v>-0.71264799999999995</v>
      </c>
      <c r="AK38" s="1">
        <f t="shared" si="4"/>
        <v>0.71264799999999995</v>
      </c>
      <c r="AL38" s="1">
        <f>(1934275*(1/48000000))*1000</f>
        <v>40.297395833333333</v>
      </c>
    </row>
    <row r="39" spans="1:38" x14ac:dyDescent="0.2">
      <c r="A39">
        <v>989.3</v>
      </c>
      <c r="B39" s="1">
        <v>38.589255000000001</v>
      </c>
      <c r="C39" s="5">
        <f>((26150*(1/48000000))*1000000)/1000</f>
        <v>0.54479166666666679</v>
      </c>
      <c r="D39">
        <v>1964.5</v>
      </c>
      <c r="E39" s="1">
        <v>15.955648999999999</v>
      </c>
      <c r="F39" s="5">
        <f>((44706*(1/48000000))*1000000)/1000</f>
        <v>0.93137499999999995</v>
      </c>
      <c r="G39" s="1">
        <v>2933</v>
      </c>
      <c r="H39" s="1">
        <v>10.695944000000001</v>
      </c>
      <c r="I39">
        <f>(65230*(1/48000000))*1000</f>
        <v>1.3589583333333333</v>
      </c>
      <c r="K39" s="1">
        <v>4.8110780000000002</v>
      </c>
      <c r="L39">
        <f>(103369*(1/48000000))*1000</f>
        <v>2.1535208333333338</v>
      </c>
      <c r="M39" s="1"/>
      <c r="N39" s="1">
        <v>3.3211780000000002</v>
      </c>
      <c r="O39">
        <f>(126173*(1/48000000))*1000</f>
        <v>2.6286041666666669</v>
      </c>
      <c r="P39" s="1">
        <v>8081</v>
      </c>
      <c r="Q39" s="1">
        <v>1.275836</v>
      </c>
      <c r="R39">
        <f>(163950*(1/48000000))*1000</f>
        <v>3.4156250000000004</v>
      </c>
      <c r="S39" s="1">
        <v>9958</v>
      </c>
      <c r="T39" s="1">
        <v>1.1235409999999999</v>
      </c>
      <c r="U39" s="1">
        <f t="shared" si="0"/>
        <v>1.1235409999999999</v>
      </c>
      <c r="V39" s="5">
        <f>(198836*(1/48000000))*1000</f>
        <v>4.1424166666666666</v>
      </c>
      <c r="W39" s="1">
        <v>19786</v>
      </c>
      <c r="X39" s="1">
        <v>-1.2086699999999999</v>
      </c>
      <c r="Y39" s="1">
        <f t="shared" si="1"/>
        <v>1.2086699999999999</v>
      </c>
      <c r="Z39">
        <f>(384528*(1/48000000))*1000</f>
        <v>8.011000000000001</v>
      </c>
      <c r="AA39">
        <v>29717</v>
      </c>
      <c r="AB39" s="1">
        <v>-1.0108470000000001</v>
      </c>
      <c r="AC39" s="1">
        <f t="shared" si="2"/>
        <v>1.0108470000000001</v>
      </c>
      <c r="AD39">
        <f>(580713*(1/48000000))*1000</f>
        <v>12.098187500000002</v>
      </c>
      <c r="AE39" s="1">
        <v>80506</v>
      </c>
      <c r="AF39" s="1">
        <v>-0.49135899999999999</v>
      </c>
      <c r="AG39" s="1">
        <f t="shared" si="3"/>
        <v>0.49135899999999999</v>
      </c>
      <c r="AH39">
        <f>(1567288*(1/48000000))*1000</f>
        <v>32.651833333333336</v>
      </c>
      <c r="AI39" s="1">
        <v>99668</v>
      </c>
      <c r="AJ39" s="1">
        <v>-1.828687</v>
      </c>
      <c r="AK39" s="1">
        <f t="shared" si="4"/>
        <v>1.828687</v>
      </c>
      <c r="AL39" s="1">
        <f>(1931277*(1/48000000))*1000</f>
        <v>40.234937500000008</v>
      </c>
    </row>
    <row r="40" spans="1:38" x14ac:dyDescent="0.2">
      <c r="A40">
        <v>989.3</v>
      </c>
      <c r="B40" s="1">
        <v>38.12482</v>
      </c>
      <c r="C40" s="5">
        <f>((27193*(1/48000000))*1000000)/1000</f>
        <v>0.56652083333333336</v>
      </c>
      <c r="D40">
        <v>1964.5</v>
      </c>
      <c r="E40" s="1">
        <v>14.072400999999999</v>
      </c>
      <c r="F40" s="5">
        <f>((44224*(1/48000000))*1000000)/1000</f>
        <v>0.92133333333333334</v>
      </c>
      <c r="G40" s="1">
        <v>2933</v>
      </c>
      <c r="H40" s="1">
        <v>10.531469</v>
      </c>
      <c r="I40">
        <f>(63289*(1/48000000))*1000</f>
        <v>1.3185208333333334</v>
      </c>
      <c r="K40" s="1">
        <v>2.3636430000000002</v>
      </c>
      <c r="L40">
        <f>(103555*(1/48000000))*1000</f>
        <v>2.1573958333333336</v>
      </c>
      <c r="M40" s="1"/>
      <c r="N40" s="1">
        <v>1.836711</v>
      </c>
      <c r="O40">
        <f>(126363*(1/48000000))*1000</f>
        <v>2.6325625000000001</v>
      </c>
      <c r="P40" s="1">
        <v>8081</v>
      </c>
      <c r="Q40" s="1">
        <v>1.856549</v>
      </c>
      <c r="R40">
        <f>(162259*(1/48000000))*1000</f>
        <v>3.3803958333333335</v>
      </c>
      <c r="S40" s="1">
        <v>9958</v>
      </c>
      <c r="T40" s="1">
        <v>0.46453699999999998</v>
      </c>
      <c r="U40" s="1">
        <f t="shared" si="0"/>
        <v>0.46453699999999998</v>
      </c>
      <c r="V40" s="5">
        <f>(197315*(1/48000000))*1000</f>
        <v>4.1107291666666672</v>
      </c>
      <c r="W40" s="1">
        <v>19786</v>
      </c>
      <c r="X40" s="1">
        <v>-0.36755399999999999</v>
      </c>
      <c r="Y40" s="1">
        <f t="shared" si="1"/>
        <v>0.36755399999999999</v>
      </c>
      <c r="Z40">
        <f>(383516*(1/48000000))*1000</f>
        <v>7.9899166666666677</v>
      </c>
      <c r="AA40">
        <v>29717</v>
      </c>
      <c r="AB40" s="1">
        <v>-1.777844</v>
      </c>
      <c r="AC40" s="1">
        <f t="shared" si="2"/>
        <v>1.777844</v>
      </c>
      <c r="AD40">
        <f>(574928*(1/48000000))*1000</f>
        <v>11.977666666666668</v>
      </c>
      <c r="AE40" s="1">
        <v>80506</v>
      </c>
      <c r="AF40" s="1">
        <v>-1.3142389999999999</v>
      </c>
      <c r="AG40" s="1">
        <f t="shared" si="3"/>
        <v>1.3142389999999999</v>
      </c>
      <c r="AH40">
        <f>(1569399*(1/48000000))*1000</f>
        <v>32.695812500000002</v>
      </c>
      <c r="AI40" s="1">
        <v>99668</v>
      </c>
      <c r="AJ40" s="1">
        <v>-1.6084579999999999</v>
      </c>
      <c r="AK40" s="1">
        <f t="shared" si="4"/>
        <v>1.6084579999999999</v>
      </c>
      <c r="AL40" s="1">
        <f>(1938361*(1/48000000))*1000</f>
        <v>40.382520833333338</v>
      </c>
    </row>
    <row r="41" spans="1:38" x14ac:dyDescent="0.2">
      <c r="A41">
        <v>989.3</v>
      </c>
      <c r="B41" s="1">
        <v>37.839815999999999</v>
      </c>
      <c r="C41" s="5">
        <f>((27199*(1/48000000))*1000000)/1000</f>
        <v>0.5666458333333334</v>
      </c>
      <c r="D41">
        <v>1964.5</v>
      </c>
      <c r="E41" s="1">
        <v>14.086985</v>
      </c>
      <c r="F41" s="5">
        <f>((43802*(1/48000000))*1000000)/1000</f>
        <v>0.9125416666666667</v>
      </c>
      <c r="G41" s="1">
        <v>2933</v>
      </c>
      <c r="H41" s="1">
        <v>11.683002999999999</v>
      </c>
      <c r="I41">
        <f>(63873*(1/48000000))*1000</f>
        <v>1.3306875</v>
      </c>
      <c r="K41" s="1">
        <v>3.4514130000000001</v>
      </c>
      <c r="L41">
        <f>(103159*(1/48000000))*1000</f>
        <v>2.1491458333333338</v>
      </c>
      <c r="M41" s="1"/>
      <c r="N41" s="1">
        <v>2.5650590000000002</v>
      </c>
      <c r="O41">
        <f>(126447*(1/48000000))*1000</f>
        <v>2.6343125000000005</v>
      </c>
      <c r="P41" s="1">
        <v>8081</v>
      </c>
      <c r="Q41" s="1">
        <v>2.9737499999999999</v>
      </c>
      <c r="R41">
        <f>(164927*(1/48000000))*1000</f>
        <v>3.4359791666666673</v>
      </c>
      <c r="S41" s="1">
        <v>9958</v>
      </c>
      <c r="T41" s="1">
        <v>1.4910460000000001</v>
      </c>
      <c r="U41" s="1">
        <f t="shared" si="0"/>
        <v>1.4910460000000001</v>
      </c>
      <c r="V41" s="5">
        <f>(197155*(1/48000000))*1000</f>
        <v>4.1073958333333334</v>
      </c>
      <c r="W41" s="1">
        <v>19786</v>
      </c>
      <c r="X41" s="1">
        <v>-1.485771</v>
      </c>
      <c r="Y41" s="1">
        <f t="shared" si="1"/>
        <v>1.485771</v>
      </c>
      <c r="Z41">
        <f>(382789*(1/48000000))*1000</f>
        <v>7.9747708333333334</v>
      </c>
      <c r="AA41">
        <v>29717</v>
      </c>
      <c r="AB41" s="1">
        <v>-1.550017</v>
      </c>
      <c r="AC41" s="1">
        <f t="shared" si="2"/>
        <v>1.550017</v>
      </c>
      <c r="AD41">
        <f>(578437*(1/48000000))*1000</f>
        <v>12.050770833333333</v>
      </c>
      <c r="AE41" s="1">
        <v>80506</v>
      </c>
      <c r="AF41" s="1">
        <v>-0.92000800000000005</v>
      </c>
      <c r="AG41" s="1">
        <f t="shared" si="3"/>
        <v>0.92000800000000005</v>
      </c>
      <c r="AH41">
        <f>(1566467*(1/48000000))*1000</f>
        <v>32.634729166666666</v>
      </c>
      <c r="AI41" s="1">
        <v>99668</v>
      </c>
      <c r="AJ41" s="1">
        <v>-1.2245349999999999</v>
      </c>
      <c r="AK41" s="1">
        <f t="shared" si="4"/>
        <v>1.2245349999999999</v>
      </c>
      <c r="AL41" s="1">
        <f>(1936571*(1/48000000))*1000</f>
        <v>40.34522916666667</v>
      </c>
    </row>
    <row r="42" spans="1:38" x14ac:dyDescent="0.2">
      <c r="A42">
        <v>989.3</v>
      </c>
      <c r="B42" s="1">
        <v>40.251005999999997</v>
      </c>
      <c r="C42" s="5">
        <f>((27052*(1/48000000))*1000000)/1000</f>
        <v>0.56358333333333333</v>
      </c>
      <c r="D42">
        <v>1964.5</v>
      </c>
      <c r="E42" s="1">
        <v>16.555465999999999</v>
      </c>
      <c r="F42" s="5">
        <f>((43707*(1/48000000))*1000000)/1000</f>
        <v>0.91056250000000005</v>
      </c>
      <c r="G42" s="1">
        <v>2933</v>
      </c>
      <c r="H42" s="1">
        <v>11.769133</v>
      </c>
      <c r="I42">
        <f>(63844*(1/48000000))*1000</f>
        <v>1.3300833333333335</v>
      </c>
      <c r="K42" s="1">
        <v>2.9205930000000002</v>
      </c>
      <c r="L42">
        <f>(103851*(1/48000000))*1000</f>
        <v>2.1635625000000003</v>
      </c>
      <c r="M42" s="1"/>
      <c r="N42" s="1">
        <v>3.7530730000000001</v>
      </c>
      <c r="O42">
        <f>(126641*(1/48000000))*1000</f>
        <v>2.6383541666666668</v>
      </c>
      <c r="P42" s="1">
        <v>8081</v>
      </c>
      <c r="Q42" s="1">
        <v>2.2901889999999998</v>
      </c>
      <c r="R42">
        <f>(162041*(1/48000000))*1000</f>
        <v>3.3758541666666666</v>
      </c>
      <c r="S42" s="1">
        <v>9958</v>
      </c>
      <c r="T42" s="1">
        <v>0.68802200000000002</v>
      </c>
      <c r="U42" s="1">
        <f t="shared" si="0"/>
        <v>0.68802200000000002</v>
      </c>
      <c r="V42" s="5">
        <f>(197329*(1/48000000))*1000</f>
        <v>4.1110208333333338</v>
      </c>
      <c r="W42" s="1">
        <v>19786</v>
      </c>
      <c r="X42" s="1">
        <v>-1.5534669999999999</v>
      </c>
      <c r="Y42" s="1">
        <f t="shared" si="1"/>
        <v>1.5534669999999999</v>
      </c>
      <c r="Z42">
        <f>(382992*(1/48000000))*1000</f>
        <v>7.9790000000000001</v>
      </c>
      <c r="AA42">
        <v>29717</v>
      </c>
      <c r="AB42" s="1">
        <v>-0.26728499999999999</v>
      </c>
      <c r="AC42" s="1">
        <f t="shared" si="2"/>
        <v>0.26728499999999999</v>
      </c>
      <c r="AD42">
        <f>(572282*(1/48000000))*1000</f>
        <v>11.922541666666667</v>
      </c>
      <c r="AE42" s="1">
        <v>80506</v>
      </c>
      <c r="AF42" s="1">
        <v>-0.70633699999999999</v>
      </c>
      <c r="AG42" s="1">
        <f t="shared" si="3"/>
        <v>0.70633699999999999</v>
      </c>
      <c r="AH42">
        <f>(1563097*(1/48000000))*1000</f>
        <v>32.564520833333333</v>
      </c>
      <c r="AI42" s="1">
        <v>99668</v>
      </c>
      <c r="AJ42" s="1">
        <v>-1.1895070000000001</v>
      </c>
      <c r="AK42" s="1">
        <f t="shared" si="4"/>
        <v>1.1895070000000001</v>
      </c>
      <c r="AL42" s="1">
        <f>(1934598*(1/48000000))*1000</f>
        <v>40.304125000000006</v>
      </c>
    </row>
    <row r="43" spans="1:38" x14ac:dyDescent="0.2">
      <c r="A43">
        <v>989.3</v>
      </c>
      <c r="B43" s="1">
        <v>38.998660000000001</v>
      </c>
      <c r="C43" s="5">
        <f>((26534*(1/48000000))*1000000)/1000</f>
        <v>0.55279166666666679</v>
      </c>
      <c r="D43">
        <v>1964.5</v>
      </c>
      <c r="E43" s="1">
        <v>14.878786</v>
      </c>
      <c r="F43" s="5">
        <f>((45257*(1/48000000))*1000000)/1000</f>
        <v>0.94285416666666677</v>
      </c>
      <c r="G43" s="1">
        <v>2933</v>
      </c>
      <c r="H43" s="1">
        <v>11.601853</v>
      </c>
      <c r="I43">
        <f>(63574*(1/48000000))*1000</f>
        <v>1.3244583333333335</v>
      </c>
      <c r="K43" s="1">
        <v>5.0582469999999997</v>
      </c>
      <c r="L43">
        <f>(102879*(1/48000000))*1000</f>
        <v>2.1433125000000004</v>
      </c>
      <c r="M43" s="1"/>
      <c r="N43" s="1">
        <v>4.3950060000000004</v>
      </c>
      <c r="O43">
        <f>(127132*(1/48000000))*1000</f>
        <v>2.6485833333333337</v>
      </c>
      <c r="P43" s="1">
        <v>8081</v>
      </c>
      <c r="Q43" s="1">
        <v>2.186445</v>
      </c>
      <c r="R43">
        <f>(161522*(1/48000000))*1000</f>
        <v>3.3650416666666669</v>
      </c>
      <c r="S43" s="1">
        <v>9958</v>
      </c>
      <c r="T43" s="1">
        <v>1.033461</v>
      </c>
      <c r="U43" s="1">
        <f t="shared" si="0"/>
        <v>1.033461</v>
      </c>
      <c r="V43" s="5">
        <f>(196451*(1/48000000))*1000</f>
        <v>4.0927291666666674</v>
      </c>
      <c r="W43" s="1">
        <v>19786</v>
      </c>
      <c r="X43" s="1">
        <v>-0.890324</v>
      </c>
      <c r="Y43" s="1">
        <f t="shared" si="1"/>
        <v>0.890324</v>
      </c>
      <c r="Z43">
        <f>(384684*(1/48000000))*1000</f>
        <v>8.0142500000000005</v>
      </c>
      <c r="AA43">
        <v>29717</v>
      </c>
      <c r="AB43" s="1">
        <v>-1.470469</v>
      </c>
      <c r="AC43" s="1">
        <f t="shared" si="2"/>
        <v>1.470469</v>
      </c>
      <c r="AD43">
        <f>(581038*(1/48000000))*1000</f>
        <v>12.104958333333334</v>
      </c>
      <c r="AE43" s="1">
        <v>80506</v>
      </c>
      <c r="AF43" s="1">
        <v>-0.32929599999999998</v>
      </c>
      <c r="AG43" s="1">
        <f t="shared" si="3"/>
        <v>0.32929599999999998</v>
      </c>
      <c r="AH43">
        <f>(1563672*(1/48000000))*1000</f>
        <v>32.576500000000003</v>
      </c>
      <c r="AI43" s="1">
        <v>99668</v>
      </c>
      <c r="AJ43" s="1">
        <v>-2.3099780000000001</v>
      </c>
      <c r="AK43" s="1">
        <f t="shared" si="4"/>
        <v>2.3099780000000001</v>
      </c>
      <c r="AL43" s="1">
        <f>(1934740*(1/48000000))*1000</f>
        <v>40.307083333333331</v>
      </c>
    </row>
    <row r="44" spans="1:38" x14ac:dyDescent="0.2">
      <c r="A44">
        <v>989.3</v>
      </c>
      <c r="B44" s="1">
        <v>39.200892000000003</v>
      </c>
      <c r="C44" s="5">
        <f>((26779*(1/48000000))*1000000)/1000</f>
        <v>0.55789583333333337</v>
      </c>
      <c r="D44">
        <v>1964.5</v>
      </c>
      <c r="E44" s="1">
        <v>17.499040999999998</v>
      </c>
      <c r="F44" s="5">
        <f>((43796*(1/48000000))*1000000)/1000</f>
        <v>0.91241666666666676</v>
      </c>
      <c r="G44" s="1">
        <v>2933</v>
      </c>
      <c r="H44" s="1">
        <v>9.9356349999999996</v>
      </c>
      <c r="I44">
        <f>(63088*(1/48000000))*1000</f>
        <v>1.3143333333333334</v>
      </c>
      <c r="K44" s="1">
        <v>3.0280649999999998</v>
      </c>
      <c r="L44">
        <f>(103199*(1/48000000))*1000</f>
        <v>2.1499791666666668</v>
      </c>
      <c r="M44" s="1"/>
      <c r="N44" s="1">
        <v>4.1363450000000004</v>
      </c>
      <c r="O44">
        <f>(127224*(1/48000000))*1000</f>
        <v>2.6505000000000001</v>
      </c>
      <c r="P44" s="1">
        <v>8081</v>
      </c>
      <c r="Q44" s="1">
        <v>1.83022</v>
      </c>
      <c r="R44">
        <f>(161340*(1/48000000))*1000</f>
        <v>3.3612500000000001</v>
      </c>
      <c r="S44" s="1">
        <v>9958</v>
      </c>
      <c r="T44" s="1">
        <v>1.3093520000000001</v>
      </c>
      <c r="U44" s="1">
        <f t="shared" si="0"/>
        <v>1.3093520000000001</v>
      </c>
      <c r="V44" s="5">
        <f>(196387*(1/48000000))*1000</f>
        <v>4.0913958333333333</v>
      </c>
      <c r="W44" s="1">
        <v>19786</v>
      </c>
      <c r="Z44">
        <f>(383445*(1/48000000))*1000</f>
        <v>7.9884375000000007</v>
      </c>
      <c r="AA44">
        <v>29717</v>
      </c>
      <c r="AB44" s="1">
        <v>-2.0124119999999999</v>
      </c>
      <c r="AC44" s="1">
        <f t="shared" si="2"/>
        <v>2.0124119999999999</v>
      </c>
      <c r="AD44">
        <f>(582392*(1/48000000))*1000</f>
        <v>12.133166666666668</v>
      </c>
      <c r="AE44" s="1">
        <v>80506</v>
      </c>
      <c r="AF44" s="1">
        <v>-0.51506200000000002</v>
      </c>
      <c r="AG44" s="1">
        <f t="shared" si="3"/>
        <v>0.51506200000000002</v>
      </c>
      <c r="AH44">
        <f>(1562511*(1/48000000))*1000</f>
        <v>32.552312499999999</v>
      </c>
      <c r="AI44" s="1">
        <v>99668</v>
      </c>
      <c r="AL44" s="1">
        <f>(1933280*(1/48000000))*1000</f>
        <v>40.276666666666671</v>
      </c>
    </row>
    <row r="45" spans="1:38" x14ac:dyDescent="0.2">
      <c r="A45">
        <v>989.3</v>
      </c>
      <c r="B45" s="1">
        <v>38.017814999999999</v>
      </c>
      <c r="C45" s="5">
        <f>((26417*(1/48000000))*1000000)/1000</f>
        <v>0.55035416666666659</v>
      </c>
      <c r="D45">
        <v>1964.5</v>
      </c>
      <c r="E45" s="1">
        <v>14.424711</v>
      </c>
      <c r="F45" s="5">
        <f>((44834*(1/48000000))*1000000)/1000</f>
        <v>0.93404166666666666</v>
      </c>
      <c r="G45" s="1">
        <v>2933</v>
      </c>
      <c r="H45" s="1">
        <v>11.423035</v>
      </c>
      <c r="I45">
        <f>(63362*(1/48000000))*1000</f>
        <v>1.3200416666666668</v>
      </c>
      <c r="K45" s="1">
        <v>2.610881</v>
      </c>
      <c r="L45">
        <f>(102491*(1/48000000))*1000</f>
        <v>2.135229166666667</v>
      </c>
      <c r="M45" s="1"/>
      <c r="N45" s="1">
        <v>1.9077900000000001</v>
      </c>
      <c r="O45">
        <f>(125655*(1/48000000))*1000</f>
        <v>2.6178125000000003</v>
      </c>
      <c r="P45" s="1">
        <v>8081</v>
      </c>
      <c r="Q45" s="1">
        <v>2.1072259999999998</v>
      </c>
      <c r="R45">
        <f>(162046*(1/48000000))*1000</f>
        <v>3.3759583333333336</v>
      </c>
      <c r="S45" s="1">
        <v>9958</v>
      </c>
      <c r="T45" s="1">
        <v>0.59742600000000001</v>
      </c>
      <c r="U45" s="1">
        <f t="shared" si="0"/>
        <v>0.59742600000000001</v>
      </c>
      <c r="V45" s="5">
        <f>(197325*(1/48000000))*1000</f>
        <v>4.1109375000000004</v>
      </c>
      <c r="W45" s="1">
        <v>19786</v>
      </c>
      <c r="Z45">
        <f>(385473*(1/48000000))*1000</f>
        <v>8.0306874999999991</v>
      </c>
      <c r="AA45">
        <v>29717</v>
      </c>
      <c r="AB45" s="1">
        <v>-1.916026</v>
      </c>
      <c r="AC45" s="1">
        <f t="shared" si="2"/>
        <v>1.916026</v>
      </c>
      <c r="AD45">
        <f>(571128*(1/48000000))*1000</f>
        <v>11.8985</v>
      </c>
      <c r="AE45" s="1">
        <v>80506</v>
      </c>
      <c r="AF45" s="1">
        <v>-1.511733</v>
      </c>
      <c r="AG45" s="1">
        <f t="shared" si="3"/>
        <v>1.511733</v>
      </c>
      <c r="AH45">
        <f>(1556492*(1/48000000))*1000</f>
        <v>32.426916666666664</v>
      </c>
      <c r="AI45" s="1">
        <v>99668</v>
      </c>
      <c r="AL45" s="1">
        <f>(1935149*(1/48000000))*1000</f>
        <v>40.315604166666674</v>
      </c>
    </row>
    <row r="46" spans="1:38" x14ac:dyDescent="0.2">
      <c r="A46">
        <v>989.3</v>
      </c>
      <c r="B46" s="1">
        <v>37.830362000000001</v>
      </c>
      <c r="C46" s="5">
        <f>((26137*(1/48000000))*1000000)/1000</f>
        <v>0.54452083333333334</v>
      </c>
      <c r="D46">
        <v>1964.5</v>
      </c>
      <c r="E46" s="1">
        <v>13.546172</v>
      </c>
      <c r="F46" s="5">
        <f>((44498*(1/48000000))*1000000)/1000</f>
        <v>0.92704166666666676</v>
      </c>
      <c r="G46" s="1">
        <v>2933</v>
      </c>
      <c r="H46" s="1">
        <v>9.0430890000000002</v>
      </c>
      <c r="I46">
        <f>(63605*(1/48000000))*1000</f>
        <v>1.3251041666666667</v>
      </c>
      <c r="K46" s="1">
        <v>2.3452730000000002</v>
      </c>
      <c r="L46">
        <f>(107458*(1/48000000))*1000</f>
        <v>2.2387083333333333</v>
      </c>
      <c r="M46" s="1"/>
      <c r="N46" s="1">
        <v>2.828713</v>
      </c>
      <c r="O46">
        <f>(126867*(1/48000000))*1000</f>
        <v>2.6430625000000001</v>
      </c>
      <c r="P46" s="1">
        <v>8081</v>
      </c>
      <c r="Q46" s="1">
        <v>1.9086399999999999</v>
      </c>
      <c r="R46">
        <f>(162151*(1/48000000))*1000</f>
        <v>3.3781458333333338</v>
      </c>
      <c r="S46" s="1">
        <v>9958</v>
      </c>
      <c r="T46" s="1">
        <v>1.519984</v>
      </c>
      <c r="U46" s="1">
        <f t="shared" si="0"/>
        <v>1.519984</v>
      </c>
      <c r="V46" s="5">
        <f>(197608*(1/48000000))*1000</f>
        <v>4.1168333333333331</v>
      </c>
      <c r="W46" s="1">
        <v>19786</v>
      </c>
      <c r="Z46">
        <f>(386849*(1/48000000))*1000</f>
        <v>8.059354166666667</v>
      </c>
      <c r="AA46">
        <v>29717</v>
      </c>
      <c r="AB46" s="1">
        <v>0.56249899999999997</v>
      </c>
      <c r="AC46" s="1">
        <f t="shared" si="2"/>
        <v>0.56249899999999997</v>
      </c>
      <c r="AD46">
        <f>(579653*(1/48000000))*1000</f>
        <v>12.076104166666667</v>
      </c>
      <c r="AE46" s="1">
        <v>80506</v>
      </c>
      <c r="AF46" s="1">
        <v>-0.76510999999999996</v>
      </c>
      <c r="AG46" s="1">
        <f t="shared" si="3"/>
        <v>0.76510999999999996</v>
      </c>
      <c r="AH46">
        <f>(1560298*(1/48000000))*1000</f>
        <v>32.506208333333333</v>
      </c>
      <c r="AI46" s="1">
        <v>99668</v>
      </c>
      <c r="AL46" s="1">
        <f>(1935834*(1/48000000))*1000</f>
        <v>40.329875000000001</v>
      </c>
    </row>
    <row r="47" spans="1:38" x14ac:dyDescent="0.2">
      <c r="A47">
        <v>989.3</v>
      </c>
      <c r="B47" s="1">
        <v>39.788269999999997</v>
      </c>
      <c r="C47" s="5">
        <f>((27010*(1/48000000))*1000000)/1000</f>
        <v>0.56270833333333337</v>
      </c>
      <c r="D47">
        <v>1964.5</v>
      </c>
      <c r="E47" s="1">
        <v>14.010913</v>
      </c>
      <c r="F47" s="5">
        <f>((44125*(1/48000000))*1000000)/1000</f>
        <v>0.91927083333333337</v>
      </c>
      <c r="G47" s="1">
        <v>2933</v>
      </c>
      <c r="H47" s="1">
        <v>7.2501040000000003</v>
      </c>
      <c r="I47">
        <f>(64845*(1/48000000))*1000</f>
        <v>1.3509375000000001</v>
      </c>
      <c r="K47" s="1">
        <v>3.580546</v>
      </c>
      <c r="L47">
        <f>(104007*(1/48000000))*1000</f>
        <v>2.1668125000000003</v>
      </c>
      <c r="M47" s="1"/>
      <c r="N47" s="1">
        <v>4.0948380000000002</v>
      </c>
      <c r="O47">
        <f>(125070*(1/48000000))*1000</f>
        <v>2.6056250000000003</v>
      </c>
      <c r="P47" s="1">
        <v>8081</v>
      </c>
      <c r="Q47" s="1">
        <v>2.0699779999999999</v>
      </c>
      <c r="R47">
        <f>(161140*(1/48000000))*1000</f>
        <v>3.3570833333333336</v>
      </c>
      <c r="S47" s="1">
        <v>9958</v>
      </c>
      <c r="T47" s="1">
        <v>0.59093200000000001</v>
      </c>
      <c r="U47" s="1">
        <f t="shared" si="0"/>
        <v>0.59093200000000001</v>
      </c>
      <c r="V47" s="5">
        <f>(197446*(1/48000000))*1000</f>
        <v>4.1134583333333339</v>
      </c>
      <c r="W47" s="1">
        <v>19786</v>
      </c>
      <c r="Z47">
        <f>(386495*(1/48000000))*1000</f>
        <v>8.0519791666666674</v>
      </c>
      <c r="AA47">
        <v>29717</v>
      </c>
      <c r="AB47" s="1">
        <v>-1.3733169999999999</v>
      </c>
      <c r="AC47" s="1">
        <f t="shared" si="2"/>
        <v>1.3733169999999999</v>
      </c>
      <c r="AD47">
        <f>(580408*(1/48000000))*1000</f>
        <v>12.091833333333335</v>
      </c>
      <c r="AE47" s="1">
        <v>80506</v>
      </c>
      <c r="AF47" s="1">
        <v>-1.41442</v>
      </c>
      <c r="AG47" s="1">
        <f t="shared" si="3"/>
        <v>1.41442</v>
      </c>
      <c r="AH47">
        <f>(1564428*(1/48000000))*1000</f>
        <v>32.59225</v>
      </c>
      <c r="AI47" s="1">
        <v>99668</v>
      </c>
      <c r="AL47" s="1">
        <f>(1927445*(1/48000000))*1000</f>
        <v>40.155104166666668</v>
      </c>
    </row>
    <row r="48" spans="1:38" x14ac:dyDescent="0.2">
      <c r="A48">
        <v>989.3</v>
      </c>
      <c r="B48" s="1">
        <v>40.785139999999998</v>
      </c>
      <c r="C48" s="5">
        <f>((27021*(1/48000000))*1000000)/1000</f>
        <v>0.56293750000000009</v>
      </c>
      <c r="D48">
        <v>1964.5</v>
      </c>
      <c r="E48" s="1">
        <v>14.495870999999999</v>
      </c>
      <c r="F48" s="5">
        <f>((44365*(1/48000000))*1000000)/1000</f>
        <v>0.92427083333333337</v>
      </c>
      <c r="G48" s="1">
        <v>2933</v>
      </c>
      <c r="H48" s="1">
        <v>8.8943490000000001</v>
      </c>
      <c r="I48">
        <f>(63613*(1/48000000))*1000</f>
        <v>1.3252708333333334</v>
      </c>
      <c r="K48" s="1">
        <v>3.241832</v>
      </c>
      <c r="L48">
        <f>(103457*(1/48000000))*1000</f>
        <v>2.1553541666666671</v>
      </c>
      <c r="M48" s="1"/>
      <c r="N48" s="1">
        <v>2.6297820000000001</v>
      </c>
      <c r="O48">
        <f>(125898*(1/48000000))*1000</f>
        <v>2.6228750000000001</v>
      </c>
      <c r="P48" s="1">
        <v>8081</v>
      </c>
      <c r="Q48" s="1">
        <v>1.739072</v>
      </c>
      <c r="R48">
        <f>(160899*(1/48000000))*1000</f>
        <v>3.3520625000000002</v>
      </c>
      <c r="S48" s="1">
        <v>9958</v>
      </c>
      <c r="T48" s="1">
        <v>1.3429E-2</v>
      </c>
      <c r="U48" s="1">
        <f t="shared" si="0"/>
        <v>1.3429E-2</v>
      </c>
      <c r="V48" s="5">
        <f>(196983*(1/48000000))*1000</f>
        <v>4.1038125000000001</v>
      </c>
      <c r="W48" s="1">
        <v>19786</v>
      </c>
      <c r="Z48">
        <f>(386092*(1/48000000))*1000</f>
        <v>8.0435833333333324</v>
      </c>
      <c r="AA48">
        <v>29717</v>
      </c>
      <c r="AB48" s="1">
        <v>-1.9261539999999999</v>
      </c>
      <c r="AC48" s="1">
        <f t="shared" si="2"/>
        <v>1.9261539999999999</v>
      </c>
      <c r="AD48">
        <f>(575967*(1/48000000))*1000</f>
        <v>11.999312500000002</v>
      </c>
      <c r="AE48" s="1">
        <v>80506</v>
      </c>
      <c r="AF48" s="1">
        <v>-1.017531</v>
      </c>
      <c r="AG48" s="1">
        <f t="shared" si="3"/>
        <v>1.017531</v>
      </c>
      <c r="AH48">
        <f>(1564038*(1/48000000))*1000</f>
        <v>32.584125</v>
      </c>
      <c r="AI48" s="1">
        <v>99668</v>
      </c>
      <c r="AL48" s="1">
        <f>(1935070*(1/48000000))*1000</f>
        <v>40.313958333333339</v>
      </c>
    </row>
    <row r="49" spans="1:35" x14ac:dyDescent="0.2">
      <c r="A49">
        <v>989.3</v>
      </c>
      <c r="B49" s="1">
        <v>39.708024999999999</v>
      </c>
      <c r="C49" s="5">
        <f>((26090*(1/48000000))*1000000)/1000</f>
        <v>0.54354166666666659</v>
      </c>
      <c r="D49">
        <v>1964.5</v>
      </c>
      <c r="E49" s="1">
        <v>14.584754999999999</v>
      </c>
      <c r="F49" s="5">
        <f>((43693*(1/48000000))*1000000)/1000</f>
        <v>0.91027083333333336</v>
      </c>
      <c r="G49" s="1">
        <v>2933</v>
      </c>
      <c r="H49" s="1">
        <v>10.351286999999999</v>
      </c>
      <c r="I49">
        <f>(64215*(1/48000000))*1000</f>
        <v>1.3378125000000001</v>
      </c>
      <c r="K49" s="1">
        <v>3.2980900000000002</v>
      </c>
      <c r="L49">
        <f>(102167*(1/48000000))*1000</f>
        <v>2.1284791666666671</v>
      </c>
      <c r="M49" s="1"/>
      <c r="N49" s="1">
        <v>2.9825949999999999</v>
      </c>
      <c r="O49">
        <f>(126192*(1/48000000))*1000</f>
        <v>2.6290000000000004</v>
      </c>
      <c r="P49" s="1">
        <v>8081</v>
      </c>
      <c r="Q49" s="1">
        <v>2.175557</v>
      </c>
      <c r="R49">
        <f>(162568*(1/48000000))*1000</f>
        <v>3.3868333333333336</v>
      </c>
      <c r="S49" s="1">
        <v>9958</v>
      </c>
      <c r="T49" s="1">
        <v>0.50834000000000001</v>
      </c>
      <c r="U49" s="1">
        <f t="shared" si="0"/>
        <v>0.50834000000000001</v>
      </c>
      <c r="V49" s="5">
        <f>(196738*(1/48000000))*1000</f>
        <v>4.0987083333333336</v>
      </c>
      <c r="W49" s="1">
        <v>19786</v>
      </c>
      <c r="Z49">
        <f>(387974*(1/48000000))*1000</f>
        <v>8.082791666666667</v>
      </c>
      <c r="AA49">
        <v>29717</v>
      </c>
      <c r="AB49" s="1">
        <v>-1.221419</v>
      </c>
      <c r="AC49" s="1">
        <f t="shared" si="2"/>
        <v>1.221419</v>
      </c>
      <c r="AD49">
        <f>(576193*(1/48000000))*1000</f>
        <v>12.004020833333334</v>
      </c>
      <c r="AE49" s="1">
        <v>80506</v>
      </c>
      <c r="AF49" s="1">
        <v>-0.78377600000000003</v>
      </c>
      <c r="AG49" s="1">
        <f t="shared" si="3"/>
        <v>0.78377600000000003</v>
      </c>
      <c r="AH49">
        <f>(1566235*(1/48000000))*1000</f>
        <v>32.629895833333329</v>
      </c>
      <c r="AI49" s="1">
        <v>99668</v>
      </c>
    </row>
    <row r="50" spans="1:35" x14ac:dyDescent="0.2">
      <c r="A50">
        <v>989.3</v>
      </c>
      <c r="B50" s="1">
        <v>38.248486999999997</v>
      </c>
      <c r="C50" s="5">
        <f>((27077*(1/48000000))*1000000)/1000</f>
        <v>0.56410416666666674</v>
      </c>
      <c r="D50">
        <v>1964.5</v>
      </c>
      <c r="E50" s="1">
        <v>14.842779</v>
      </c>
      <c r="F50" s="5">
        <f>((44664*(1/48000000))*1000000)/1000</f>
        <v>0.93049999999999999</v>
      </c>
      <c r="G50" s="1">
        <v>2933</v>
      </c>
      <c r="H50" s="1">
        <v>9.3598320000000008</v>
      </c>
      <c r="I50">
        <f>(63548*(1/48000000))*1000</f>
        <v>1.3239166666666669</v>
      </c>
      <c r="K50" s="1">
        <v>2.7580049999999998</v>
      </c>
      <c r="L50">
        <f>(102320*(1/48000000))*1000</f>
        <v>2.1316666666666668</v>
      </c>
      <c r="M50" s="1"/>
      <c r="N50" s="1">
        <v>2.4231220000000002</v>
      </c>
      <c r="O50">
        <f>(124953*(1/48000000))*1000</f>
        <v>2.6031875000000002</v>
      </c>
      <c r="P50" s="1">
        <v>8081</v>
      </c>
      <c r="Q50" s="1">
        <v>1.307445</v>
      </c>
      <c r="R50">
        <f>(161043*(1/48000000))*1000</f>
        <v>3.3550625000000003</v>
      </c>
      <c r="S50" s="1">
        <v>9958</v>
      </c>
      <c r="T50" s="1">
        <v>0.486757</v>
      </c>
      <c r="U50" s="1">
        <f t="shared" si="0"/>
        <v>0.486757</v>
      </c>
      <c r="V50" s="5">
        <f>(198908*(1/48000000))*1000</f>
        <v>4.1439166666666676</v>
      </c>
      <c r="W50" s="1">
        <v>19786</v>
      </c>
      <c r="Z50">
        <f>(383543*(1/48000000))*1000</f>
        <v>7.9904791666666668</v>
      </c>
      <c r="AA50">
        <v>29717</v>
      </c>
      <c r="AB50" s="1">
        <v>-1.2291920000000001</v>
      </c>
      <c r="AC50" s="1">
        <f t="shared" si="2"/>
        <v>1.2291920000000001</v>
      </c>
      <c r="AD50">
        <f>(579713*(1/48000000))*1000</f>
        <v>12.077354166666666</v>
      </c>
      <c r="AE50" s="1">
        <v>80506</v>
      </c>
      <c r="AF50" s="1">
        <v>-0.74131100000000005</v>
      </c>
      <c r="AG50" s="1">
        <f t="shared" si="3"/>
        <v>0.74131100000000005</v>
      </c>
      <c r="AH50">
        <f>(1562677*(1/48000000))*1000</f>
        <v>32.555770833333341</v>
      </c>
      <c r="AI50" s="1">
        <v>99668</v>
      </c>
    </row>
    <row r="51" spans="1:35" x14ac:dyDescent="0.2">
      <c r="B51" s="1"/>
      <c r="C51" s="5"/>
      <c r="E51" s="1"/>
      <c r="F51" s="5"/>
      <c r="H51" s="1"/>
      <c r="K51" s="1"/>
      <c r="L51" s="1"/>
      <c r="M51" s="1"/>
      <c r="N51" s="1"/>
      <c r="O51" s="1"/>
      <c r="Q51" s="1"/>
      <c r="T51" s="1"/>
      <c r="U51" s="1"/>
      <c r="V51" s="5"/>
      <c r="AB51" s="1"/>
      <c r="AC51" s="1"/>
      <c r="AF51" s="1"/>
      <c r="AG51" s="1"/>
    </row>
    <row r="52" spans="1:35" x14ac:dyDescent="0.2">
      <c r="B52" s="1"/>
      <c r="C52" s="5"/>
      <c r="E52" s="1"/>
      <c r="F52" s="5"/>
      <c r="H52" s="1"/>
      <c r="L52" s="1"/>
      <c r="M52" s="1"/>
      <c r="N52" s="1"/>
      <c r="O52" s="1"/>
      <c r="Q52" s="1"/>
      <c r="T52" s="1"/>
      <c r="U52" s="1"/>
      <c r="V52" s="5"/>
      <c r="AB52" s="1"/>
      <c r="AC52" s="1"/>
      <c r="AF52" s="1"/>
      <c r="AG52" s="1"/>
    </row>
    <row r="53" spans="1:35" x14ac:dyDescent="0.2">
      <c r="A53" t="s">
        <v>3</v>
      </c>
      <c r="B53" s="1" t="s">
        <v>4</v>
      </c>
      <c r="C53" s="5" t="s">
        <v>5</v>
      </c>
      <c r="E53" s="1"/>
      <c r="H53" s="1"/>
      <c r="L53" s="1"/>
      <c r="M53" s="1"/>
      <c r="N53" s="1"/>
      <c r="O53" s="1"/>
      <c r="Q53" s="1"/>
      <c r="T53" s="1"/>
      <c r="U53" s="1"/>
      <c r="V53" s="5"/>
      <c r="AB53" s="1"/>
      <c r="AC53" s="1"/>
      <c r="AF53" s="1"/>
      <c r="AG53" s="1"/>
    </row>
    <row r="54" spans="1:35" x14ac:dyDescent="0.2">
      <c r="A54">
        <f>AVERAGE(A2:A50)</f>
        <v>989.30000000000052</v>
      </c>
      <c r="B54" s="4">
        <f t="shared" ref="B54:C54" si="5">AVERAGE(B2:B50)</f>
        <v>38.262540734693879</v>
      </c>
      <c r="C54" s="4">
        <f t="shared" si="5"/>
        <v>0.55791113945578208</v>
      </c>
      <c r="L54" s="1"/>
      <c r="M54" s="1"/>
      <c r="N54" s="1"/>
      <c r="O54" s="1"/>
      <c r="U54">
        <f>AVERAGE(U2:U50)</f>
        <v>1.0674717346938771</v>
      </c>
      <c r="V54">
        <f>AVERAGE(V2:V50)</f>
        <v>4.1106305272108834</v>
      </c>
      <c r="Y54" s="1"/>
    </row>
    <row r="55" spans="1:35" x14ac:dyDescent="0.2">
      <c r="A55">
        <v>1964.5</v>
      </c>
      <c r="B55" s="8">
        <v>15.114582897959179</v>
      </c>
      <c r="C55" s="4">
        <v>0.92780399659863977</v>
      </c>
      <c r="E55" s="1"/>
      <c r="H55" s="1"/>
      <c r="L55" s="1"/>
      <c r="M55" s="1"/>
      <c r="N55" s="1"/>
      <c r="O55" s="1"/>
      <c r="T55" s="1"/>
      <c r="U55" s="1"/>
      <c r="V55" s="5"/>
      <c r="AB55" s="1"/>
      <c r="AC55" s="1"/>
      <c r="AF55" s="1"/>
      <c r="AG55" s="1"/>
    </row>
    <row r="56" spans="1:35" x14ac:dyDescent="0.2">
      <c r="A56">
        <v>2933</v>
      </c>
      <c r="B56" s="8">
        <v>10.112190734693879</v>
      </c>
      <c r="C56" s="4">
        <v>1.3368839285714289</v>
      </c>
      <c r="E56" s="1"/>
      <c r="H56" s="1"/>
      <c r="L56" s="1"/>
      <c r="M56" s="1"/>
      <c r="N56" s="1"/>
      <c r="O56" s="1"/>
      <c r="T56" s="1"/>
      <c r="U56" s="1"/>
      <c r="V56" s="5"/>
      <c r="AB56" s="1"/>
      <c r="AC56" s="1"/>
    </row>
    <row r="57" spans="1:35" x14ac:dyDescent="0.2">
      <c r="A57" s="1">
        <v>5059</v>
      </c>
      <c r="B57" s="4">
        <f>AVERAGE(K2:K50)</f>
        <v>3.1818022448979586</v>
      </c>
      <c r="C57" s="4">
        <f>AVERAGE(L2:L50)</f>
        <v>2.1564778911564622</v>
      </c>
      <c r="E57" s="1"/>
      <c r="H57" s="1"/>
      <c r="L57" s="1"/>
      <c r="M57" s="1"/>
      <c r="N57" s="1"/>
      <c r="O57" s="1"/>
      <c r="T57" s="1"/>
      <c r="U57" s="1"/>
      <c r="V57" s="5"/>
      <c r="AB57" s="1"/>
      <c r="AC57" s="1"/>
    </row>
    <row r="58" spans="1:35" x14ac:dyDescent="0.2">
      <c r="A58" s="1">
        <v>6202</v>
      </c>
      <c r="B58" s="4">
        <f>AVERAGE(N2:N50)</f>
        <v>3.029465897959184</v>
      </c>
      <c r="C58" s="4">
        <f>AVERAGE(O2:O50)</f>
        <v>2.6389243197278915</v>
      </c>
      <c r="E58" s="1"/>
      <c r="H58" s="1"/>
      <c r="L58" s="1"/>
      <c r="M58" s="1"/>
      <c r="N58" s="1"/>
      <c r="O58" s="1"/>
      <c r="T58" s="1"/>
      <c r="U58" s="1"/>
      <c r="V58" s="5"/>
      <c r="AB58" s="1"/>
      <c r="AC58" s="1"/>
    </row>
    <row r="59" spans="1:35" x14ac:dyDescent="0.2">
      <c r="A59">
        <v>8081</v>
      </c>
      <c r="B59" s="8">
        <v>1.8407968571428568</v>
      </c>
      <c r="C59" s="4">
        <v>3.3662193877551014</v>
      </c>
      <c r="E59" s="1"/>
      <c r="H59" s="1"/>
      <c r="L59" s="1"/>
      <c r="M59" s="1"/>
      <c r="N59" s="1"/>
      <c r="O59" s="1"/>
      <c r="T59" s="1"/>
      <c r="U59" s="1"/>
      <c r="V59" s="5"/>
      <c r="AB59" s="1"/>
      <c r="AC59" s="1"/>
    </row>
    <row r="60" spans="1:35" x14ac:dyDescent="0.2">
      <c r="A60">
        <v>9958</v>
      </c>
      <c r="B60" s="8">
        <v>1.0674717346938771</v>
      </c>
      <c r="C60" s="4">
        <v>4.1106305272108834</v>
      </c>
      <c r="L60" s="1"/>
      <c r="M60" s="1"/>
      <c r="N60" s="1"/>
      <c r="O60" s="1"/>
      <c r="AB60" s="1"/>
      <c r="AC60" s="1"/>
    </row>
    <row r="61" spans="1:35" x14ac:dyDescent="0.2">
      <c r="A61">
        <f>AVERAGE(W1:W49)</f>
        <v>19786</v>
      </c>
      <c r="B61" s="4">
        <v>0.98974678571428554</v>
      </c>
      <c r="C61" s="4">
        <v>8.0194668367346935</v>
      </c>
      <c r="T61" s="1"/>
      <c r="U61" s="1"/>
      <c r="V61" s="5"/>
      <c r="AB61" s="1"/>
      <c r="AC61" s="1"/>
    </row>
    <row r="62" spans="1:35" x14ac:dyDescent="0.2">
      <c r="A62">
        <v>29717</v>
      </c>
      <c r="B62" s="4">
        <v>1.3887702244897959</v>
      </c>
      <c r="C62" s="4">
        <v>12.024349914965985</v>
      </c>
      <c r="H62" s="1"/>
      <c r="T62" s="1"/>
      <c r="U62" s="1"/>
      <c r="V62" s="5"/>
      <c r="AB62" s="1"/>
      <c r="AC62" s="1"/>
    </row>
    <row r="63" spans="1:35" x14ac:dyDescent="0.2">
      <c r="A63">
        <f>AVERAGE(AE2:AE50)</f>
        <v>80506</v>
      </c>
      <c r="B63" s="4">
        <f>AVERAGE(AG2:AG50)</f>
        <v>0.99175875510204092</v>
      </c>
      <c r="C63" s="4">
        <f>AVERAGE(AH2:AH50)</f>
        <v>32.578034438775504</v>
      </c>
      <c r="H63" s="1"/>
      <c r="T63" s="1"/>
      <c r="U63" s="1"/>
      <c r="V63" s="5"/>
      <c r="AB63" s="1"/>
      <c r="AC63" s="1"/>
    </row>
    <row r="64" spans="1:35" x14ac:dyDescent="0.2">
      <c r="A64">
        <f>AVERAGE(AI2:AI50)</f>
        <v>99668</v>
      </c>
      <c r="B64" s="4">
        <f>AVERAGE(AK2:AK50)</f>
        <v>1.2968430714285712</v>
      </c>
      <c r="C64" s="4">
        <f>AVERAGE(AL2:AL50)</f>
        <v>40.26365070921986</v>
      </c>
      <c r="H64" s="1"/>
      <c r="T64" s="1"/>
      <c r="U64" s="1"/>
      <c r="V64" s="5"/>
      <c r="AB64" s="1"/>
      <c r="AC64" s="1"/>
    </row>
    <row r="65" spans="1:23" x14ac:dyDescent="0.2">
      <c r="H65" s="1"/>
      <c r="T65" s="1"/>
      <c r="U65" s="1"/>
      <c r="V65" s="5"/>
    </row>
    <row r="66" spans="1:23" x14ac:dyDescent="0.2">
      <c r="H66" s="1"/>
      <c r="T66" s="1"/>
      <c r="U66" s="1"/>
      <c r="V66" s="5"/>
    </row>
    <row r="67" spans="1:23" x14ac:dyDescent="0.2">
      <c r="A67" t="s">
        <v>15</v>
      </c>
      <c r="H67" s="1"/>
      <c r="V67" s="5"/>
    </row>
    <row r="68" spans="1:23" x14ac:dyDescent="0.2">
      <c r="C68" s="5">
        <f>MAX(C2:C50)-MIN(C2:C50)</f>
        <v>3.1479166666666614E-2</v>
      </c>
      <c r="D68" s="5"/>
      <c r="E68" s="5"/>
      <c r="F68" s="5">
        <f t="shared" ref="F68:W68" si="6">MAX(F2:F50)-MIN(F2:F50)</f>
        <v>4.1874999999999996E-2</v>
      </c>
      <c r="G68" s="5"/>
      <c r="H68" s="5"/>
      <c r="I68" s="5">
        <f t="shared" si="6"/>
        <v>9.2208333333333448E-2</v>
      </c>
      <c r="J68" s="5"/>
      <c r="K68" s="5"/>
      <c r="L68" s="5">
        <f t="shared" si="6"/>
        <v>0.11599999999999966</v>
      </c>
      <c r="M68" s="5"/>
      <c r="N68" s="5"/>
      <c r="O68" s="5">
        <f t="shared" si="6"/>
        <v>9.2229166666666362E-2</v>
      </c>
      <c r="P68" s="5"/>
      <c r="Q68" s="5"/>
      <c r="R68" s="5">
        <f t="shared" si="6"/>
        <v>0.12710416666666724</v>
      </c>
      <c r="S68" s="5">
        <f t="shared" si="6"/>
        <v>0</v>
      </c>
      <c r="T68" s="5">
        <f t="shared" si="6"/>
        <v>2.7632110000000001</v>
      </c>
      <c r="U68" s="5">
        <f t="shared" si="6"/>
        <v>2.2801900000000002</v>
      </c>
      <c r="V68" s="5">
        <f t="shared" si="6"/>
        <v>8.7208333333333776E-2</v>
      </c>
      <c r="W68" s="5">
        <f t="shared" si="6"/>
        <v>0</v>
      </c>
    </row>
    <row r="69" spans="1:23" x14ac:dyDescent="0.2">
      <c r="H69" s="1"/>
      <c r="V69" s="5"/>
    </row>
    <row r="70" spans="1:23" x14ac:dyDescent="0.2">
      <c r="H70" s="1"/>
      <c r="V70" s="5"/>
    </row>
    <row r="71" spans="1:23" x14ac:dyDescent="0.2">
      <c r="H71" s="1"/>
      <c r="V71" s="5"/>
    </row>
    <row r="72" spans="1:23" x14ac:dyDescent="0.2">
      <c r="H72" s="1"/>
      <c r="V72" s="5"/>
    </row>
    <row r="73" spans="1:23" x14ac:dyDescent="0.2">
      <c r="H73" s="1"/>
      <c r="V73" s="5"/>
    </row>
    <row r="74" spans="1:23" x14ac:dyDescent="0.2">
      <c r="H74" s="1"/>
    </row>
    <row r="75" spans="1:23" x14ac:dyDescent="0.2">
      <c r="H75" s="1"/>
    </row>
    <row r="76" spans="1:23" x14ac:dyDescent="0.2">
      <c r="H76" s="1"/>
    </row>
    <row r="120" spans="18:30" x14ac:dyDescent="0.2">
      <c r="R120">
        <f>(162336*(1/48000000))*1000</f>
        <v>3.3820000000000001</v>
      </c>
      <c r="AD120">
        <f>(577269*(1/48000000))*1000</f>
        <v>12.0264375</v>
      </c>
    </row>
    <row r="121" spans="18:30" x14ac:dyDescent="0.2">
      <c r="AD121">
        <f>(576246*(1/48000000))*1000</f>
        <v>12.005125</v>
      </c>
    </row>
    <row r="122" spans="18:30" x14ac:dyDescent="0.2">
      <c r="AD122">
        <f>(581056*(1/48000000))*1000</f>
        <v>12.105333333333334</v>
      </c>
    </row>
    <row r="123" spans="18:30" x14ac:dyDescent="0.2">
      <c r="AD123">
        <f>(579490*(1/48000000))*1000</f>
        <v>12.072708333333335</v>
      </c>
    </row>
    <row r="124" spans="18:30" x14ac:dyDescent="0.2">
      <c r="AD124">
        <f>(576411*(1/48000000))*1000</f>
        <v>12.0085625</v>
      </c>
    </row>
    <row r="125" spans="18:30" x14ac:dyDescent="0.2">
      <c r="AD125">
        <f>(570115*(1/48000000))*1000</f>
        <v>11.877395833333333</v>
      </c>
    </row>
    <row r="126" spans="18:30" x14ac:dyDescent="0.2">
      <c r="AD126">
        <f>(578873*(1/48000000))*1000</f>
        <v>12.059854166666666</v>
      </c>
    </row>
    <row r="127" spans="18:30" x14ac:dyDescent="0.2">
      <c r="AD127">
        <f>(574402*(1/48000000))*1000</f>
        <v>11.966708333333335</v>
      </c>
    </row>
    <row r="128" spans="18:30" x14ac:dyDescent="0.2">
      <c r="AD128">
        <f>(574660*(1/48000000))*1000</f>
        <v>11.972083333333334</v>
      </c>
    </row>
    <row r="129" spans="30:30" x14ac:dyDescent="0.2">
      <c r="AD129">
        <f>(581204*(1/48000000))*1000</f>
        <v>12.108416666666667</v>
      </c>
    </row>
    <row r="130" spans="30:30" x14ac:dyDescent="0.2">
      <c r="AD130">
        <f>(580840*(1/48000000))*1000</f>
        <v>12.100833333333334</v>
      </c>
    </row>
    <row r="131" spans="30:30" x14ac:dyDescent="0.2">
      <c r="AD131">
        <f>(578182*(1/48000000))*1000</f>
        <v>12.045458333333332</v>
      </c>
    </row>
    <row r="132" spans="30:30" x14ac:dyDescent="0.2">
      <c r="AD132">
        <f>(574720*(1/48000000))*1000</f>
        <v>11.973333333333334</v>
      </c>
    </row>
    <row r="133" spans="30:30" x14ac:dyDescent="0.2">
      <c r="AD133">
        <f>(583434*(1/48000000))*1000</f>
        <v>12.154875000000001</v>
      </c>
    </row>
    <row r="134" spans="30:30" x14ac:dyDescent="0.2">
      <c r="AD134">
        <f>(575348*(1/48000000))*1000</f>
        <v>11.986416666666667</v>
      </c>
    </row>
    <row r="135" spans="30:30" x14ac:dyDescent="0.2">
      <c r="AD135">
        <f>(574030*(1/48000000))*1000</f>
        <v>11.958958333333333</v>
      </c>
    </row>
    <row r="136" spans="30:30" x14ac:dyDescent="0.2">
      <c r="AD136">
        <f>(567413*(1/48000000))*1000</f>
        <v>11.821104166666668</v>
      </c>
    </row>
    <row r="137" spans="30:30" x14ac:dyDescent="0.2">
      <c r="AD137">
        <f>(574479*(1/48000000))*1000</f>
        <v>11.968312500000001</v>
      </c>
    </row>
    <row r="138" spans="30:30" x14ac:dyDescent="0.2">
      <c r="AD138">
        <f>(581190*(1/48000000))*1000</f>
        <v>12.108125000000001</v>
      </c>
    </row>
    <row r="139" spans="30:30" x14ac:dyDescent="0.2">
      <c r="AD139">
        <f>(578483*(1/48000000))*1000</f>
        <v>12.051729166666668</v>
      </c>
    </row>
    <row r="140" spans="30:30" x14ac:dyDescent="0.2">
      <c r="AD140">
        <f>(575399*(1/48000000))*1000</f>
        <v>11.987479166666667</v>
      </c>
    </row>
    <row r="141" spans="30:30" x14ac:dyDescent="0.2">
      <c r="AD141">
        <f>(579125*(1/48000000))*1000</f>
        <v>12.065104166666666</v>
      </c>
    </row>
    <row r="142" spans="30:30" x14ac:dyDescent="0.2">
      <c r="AD142">
        <f>(569495*(1/48000000))*1000</f>
        <v>11.864479166666667</v>
      </c>
    </row>
    <row r="143" spans="30:30" x14ac:dyDescent="0.2">
      <c r="AD143">
        <f>(569472*(1/48000000))*1000</f>
        <v>11.864000000000001</v>
      </c>
    </row>
    <row r="144" spans="30:30" x14ac:dyDescent="0.2">
      <c r="AD144">
        <f>(577481*(1/48000000))*1000</f>
        <v>12.030854166666668</v>
      </c>
    </row>
    <row r="145" spans="30:30" x14ac:dyDescent="0.2">
      <c r="AD145">
        <f>(572186*(1/48000000))*1000</f>
        <v>11.920541666666669</v>
      </c>
    </row>
    <row r="146" spans="30:30" x14ac:dyDescent="0.2">
      <c r="AD146">
        <f>(570296*(1/48000000))*1000</f>
        <v>11.881166666666667</v>
      </c>
    </row>
    <row r="147" spans="30:30" x14ac:dyDescent="0.2">
      <c r="AD147">
        <f>(578826*(1/48000000))*1000</f>
        <v>12.058875</v>
      </c>
    </row>
    <row r="148" spans="30:30" x14ac:dyDescent="0.2">
      <c r="AD148">
        <f>(577196*(1/48000000))*1000</f>
        <v>12.024916666666668</v>
      </c>
    </row>
    <row r="149" spans="30:30" x14ac:dyDescent="0.2">
      <c r="AD149">
        <f>(575546*(1/48000000))*1000</f>
        <v>11.990541666666667</v>
      </c>
    </row>
    <row r="150" spans="30:30" x14ac:dyDescent="0.2">
      <c r="AD150">
        <f>(576241*(1/48000000))*1000</f>
        <v>12.005020833333335</v>
      </c>
    </row>
    <row r="151" spans="30:30" x14ac:dyDescent="0.2">
      <c r="AD151">
        <f>(575866*(1/48000000))*1000</f>
        <v>11.997208333333333</v>
      </c>
    </row>
    <row r="152" spans="30:30" x14ac:dyDescent="0.2">
      <c r="AD152">
        <f>(574384*(1/48000000))*1000</f>
        <v>11.966333333333335</v>
      </c>
    </row>
    <row r="153" spans="30:30" x14ac:dyDescent="0.2">
      <c r="AD153">
        <f>(574957*(1/48000000))*1000</f>
        <v>11.978270833333333</v>
      </c>
    </row>
    <row r="154" spans="30:30" x14ac:dyDescent="0.2">
      <c r="AD154">
        <f>(582442*(1/48000000))*1000</f>
        <v>12.134208333333333</v>
      </c>
    </row>
    <row r="155" spans="30:30" x14ac:dyDescent="0.2">
      <c r="AD155">
        <f>(570697*(1/48000000))*1000</f>
        <v>11.889520833333334</v>
      </c>
    </row>
    <row r="156" spans="30:30" x14ac:dyDescent="0.2">
      <c r="AD156">
        <f>(577553*(1/48000000))*1000</f>
        <v>12.032354166666666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6"/>
  <sheetViews>
    <sheetView zoomScale="124" workbookViewId="0">
      <selection activeCell="B4" sqref="B4"/>
    </sheetView>
  </sheetViews>
  <sheetFormatPr baseColWidth="10" defaultRowHeight="16" x14ac:dyDescent="0.2"/>
  <cols>
    <col min="3" max="3" width="19.83203125" bestFit="1" customWidth="1"/>
    <col min="6" max="6" width="19.83203125" bestFit="1" customWidth="1"/>
    <col min="7" max="9" width="19.83203125" customWidth="1"/>
    <col min="12" max="12" width="19.83203125" bestFit="1" customWidth="1"/>
    <col min="15" max="15" width="19.83203125" bestFit="1" customWidth="1"/>
    <col min="18" max="18" width="19.83203125" bestFit="1" customWidth="1"/>
    <col min="21" max="21" width="19.83203125" bestFit="1" customWidth="1"/>
    <col min="24" max="24" width="19.83203125" bestFit="1" customWidth="1"/>
    <col min="27" max="27" width="19.83203125" bestFit="1" customWidth="1"/>
    <col min="31" max="31" width="19.83203125" bestFit="1" customWidth="1"/>
    <col min="35" max="35" width="19.83203125" bestFit="1" customWidth="1"/>
    <col min="36" max="36" width="9" bestFit="1" customWidth="1"/>
    <col min="38" max="38" width="14" bestFit="1" customWidth="1"/>
    <col min="39" max="39" width="19.83203125" bestFit="1" customWidth="1"/>
    <col min="43" max="43" width="19.83203125" bestFit="1" customWidth="1"/>
    <col min="47" max="47" width="19.83203125" bestFit="1" customWidth="1"/>
  </cols>
  <sheetData>
    <row r="1" spans="1:47" x14ac:dyDescent="0.2">
      <c r="A1" t="s">
        <v>0</v>
      </c>
      <c r="B1" t="s">
        <v>1</v>
      </c>
      <c r="C1" t="s">
        <v>6</v>
      </c>
      <c r="D1" t="s">
        <v>0</v>
      </c>
      <c r="E1" t="s">
        <v>1</v>
      </c>
      <c r="F1" t="s">
        <v>6</v>
      </c>
      <c r="G1" t="s">
        <v>0</v>
      </c>
      <c r="H1" t="s">
        <v>1</v>
      </c>
      <c r="I1" t="s">
        <v>6</v>
      </c>
      <c r="J1" t="s">
        <v>7</v>
      </c>
      <c r="K1" t="s">
        <v>1</v>
      </c>
      <c r="L1" t="s">
        <v>6</v>
      </c>
      <c r="M1" t="s">
        <v>0</v>
      </c>
      <c r="N1" t="s">
        <v>1</v>
      </c>
      <c r="O1" t="s">
        <v>6</v>
      </c>
      <c r="P1" t="s">
        <v>0</v>
      </c>
      <c r="Q1" t="s">
        <v>1</v>
      </c>
      <c r="R1" t="s">
        <v>6</v>
      </c>
      <c r="S1" t="s">
        <v>0</v>
      </c>
      <c r="T1" t="s">
        <v>1</v>
      </c>
      <c r="U1" t="s">
        <v>6</v>
      </c>
      <c r="V1" t="s">
        <v>0</v>
      </c>
      <c r="W1" t="s">
        <v>1</v>
      </c>
      <c r="X1" t="s">
        <v>6</v>
      </c>
      <c r="Y1" t="s">
        <v>0</v>
      </c>
      <c r="Z1" t="s">
        <v>1</v>
      </c>
      <c r="AA1" t="s">
        <v>6</v>
      </c>
      <c r="AB1" t="s">
        <v>0</v>
      </c>
      <c r="AC1" t="s">
        <v>1</v>
      </c>
      <c r="AD1" t="s">
        <v>2</v>
      </c>
      <c r="AE1" t="s">
        <v>6</v>
      </c>
      <c r="AF1" t="s">
        <v>0</v>
      </c>
      <c r="AG1" t="s">
        <v>1</v>
      </c>
      <c r="AH1" t="s">
        <v>2</v>
      </c>
      <c r="AI1" t="s">
        <v>6</v>
      </c>
      <c r="AJ1" t="s">
        <v>0</v>
      </c>
      <c r="AK1" t="s">
        <v>1</v>
      </c>
      <c r="AL1" t="s">
        <v>2</v>
      </c>
      <c r="AM1" t="s">
        <v>6</v>
      </c>
      <c r="AN1" t="s">
        <v>0</v>
      </c>
      <c r="AO1" t="s">
        <v>1</v>
      </c>
      <c r="AP1" t="s">
        <v>2</v>
      </c>
      <c r="AQ1" t="s">
        <v>6</v>
      </c>
      <c r="AR1" t="s">
        <v>0</v>
      </c>
      <c r="AS1" t="s">
        <v>1</v>
      </c>
      <c r="AT1" t="s">
        <v>2</v>
      </c>
      <c r="AU1" t="s">
        <v>6</v>
      </c>
    </row>
    <row r="2" spans="1:47" x14ac:dyDescent="0.2">
      <c r="A2">
        <v>989.3</v>
      </c>
      <c r="B2" s="1">
        <v>18.564458999999999</v>
      </c>
      <c r="C2">
        <f>99728000*(1/48000000)</f>
        <v>2.077666666666667</v>
      </c>
      <c r="D2">
        <v>1193</v>
      </c>
      <c r="E2" s="1">
        <v>15.478187</v>
      </c>
      <c r="F2">
        <f>112601000*(1/48000000)</f>
        <v>2.3458541666666668</v>
      </c>
      <c r="G2">
        <v>1481</v>
      </c>
      <c r="H2" s="1">
        <v>11.510908000000001</v>
      </c>
      <c r="I2">
        <f>136632000*(1/48000000)</f>
        <v>2.8465000000000003</v>
      </c>
      <c r="J2">
        <v>1964.5</v>
      </c>
      <c r="K2" s="1">
        <v>7.4330090000000002</v>
      </c>
      <c r="L2" s="3">
        <f>182706000*(1/48000000)</f>
        <v>3.8063750000000001</v>
      </c>
      <c r="M2" s="1">
        <v>2933</v>
      </c>
      <c r="N2" s="1">
        <v>4.4650059999999998</v>
      </c>
      <c r="O2">
        <f>263242000*(1/48000000)</f>
        <v>5.484208333333334</v>
      </c>
      <c r="P2" s="1">
        <v>5059</v>
      </c>
      <c r="Q2" s="1">
        <v>3.8967510000000001</v>
      </c>
      <c r="R2">
        <f>445837000*(1/48000000)</f>
        <v>9.2882708333333337</v>
      </c>
      <c r="S2" s="1">
        <v>6202</v>
      </c>
      <c r="T2" s="1">
        <v>3.2198570000000002</v>
      </c>
      <c r="U2">
        <f>543585000*(1/48000000)</f>
        <v>11.324687500000001</v>
      </c>
      <c r="V2" s="1">
        <v>8081</v>
      </c>
      <c r="W2" s="1">
        <v>0.88560499999999998</v>
      </c>
      <c r="X2">
        <f>704539000*(1/48000000)</f>
        <v>14.677895833333334</v>
      </c>
      <c r="Y2" s="1">
        <v>9878</v>
      </c>
      <c r="Z2" s="1">
        <v>0.304178</v>
      </c>
      <c r="AA2">
        <f>826030000*(1/48000000)</f>
        <v>17.208958333333335</v>
      </c>
      <c r="AB2" s="1">
        <v>19786</v>
      </c>
      <c r="AC2" s="1">
        <v>0.16064300000000001</v>
      </c>
      <c r="AD2" s="1">
        <f>ABS(AC2:AC74)</f>
        <v>0.16064300000000001</v>
      </c>
      <c r="AE2">
        <f>1703307000*(1/48000000)</f>
        <v>35.4855625</v>
      </c>
      <c r="AF2">
        <v>29717</v>
      </c>
      <c r="AG2" s="1">
        <v>-9.9497000000000002E-2</v>
      </c>
      <c r="AH2" s="1">
        <f>ABS(AG2)</f>
        <v>9.9497000000000002E-2</v>
      </c>
      <c r="AI2">
        <f>2540508000*(1/48000000)</f>
        <v>52.927250000000001</v>
      </c>
      <c r="AJ2">
        <v>50382</v>
      </c>
      <c r="AK2" s="1">
        <v>-6.0193999999999998E-2</v>
      </c>
      <c r="AL2">
        <f>ABS(AK2)</f>
        <v>6.0193999999999998E-2</v>
      </c>
      <c r="AM2">
        <f>(4302965*(1/48000000))*1000</f>
        <v>89.64510416666667</v>
      </c>
      <c r="AN2" s="1">
        <v>80506</v>
      </c>
      <c r="AO2" s="1">
        <v>9.9777000000000005E-2</v>
      </c>
      <c r="AP2" s="1">
        <f>ABS(AO2)</f>
        <v>9.9777000000000005E-2</v>
      </c>
      <c r="AQ2">
        <f>(6881187*(1/48000000))*1000</f>
        <v>143.35806250000002</v>
      </c>
      <c r="AR2" s="1">
        <v>99668</v>
      </c>
      <c r="AS2" s="1">
        <v>-0.40200200000000003</v>
      </c>
      <c r="AT2" s="1">
        <f>ABS(AS2)</f>
        <v>0.40200200000000003</v>
      </c>
      <c r="AU2">
        <f>(8523761*(1/48000000))*1000</f>
        <v>177.57835416666668</v>
      </c>
    </row>
    <row r="3" spans="1:47" x14ac:dyDescent="0.2">
      <c r="A3">
        <v>989.3</v>
      </c>
      <c r="B3" s="1">
        <v>17.980293</v>
      </c>
      <c r="C3">
        <f>99203000*(1/48000000)</f>
        <v>2.0667291666666667</v>
      </c>
      <c r="D3">
        <v>1193</v>
      </c>
      <c r="E3" s="1">
        <v>15.913121</v>
      </c>
      <c r="F3">
        <f>113263000*(1/48000000)</f>
        <v>2.3596458333333334</v>
      </c>
      <c r="G3">
        <v>1481</v>
      </c>
      <c r="H3" s="1">
        <v>12.493629</v>
      </c>
      <c r="I3">
        <f>148927000*(1/48000000)</f>
        <v>3.1026458333333333</v>
      </c>
      <c r="J3">
        <v>1964.5</v>
      </c>
      <c r="K3" s="1">
        <v>7.2518950000000002</v>
      </c>
      <c r="L3" s="3">
        <f>181055000*(1/48000000)</f>
        <v>3.7719791666666671</v>
      </c>
      <c r="M3" s="1">
        <v>2933</v>
      </c>
      <c r="N3" s="1">
        <v>5.1410629999999999</v>
      </c>
      <c r="O3">
        <f>263679000*(1/48000000)</f>
        <v>5.4933125</v>
      </c>
      <c r="P3" s="1">
        <v>5059</v>
      </c>
      <c r="Q3" s="1">
        <v>3.9436019999999998</v>
      </c>
      <c r="R3">
        <f>447880000*(1/48000000)</f>
        <v>9.3308333333333344</v>
      </c>
      <c r="S3" s="1">
        <v>6202</v>
      </c>
      <c r="T3" s="1">
        <v>3.567421</v>
      </c>
      <c r="U3">
        <f>543201000*(1/48000000)</f>
        <v>11.3166875</v>
      </c>
      <c r="V3" s="1">
        <v>8081</v>
      </c>
      <c r="W3" s="1">
        <v>0.86059600000000003</v>
      </c>
      <c r="X3">
        <f>702187000*(1/48000000)</f>
        <v>14.628895833333335</v>
      </c>
      <c r="Y3" s="1">
        <v>9878</v>
      </c>
      <c r="Z3" s="1">
        <v>0.37962099999999999</v>
      </c>
      <c r="AA3">
        <f>850088000*(1/48000000)</f>
        <v>17.710166666666669</v>
      </c>
      <c r="AB3" s="1">
        <v>19786</v>
      </c>
      <c r="AC3" s="1">
        <v>0.24660099999999999</v>
      </c>
      <c r="AD3" s="1">
        <f t="shared" ref="AD3:AD66" si="0">ABS(AC3:AC75)</f>
        <v>0.24660099999999999</v>
      </c>
      <c r="AE3">
        <f>1699551000*(1/48000000)</f>
        <v>35.407312500000003</v>
      </c>
      <c r="AF3">
        <v>29717</v>
      </c>
      <c r="AG3" s="1">
        <v>-4.2765999999999998E-2</v>
      </c>
      <c r="AH3" s="1">
        <f t="shared" ref="AH3:AH66" si="1">ABS(AG3)</f>
        <v>4.2765999999999998E-2</v>
      </c>
      <c r="AI3">
        <f>2543153000*(1/48000000)</f>
        <v>52.982354166666667</v>
      </c>
      <c r="AJ3">
        <v>50382</v>
      </c>
      <c r="AK3" s="1">
        <v>-0.15606500000000001</v>
      </c>
      <c r="AL3">
        <f t="shared" ref="AL3:AL66" si="2">ABS(AK3)</f>
        <v>0.15606500000000001</v>
      </c>
      <c r="AM3">
        <f>(4295502*(1/48000000))*1000</f>
        <v>89.489625000000004</v>
      </c>
      <c r="AN3" s="1">
        <v>80506</v>
      </c>
      <c r="AO3" s="1">
        <v>-0.21842800000000001</v>
      </c>
      <c r="AP3" s="1">
        <f t="shared" ref="AP3:AP66" si="3">ABS(AO3)</f>
        <v>0.21842800000000001</v>
      </c>
      <c r="AQ3">
        <f>(6887424*(1/48000000))*1000</f>
        <v>143.488</v>
      </c>
      <c r="AR3" s="1">
        <v>99668</v>
      </c>
      <c r="AS3" s="1">
        <v>-7.6523999999999995E-2</v>
      </c>
      <c r="AT3" s="1">
        <f t="shared" ref="AT3:AT66" si="4">ABS(AS3)</f>
        <v>7.6523999999999995E-2</v>
      </c>
      <c r="AU3">
        <f>(8529078*(1/48000000))*1000</f>
        <v>177.68912499999999</v>
      </c>
    </row>
    <row r="4" spans="1:47" x14ac:dyDescent="0.2">
      <c r="A4">
        <v>989.3</v>
      </c>
      <c r="B4" s="1">
        <v>17.359133</v>
      </c>
      <c r="C4">
        <f>99299000*(1/48000000)</f>
        <v>2.068729166666667</v>
      </c>
      <c r="D4">
        <v>1193</v>
      </c>
      <c r="E4" s="1">
        <v>15.122202</v>
      </c>
      <c r="F4">
        <f>113393000*(1/48000000)</f>
        <v>2.362354166666667</v>
      </c>
      <c r="G4">
        <v>1481</v>
      </c>
      <c r="H4" s="1">
        <v>12.210001</v>
      </c>
      <c r="I4">
        <f>139062000*(1/48000000)</f>
        <v>2.8971250000000004</v>
      </c>
      <c r="J4">
        <v>1964.5</v>
      </c>
      <c r="K4" s="1">
        <v>6.8554449999999996</v>
      </c>
      <c r="L4" s="3">
        <f>180199000*(1/48000000)</f>
        <v>3.7541458333333337</v>
      </c>
      <c r="M4" s="1">
        <v>2933</v>
      </c>
      <c r="N4" s="1">
        <v>5.5972220000000004</v>
      </c>
      <c r="O4">
        <f>263019000*(1/48000000)</f>
        <v>5.4795625000000001</v>
      </c>
      <c r="P4" s="1">
        <v>5059</v>
      </c>
      <c r="Q4" s="1">
        <v>3.83622</v>
      </c>
      <c r="R4">
        <f>446785000*(1/48000000)</f>
        <v>9.3080208333333339</v>
      </c>
      <c r="S4" s="1">
        <v>6202</v>
      </c>
      <c r="T4" s="1">
        <v>2.9064109999999999</v>
      </c>
      <c r="U4">
        <f>547084000*(1/48000000)</f>
        <v>11.397583333333333</v>
      </c>
      <c r="V4" s="1">
        <v>8081</v>
      </c>
      <c r="W4" s="1">
        <v>0.68761000000000005</v>
      </c>
      <c r="X4">
        <f>701546000*(1/48000000)</f>
        <v>14.615541666666667</v>
      </c>
      <c r="Y4" s="1">
        <v>9878</v>
      </c>
      <c r="Z4" s="1">
        <v>1.211598</v>
      </c>
      <c r="AA4">
        <f>852852000*(1/48000000)</f>
        <v>17.767749999999999</v>
      </c>
      <c r="AB4" s="1">
        <v>19786</v>
      </c>
      <c r="AC4" s="1">
        <v>0.330901</v>
      </c>
      <c r="AD4" s="1">
        <f t="shared" si="0"/>
        <v>0.330901</v>
      </c>
      <c r="AE4">
        <f>1699982000*(1/48000000)</f>
        <v>35.416291666666666</v>
      </c>
      <c r="AF4">
        <v>29717</v>
      </c>
      <c r="AG4" s="1">
        <v>-0.19561899999999999</v>
      </c>
      <c r="AH4" s="1">
        <f t="shared" si="1"/>
        <v>0.19561899999999999</v>
      </c>
      <c r="AI4">
        <f>2542637000*(1/48000000)</f>
        <v>52.971604166666673</v>
      </c>
      <c r="AJ4">
        <v>50382</v>
      </c>
      <c r="AK4" s="1">
        <v>-0.325131</v>
      </c>
      <c r="AL4">
        <f t="shared" si="2"/>
        <v>0.325131</v>
      </c>
      <c r="AM4">
        <f>(4292491*(1/48000000))*1000</f>
        <v>89.426895833333333</v>
      </c>
      <c r="AN4" s="1">
        <v>80506</v>
      </c>
      <c r="AO4" s="1">
        <v>-8.6301000000000003E-2</v>
      </c>
      <c r="AP4" s="1">
        <f t="shared" si="3"/>
        <v>8.6301000000000003E-2</v>
      </c>
      <c r="AQ4">
        <f>(6887117*(1/48000000))*1000</f>
        <v>143.48160416666667</v>
      </c>
      <c r="AR4" s="1">
        <v>99668</v>
      </c>
      <c r="AS4" s="1">
        <v>-0.616124</v>
      </c>
      <c r="AT4" s="1">
        <f t="shared" si="4"/>
        <v>0.616124</v>
      </c>
      <c r="AU4">
        <f>(8502485*(1/48000000))*1000</f>
        <v>177.13510416666668</v>
      </c>
    </row>
    <row r="5" spans="1:47" x14ac:dyDescent="0.2">
      <c r="A5">
        <v>989.3</v>
      </c>
      <c r="B5" s="1">
        <v>17.031559000000001</v>
      </c>
      <c r="C5">
        <f>99519000*(1/48000000)</f>
        <v>2.0733125000000001</v>
      </c>
      <c r="D5">
        <v>1193</v>
      </c>
      <c r="E5" s="1">
        <v>15.876424</v>
      </c>
      <c r="F5">
        <f>113062000*(1/48000000)</f>
        <v>2.3554583333333334</v>
      </c>
      <c r="G5">
        <v>1481</v>
      </c>
      <c r="H5" s="1">
        <v>12.017909</v>
      </c>
      <c r="I5">
        <f>138189000*(1/48000000)</f>
        <v>2.8789375000000001</v>
      </c>
      <c r="J5">
        <v>1964.5</v>
      </c>
      <c r="K5" s="1">
        <v>7.185327</v>
      </c>
      <c r="L5" s="3">
        <f>182250000*(1/48000000)</f>
        <v>3.7968750000000004</v>
      </c>
      <c r="M5" s="1">
        <v>2933</v>
      </c>
      <c r="N5" s="1">
        <v>5.5154199999999998</v>
      </c>
      <c r="O5">
        <f>263431000*(1/48000000)</f>
        <v>5.4881458333333333</v>
      </c>
      <c r="P5" s="1">
        <v>5059</v>
      </c>
      <c r="Q5" s="1">
        <v>3.5937800000000002</v>
      </c>
      <c r="R5">
        <f>444924000*(1/48000000)</f>
        <v>9.2692500000000013</v>
      </c>
      <c r="S5" s="1">
        <v>6202</v>
      </c>
      <c r="T5" s="1">
        <v>2.6036609999999998</v>
      </c>
      <c r="U5">
        <f>543877000*(1/48000000)</f>
        <v>11.330770833333334</v>
      </c>
      <c r="V5" s="1">
        <v>8081</v>
      </c>
      <c r="W5" s="1">
        <v>0.887181</v>
      </c>
      <c r="X5">
        <f>704320000*(1/48000000)</f>
        <v>14.673333333333334</v>
      </c>
      <c r="Y5" s="1">
        <v>9878</v>
      </c>
      <c r="Z5" s="1">
        <v>8.3159999999999998E-2</v>
      </c>
      <c r="AA5">
        <f>852119000*(1/48000000)</f>
        <v>17.752479166666667</v>
      </c>
      <c r="AB5" s="1">
        <v>19786</v>
      </c>
      <c r="AC5" s="1">
        <v>0.30230299999999999</v>
      </c>
      <c r="AD5" s="1">
        <f t="shared" si="0"/>
        <v>0.30230299999999999</v>
      </c>
      <c r="AE5">
        <f>1701519000*(1/48000000)</f>
        <v>35.4483125</v>
      </c>
      <c r="AF5">
        <v>29717</v>
      </c>
      <c r="AG5" s="1">
        <v>-0.45354899999999998</v>
      </c>
      <c r="AH5" s="1">
        <f t="shared" si="1"/>
        <v>0.45354899999999998</v>
      </c>
      <c r="AI5">
        <f>2545529000*(1/48000000)</f>
        <v>53.031854166666669</v>
      </c>
      <c r="AJ5">
        <v>50382</v>
      </c>
      <c r="AK5" s="1">
        <v>-0.18482199999999999</v>
      </c>
      <c r="AL5">
        <f t="shared" si="2"/>
        <v>0.18482199999999999</v>
      </c>
      <c r="AM5">
        <f>(4307107*(1/48000000))*1000</f>
        <v>89.731395833333337</v>
      </c>
      <c r="AN5" s="1">
        <v>80506</v>
      </c>
      <c r="AO5" s="1">
        <v>-1.6541E-2</v>
      </c>
      <c r="AP5" s="1">
        <f t="shared" si="3"/>
        <v>1.6541E-2</v>
      </c>
      <c r="AQ5">
        <f>(6862566*(1/48000000))*1000</f>
        <v>142.970125</v>
      </c>
      <c r="AR5" s="1">
        <v>99668</v>
      </c>
      <c r="AS5" s="1">
        <v>-0.86037300000000005</v>
      </c>
      <c r="AT5" s="1">
        <f t="shared" si="4"/>
        <v>0.86037300000000005</v>
      </c>
      <c r="AU5">
        <f>(8532901*(1/48000000))*1000</f>
        <v>177.76877083333335</v>
      </c>
    </row>
    <row r="6" spans="1:47" x14ac:dyDescent="0.2">
      <c r="A6">
        <v>989.3</v>
      </c>
      <c r="B6" s="1">
        <v>18.455867000000001</v>
      </c>
      <c r="C6">
        <f>98129000*(1/48000000)</f>
        <v>2.0443541666666669</v>
      </c>
      <c r="D6">
        <v>1193</v>
      </c>
      <c r="E6" s="1">
        <v>15.879326000000001</v>
      </c>
      <c r="F6">
        <f>113181000*(1/48000000)</f>
        <v>2.3579375000000002</v>
      </c>
      <c r="G6">
        <v>1481</v>
      </c>
      <c r="H6" s="1">
        <v>10.687987</v>
      </c>
      <c r="I6">
        <f>138298000*(1/48000000)</f>
        <v>2.8812083333333334</v>
      </c>
      <c r="J6">
        <v>1964.5</v>
      </c>
      <c r="K6" s="1">
        <v>7.355372</v>
      </c>
      <c r="L6" s="3">
        <f>181945000*(1/48000000)</f>
        <v>3.7905208333333338</v>
      </c>
      <c r="M6" s="1">
        <v>2933</v>
      </c>
      <c r="N6" s="1">
        <v>4.8687290000000001</v>
      </c>
      <c r="O6">
        <f>262134000*(1/48000000)</f>
        <v>5.461125</v>
      </c>
      <c r="P6" s="1">
        <v>5059</v>
      </c>
      <c r="Q6" s="1">
        <v>4.1512979999999997</v>
      </c>
      <c r="R6">
        <f>447066000*(1/48000000)</f>
        <v>9.3138750000000012</v>
      </c>
      <c r="S6" s="1">
        <v>6202</v>
      </c>
      <c r="T6" s="1">
        <v>2.8649360000000001</v>
      </c>
      <c r="U6">
        <f>544290000*(1/48000000)</f>
        <v>11.339375</v>
      </c>
      <c r="V6" s="1">
        <v>8081</v>
      </c>
      <c r="W6" s="1">
        <v>1.1676580000000001</v>
      </c>
      <c r="X6">
        <f>705476000*(1/48000000)</f>
        <v>14.697416666666667</v>
      </c>
      <c r="Y6" s="1">
        <v>9878</v>
      </c>
      <c r="Z6" s="1">
        <v>1.1122749999999999</v>
      </c>
      <c r="AA6">
        <f>850906000*(1/48000000)</f>
        <v>17.727208333333333</v>
      </c>
      <c r="AB6" s="1">
        <v>19786</v>
      </c>
      <c r="AC6" s="1">
        <v>0.24548600000000001</v>
      </c>
      <c r="AD6" s="1">
        <f t="shared" si="0"/>
        <v>0.24548600000000001</v>
      </c>
      <c r="AE6">
        <f>1706100000*(1/48000000)</f>
        <v>35.543750000000003</v>
      </c>
      <c r="AF6">
        <v>29717</v>
      </c>
      <c r="AG6" s="1">
        <v>-9.325E-2</v>
      </c>
      <c r="AH6" s="1">
        <f t="shared" si="1"/>
        <v>9.325E-2</v>
      </c>
      <c r="AI6">
        <f>2549652000*(1/48000000)</f>
        <v>53.117750000000001</v>
      </c>
      <c r="AJ6">
        <v>50382</v>
      </c>
      <c r="AK6" s="1">
        <v>-0.29689399999999999</v>
      </c>
      <c r="AL6">
        <f t="shared" si="2"/>
        <v>0.29689399999999999</v>
      </c>
      <c r="AM6">
        <f>(4302469*(1/48000000))*1000</f>
        <v>89.634770833333334</v>
      </c>
      <c r="AN6" s="1">
        <v>80506</v>
      </c>
      <c r="AO6" s="1">
        <v>-0.25971699999999998</v>
      </c>
      <c r="AP6" s="1">
        <f t="shared" si="3"/>
        <v>0.25971699999999998</v>
      </c>
      <c r="AQ6">
        <f>(6885341*(1/48000000))*1000</f>
        <v>143.44460416666669</v>
      </c>
      <c r="AR6" s="1">
        <v>99668</v>
      </c>
      <c r="AS6" s="1">
        <v>0.11680400000000001</v>
      </c>
      <c r="AT6" s="1">
        <f t="shared" si="4"/>
        <v>0.11680400000000001</v>
      </c>
      <c r="AU6">
        <f>(8540430*(1/48000000))*1000</f>
        <v>177.925625</v>
      </c>
    </row>
    <row r="7" spans="1:47" x14ac:dyDescent="0.2">
      <c r="A7">
        <v>989.3</v>
      </c>
      <c r="B7" s="1">
        <v>17.367084999999999</v>
      </c>
      <c r="C7">
        <f>98872000*(1/48000000)</f>
        <v>2.0598333333333336</v>
      </c>
      <c r="D7">
        <v>1193</v>
      </c>
      <c r="E7" s="1">
        <v>15.839554</v>
      </c>
      <c r="F7">
        <f>112310000*(1/48000000)</f>
        <v>2.3397916666666667</v>
      </c>
      <c r="G7">
        <v>1481</v>
      </c>
      <c r="H7" s="1">
        <v>11.14621</v>
      </c>
      <c r="I7">
        <f>137209000*(1/48000000)</f>
        <v>2.8585208333333334</v>
      </c>
      <c r="J7">
        <v>1964.5</v>
      </c>
      <c r="K7" s="1">
        <v>7.0859990000000002</v>
      </c>
      <c r="L7" s="3">
        <f>182220000*(1/48000000)</f>
        <v>3.7962500000000001</v>
      </c>
      <c r="M7" s="1">
        <v>2933</v>
      </c>
      <c r="N7" s="1">
        <v>5.4227499999999997</v>
      </c>
      <c r="O7">
        <f>262999000*(1/48000000)</f>
        <v>5.4791458333333338</v>
      </c>
      <c r="P7" s="1">
        <v>5059</v>
      </c>
      <c r="Q7" s="1">
        <v>3.388334</v>
      </c>
      <c r="R7">
        <f>447518000*(1/48000000)</f>
        <v>9.3232916666666679</v>
      </c>
      <c r="S7" s="1">
        <v>6202</v>
      </c>
      <c r="T7" s="1">
        <v>2.76484</v>
      </c>
      <c r="U7">
        <f>543312000*(1/48000000)</f>
        <v>11.319000000000001</v>
      </c>
      <c r="V7" s="1">
        <v>8081</v>
      </c>
      <c r="W7" s="1">
        <v>1.041574</v>
      </c>
      <c r="X7">
        <f>702475000*(1/48000000)</f>
        <v>14.634895833333335</v>
      </c>
      <c r="Y7" s="1">
        <v>9878</v>
      </c>
      <c r="Z7" s="1">
        <v>0.79823699999999997</v>
      </c>
      <c r="AA7">
        <f>850782000*(1/48000000)</f>
        <v>17.724625</v>
      </c>
      <c r="AB7" s="1">
        <v>19786</v>
      </c>
      <c r="AC7" s="1">
        <v>0.16295499999999999</v>
      </c>
      <c r="AD7" s="1">
        <f>ABS(AC7:AC79)</f>
        <v>0.16295499999999999</v>
      </c>
      <c r="AE7">
        <f>1699802000*(1/48000000)</f>
        <v>35.412541666666669</v>
      </c>
      <c r="AF7">
        <v>29717</v>
      </c>
      <c r="AG7" s="1">
        <v>-0.54823900000000003</v>
      </c>
      <c r="AH7" s="1">
        <f t="shared" si="1"/>
        <v>0.54823900000000003</v>
      </c>
      <c r="AI7">
        <f>2553117000*(1/48000000)</f>
        <v>53.189937500000006</v>
      </c>
      <c r="AJ7">
        <v>50382</v>
      </c>
      <c r="AK7" s="1">
        <v>-0.33833800000000003</v>
      </c>
      <c r="AL7">
        <f t="shared" si="2"/>
        <v>0.33833800000000003</v>
      </c>
      <c r="AM7">
        <f>(4304296*(1/48000000))*1000</f>
        <v>89.672833333333344</v>
      </c>
      <c r="AN7" s="1">
        <v>80506</v>
      </c>
      <c r="AO7" s="1">
        <v>-1.2087000000000001E-2</v>
      </c>
      <c r="AP7" s="1">
        <f t="shared" si="3"/>
        <v>1.2087000000000001E-2</v>
      </c>
      <c r="AQ7">
        <f>(6882894*(1/48000000))*1000</f>
        <v>143.39362499999999</v>
      </c>
      <c r="AR7" s="1">
        <v>99668</v>
      </c>
      <c r="AS7" s="1">
        <v>-6.8778000000000006E-2</v>
      </c>
      <c r="AT7" s="1">
        <f t="shared" si="4"/>
        <v>6.8778000000000006E-2</v>
      </c>
      <c r="AU7">
        <f>(8548795*(1/48000000))*1000</f>
        <v>178.09989583333336</v>
      </c>
    </row>
    <row r="8" spans="1:47" x14ac:dyDescent="0.2">
      <c r="A8">
        <v>989.3</v>
      </c>
      <c r="B8" s="1">
        <v>17.595856000000001</v>
      </c>
      <c r="C8">
        <f>98408000*(1/48000000)</f>
        <v>2.0501666666666667</v>
      </c>
      <c r="D8">
        <v>1193</v>
      </c>
      <c r="E8" s="1">
        <v>15.148889</v>
      </c>
      <c r="F8">
        <f>112723000*(1/48000000)</f>
        <v>2.3483958333333335</v>
      </c>
      <c r="G8">
        <v>1481</v>
      </c>
      <c r="H8" s="1">
        <v>11.195639999999999</v>
      </c>
      <c r="I8">
        <f>137881000*(1/48000000)</f>
        <v>2.8725208333333336</v>
      </c>
      <c r="J8">
        <v>1964.5</v>
      </c>
      <c r="K8" s="1">
        <v>6.9757179999999996</v>
      </c>
      <c r="L8" s="3">
        <f>181856000*(1/48000000)</f>
        <v>3.7886666666666668</v>
      </c>
      <c r="M8" s="1">
        <v>2933</v>
      </c>
      <c r="N8" s="1">
        <v>5.4095459999999997</v>
      </c>
      <c r="O8">
        <f>263056000*(1/48000000)</f>
        <v>5.4803333333333333</v>
      </c>
      <c r="P8" s="1">
        <v>5059</v>
      </c>
      <c r="Q8" s="1">
        <v>4.1340019999999997</v>
      </c>
      <c r="R8">
        <f>447518000*(1/48000000)</f>
        <v>9.3232916666666679</v>
      </c>
      <c r="S8" s="1">
        <v>6202</v>
      </c>
      <c r="T8" s="1">
        <v>3.0073409999999998</v>
      </c>
      <c r="U8">
        <f>544498000*(1/48000000)</f>
        <v>11.343708333333334</v>
      </c>
      <c r="V8" s="1">
        <v>8081</v>
      </c>
      <c r="W8" s="1">
        <v>1.4044319999999999</v>
      </c>
      <c r="X8">
        <f>702099000*(1/48000000)</f>
        <v>14.627062500000001</v>
      </c>
      <c r="Y8" s="1">
        <v>9878</v>
      </c>
      <c r="Z8" s="1">
        <v>1.0335270000000001</v>
      </c>
      <c r="AA8">
        <f>851554000*(1/48000000)</f>
        <v>17.740708333333334</v>
      </c>
      <c r="AB8" s="1">
        <v>19786</v>
      </c>
      <c r="AC8" s="1">
        <v>-3.9108999999999998E-2</v>
      </c>
      <c r="AD8" s="1">
        <f>ABS(AC8:AC80)</f>
        <v>3.9108999999999998E-2</v>
      </c>
      <c r="AE8">
        <f>1700838000*(1/48000000)</f>
        <v>35.434125000000002</v>
      </c>
      <c r="AF8">
        <v>29717</v>
      </c>
      <c r="AG8" s="1">
        <v>-0.21803</v>
      </c>
      <c r="AH8" s="1">
        <f t="shared" si="1"/>
        <v>0.21803</v>
      </c>
      <c r="AI8">
        <f>2551170000*(1/48000000)</f>
        <v>53.149375000000006</v>
      </c>
      <c r="AJ8">
        <v>50382</v>
      </c>
      <c r="AK8" s="1">
        <v>-0.45371299999999998</v>
      </c>
      <c r="AL8">
        <f t="shared" si="2"/>
        <v>0.45371299999999998</v>
      </c>
      <c r="AM8">
        <f>(4300360*(1/48000000))*1000</f>
        <v>89.590833333333336</v>
      </c>
      <c r="AN8" s="1">
        <v>80506</v>
      </c>
      <c r="AO8" s="1">
        <v>-0.29000599999999999</v>
      </c>
      <c r="AP8" s="1">
        <f t="shared" si="3"/>
        <v>0.29000599999999999</v>
      </c>
      <c r="AQ8">
        <f>(6885937*(1/48000000))*1000</f>
        <v>143.45702083333333</v>
      </c>
      <c r="AR8" s="1">
        <v>99668</v>
      </c>
      <c r="AS8" s="1">
        <v>-6.5448000000000006E-2</v>
      </c>
      <c r="AT8" s="1">
        <f t="shared" si="4"/>
        <v>6.5448000000000006E-2</v>
      </c>
      <c r="AU8">
        <f>(8538655*(1/48000000))*1000</f>
        <v>177.88864583333333</v>
      </c>
    </row>
    <row r="9" spans="1:47" x14ac:dyDescent="0.2">
      <c r="A9">
        <v>989.3</v>
      </c>
      <c r="B9" s="1">
        <v>16.293599</v>
      </c>
      <c r="C9">
        <f>99232000*(1/48000000)</f>
        <v>2.0673333333333335</v>
      </c>
      <c r="D9">
        <v>1193</v>
      </c>
      <c r="E9" s="1">
        <v>16.272774999999999</v>
      </c>
      <c r="F9">
        <f>112588000*(1/48000000)</f>
        <v>2.3455833333333334</v>
      </c>
      <c r="G9">
        <v>1481</v>
      </c>
      <c r="H9" s="1">
        <v>10.662013999999999</v>
      </c>
      <c r="I9">
        <f>137586000*(1/48000000)</f>
        <v>2.8663750000000001</v>
      </c>
      <c r="J9">
        <v>1964.5</v>
      </c>
      <c r="K9" s="1">
        <v>7.1831160000000001</v>
      </c>
      <c r="L9" s="3">
        <f>181983000*(1/48000000)</f>
        <v>3.7913125000000001</v>
      </c>
      <c r="M9" s="1">
        <v>2933</v>
      </c>
      <c r="N9" s="1">
        <v>5.1125540000000003</v>
      </c>
      <c r="O9">
        <f>263904000*(1/48000000)</f>
        <v>5.4980000000000002</v>
      </c>
      <c r="P9" s="1">
        <v>5059</v>
      </c>
      <c r="Q9" s="1">
        <v>3.5071439999999998</v>
      </c>
      <c r="R9">
        <f>447349000*(1/48000000)</f>
        <v>9.3197708333333331</v>
      </c>
      <c r="S9" s="1">
        <v>6202</v>
      </c>
      <c r="T9" s="1">
        <v>2.603113</v>
      </c>
      <c r="U9">
        <f>545076000*(1/48000000)</f>
        <v>11.35575</v>
      </c>
      <c r="V9" s="1">
        <v>8081</v>
      </c>
      <c r="W9" s="1">
        <v>0.98038700000000001</v>
      </c>
      <c r="X9">
        <f>708389000*(1/48000000)</f>
        <v>14.758104166666667</v>
      </c>
      <c r="Y9" s="1">
        <v>9878</v>
      </c>
      <c r="Z9" s="1">
        <v>0.58301599999999998</v>
      </c>
      <c r="AA9">
        <f>852971000*(1/48000000)</f>
        <v>17.770229166666667</v>
      </c>
      <c r="AB9" s="1">
        <v>19786</v>
      </c>
      <c r="AC9" s="1">
        <v>6.4981999999999998E-2</v>
      </c>
      <c r="AD9" s="1">
        <f>ABS(AC9:AC81)</f>
        <v>6.4981999999999998E-2</v>
      </c>
      <c r="AE9">
        <f>1700172000*(1/48000000)</f>
        <v>35.420250000000003</v>
      </c>
      <c r="AF9">
        <v>29717</v>
      </c>
      <c r="AG9" s="1">
        <v>9.5200999999999994E-2</v>
      </c>
      <c r="AH9" s="1">
        <f t="shared" si="1"/>
        <v>9.5200999999999994E-2</v>
      </c>
      <c r="AI9">
        <f>2549367000*(1/48000000)</f>
        <v>53.111812500000006</v>
      </c>
      <c r="AJ9">
        <v>50382</v>
      </c>
      <c r="AK9" s="1">
        <v>-6.3366000000000006E-2</v>
      </c>
      <c r="AL9">
        <f t="shared" si="2"/>
        <v>6.3366000000000006E-2</v>
      </c>
      <c r="AM9">
        <f>(4301146*(1/48000000))*1000</f>
        <v>89.607208333333347</v>
      </c>
      <c r="AN9" s="1">
        <v>80506</v>
      </c>
      <c r="AO9" s="1">
        <v>-3.5189999999999999E-2</v>
      </c>
      <c r="AP9" s="1">
        <f t="shared" si="3"/>
        <v>3.5189999999999999E-2</v>
      </c>
      <c r="AQ9">
        <f>(6887102*(1/48000000))*1000</f>
        <v>143.48129166666666</v>
      </c>
      <c r="AR9" s="1">
        <v>99668</v>
      </c>
      <c r="AS9" s="1">
        <v>-0.25367200000000001</v>
      </c>
      <c r="AT9" s="1">
        <f t="shared" si="4"/>
        <v>0.25367200000000001</v>
      </c>
      <c r="AU9">
        <f>(8537058*(1/48000000))*1000</f>
        <v>177.85537500000001</v>
      </c>
    </row>
    <row r="10" spans="1:47" x14ac:dyDescent="0.2">
      <c r="A10">
        <v>989.3</v>
      </c>
      <c r="B10" s="1">
        <v>17.297038000000001</v>
      </c>
      <c r="C10">
        <f>98287000*(1/48000000)</f>
        <v>2.0476458333333336</v>
      </c>
      <c r="D10">
        <v>1193</v>
      </c>
      <c r="E10" s="1">
        <v>14.942731999999999</v>
      </c>
      <c r="F10">
        <f>112824000*(1/48000000)</f>
        <v>2.3505000000000003</v>
      </c>
      <c r="G10">
        <v>1481</v>
      </c>
      <c r="H10" s="1">
        <v>11.838487000000001</v>
      </c>
      <c r="I10">
        <f>138140000*(1/48000000)</f>
        <v>2.8779166666666667</v>
      </c>
      <c r="J10">
        <v>1964.5</v>
      </c>
      <c r="K10" s="1">
        <v>6.7004380000000001</v>
      </c>
      <c r="L10" s="3">
        <f>182360000*(1/48000000)</f>
        <v>3.7991666666666668</v>
      </c>
      <c r="M10" s="1">
        <v>2933</v>
      </c>
      <c r="N10" s="1">
        <v>5.3804299999999996</v>
      </c>
      <c r="O10">
        <f>263732000*(1/48000000)</f>
        <v>5.4944166666666669</v>
      </c>
      <c r="P10" s="1">
        <v>5059</v>
      </c>
      <c r="Q10" s="1">
        <v>3.597534</v>
      </c>
      <c r="R10">
        <f>447776000*(1/48000000)</f>
        <v>9.3286666666666669</v>
      </c>
      <c r="S10" s="1">
        <v>6202</v>
      </c>
      <c r="T10" s="1">
        <v>2.6814100000000001</v>
      </c>
      <c r="U10">
        <f>543961000*(1/48000000)</f>
        <v>11.332520833333334</v>
      </c>
      <c r="V10" s="1">
        <v>8081</v>
      </c>
      <c r="W10" s="1">
        <v>1.4515130000000001</v>
      </c>
      <c r="X10">
        <f>702411000*(1/48000000)</f>
        <v>14.6335625</v>
      </c>
      <c r="Y10" s="1">
        <v>9878</v>
      </c>
      <c r="Z10" s="1">
        <v>1.2571870000000001</v>
      </c>
      <c r="AA10">
        <f>850955000*(1/48000000)</f>
        <v>17.728229166666669</v>
      </c>
      <c r="AB10" s="1">
        <v>19786</v>
      </c>
      <c r="AC10" s="1">
        <v>2.7764E-2</v>
      </c>
      <c r="AD10" s="1">
        <f>ABS(AC10:AC82)</f>
        <v>2.7764E-2</v>
      </c>
      <c r="AE10">
        <f>1692480000*(1/48000000)</f>
        <v>35.260000000000005</v>
      </c>
      <c r="AF10">
        <v>29717</v>
      </c>
      <c r="AG10" s="1">
        <v>3.3891999999999999E-2</v>
      </c>
      <c r="AH10" s="1">
        <f t="shared" si="1"/>
        <v>3.3891999999999999E-2</v>
      </c>
      <c r="AI10">
        <f>2553568000*(1/48000000)</f>
        <v>53.199333333333335</v>
      </c>
      <c r="AJ10">
        <v>50382</v>
      </c>
      <c r="AK10" s="1">
        <v>-0.53311500000000001</v>
      </c>
      <c r="AL10">
        <f t="shared" si="2"/>
        <v>0.53311500000000001</v>
      </c>
      <c r="AM10">
        <f>(4309008*(1/48000000))*1000</f>
        <v>89.771000000000001</v>
      </c>
      <c r="AN10" s="1">
        <v>80506</v>
      </c>
      <c r="AO10" s="1">
        <v>-0.64356100000000005</v>
      </c>
      <c r="AP10" s="1">
        <f t="shared" si="3"/>
        <v>0.64356100000000005</v>
      </c>
      <c r="AQ10">
        <f>(6887673*(1/48000000))*1000</f>
        <v>143.4931875</v>
      </c>
      <c r="AR10" s="1">
        <v>99668</v>
      </c>
      <c r="AS10" s="1">
        <v>-0.41805500000000001</v>
      </c>
      <c r="AT10" s="1">
        <f t="shared" si="4"/>
        <v>0.41805500000000001</v>
      </c>
      <c r="AU10">
        <f>(8535004*(1/48000000))*1000</f>
        <v>177.81258333333335</v>
      </c>
    </row>
    <row r="11" spans="1:47" x14ac:dyDescent="0.2">
      <c r="A11">
        <v>989.3</v>
      </c>
      <c r="B11" s="1">
        <v>18.673853000000001</v>
      </c>
      <c r="C11">
        <f>98120000*(1/48000000)</f>
        <v>2.0441666666666669</v>
      </c>
      <c r="D11">
        <v>1193</v>
      </c>
      <c r="E11" s="1">
        <v>15.699854999999999</v>
      </c>
      <c r="F11">
        <f>112179000*(1/48000000)</f>
        <v>2.3370625</v>
      </c>
      <c r="G11">
        <v>1481</v>
      </c>
      <c r="H11" s="1">
        <v>11.554830000000001</v>
      </c>
      <c r="I11">
        <f>137909000*(1/48000000)</f>
        <v>2.8731041666666668</v>
      </c>
      <c r="J11">
        <v>1964.5</v>
      </c>
      <c r="K11" s="1">
        <v>7.1873500000000003</v>
      </c>
      <c r="L11" s="3">
        <f>180912000*(1/48000000)</f>
        <v>3.7690000000000001</v>
      </c>
      <c r="M11" s="1">
        <v>2933</v>
      </c>
      <c r="N11" s="1">
        <v>5.6994660000000001</v>
      </c>
      <c r="O11">
        <f>262890000*(1/48000000)</f>
        <v>5.4768750000000006</v>
      </c>
      <c r="P11" s="1">
        <v>5059</v>
      </c>
      <c r="Q11" s="1">
        <v>3.442469</v>
      </c>
      <c r="R11">
        <f>447979000*(1/48000000)</f>
        <v>9.3328958333333336</v>
      </c>
      <c r="S11" s="1">
        <v>6202</v>
      </c>
      <c r="T11" s="1">
        <v>2.512839</v>
      </c>
      <c r="U11">
        <f>541935000*(1/48000000)</f>
        <v>11.290312500000001</v>
      </c>
      <c r="V11" s="1">
        <v>8081</v>
      </c>
      <c r="W11" s="1">
        <v>0.85484700000000002</v>
      </c>
      <c r="X11">
        <f>702616000*(1/48000000)</f>
        <v>14.637833333333335</v>
      </c>
      <c r="Y11" s="1">
        <v>9878</v>
      </c>
      <c r="Z11" s="1">
        <v>0.58534799999999998</v>
      </c>
      <c r="AA11">
        <f>849634000*(1/48000000)</f>
        <v>17.700708333333335</v>
      </c>
      <c r="AB11" s="1">
        <v>19786</v>
      </c>
      <c r="AC11" s="1">
        <v>-6.1557000000000001E-2</v>
      </c>
      <c r="AD11" s="1">
        <f>ABS(AC11:AC83)</f>
        <v>6.1557000000000001E-2</v>
      </c>
      <c r="AE11">
        <f>1697464000*(1/48000000)</f>
        <v>35.363833333333332</v>
      </c>
      <c r="AF11">
        <v>29717</v>
      </c>
      <c r="AG11" s="1">
        <v>-0.14168</v>
      </c>
      <c r="AH11" s="1">
        <f t="shared" si="1"/>
        <v>0.14168</v>
      </c>
      <c r="AI11">
        <f>2533155000*(1/48000000)</f>
        <v>52.774062500000007</v>
      </c>
      <c r="AJ11">
        <v>50382</v>
      </c>
      <c r="AK11" s="1">
        <v>-0.48123100000000002</v>
      </c>
      <c r="AL11">
        <f t="shared" si="2"/>
        <v>0.48123100000000002</v>
      </c>
      <c r="AM11">
        <f>(4305443*(1/48000000))*1000</f>
        <v>89.696729166666671</v>
      </c>
      <c r="AN11" s="1">
        <v>80506</v>
      </c>
      <c r="AO11" s="1">
        <v>-0.14074700000000001</v>
      </c>
      <c r="AP11" s="1">
        <f t="shared" si="3"/>
        <v>0.14074700000000001</v>
      </c>
      <c r="AQ11">
        <f>(6891052*(1/48000000))*1000</f>
        <v>143.56358333333336</v>
      </c>
      <c r="AR11" s="1">
        <v>99668</v>
      </c>
      <c r="AS11" s="1">
        <v>-0.26856799999999997</v>
      </c>
      <c r="AT11" s="1">
        <f t="shared" si="4"/>
        <v>0.26856799999999997</v>
      </c>
      <c r="AU11">
        <f>(8537120*(1/48000000))*1000</f>
        <v>177.85666666666668</v>
      </c>
    </row>
    <row r="12" spans="1:47" x14ac:dyDescent="0.2">
      <c r="A12">
        <v>989.3</v>
      </c>
      <c r="B12" s="1">
        <v>17.457253000000001</v>
      </c>
      <c r="C12">
        <f>99136000*(1/48000000)</f>
        <v>2.0653333333333332</v>
      </c>
      <c r="D12">
        <v>1193</v>
      </c>
      <c r="E12" s="1">
        <v>16.228691999999999</v>
      </c>
      <c r="F12">
        <f>112110000*(1/48000000)</f>
        <v>2.3356250000000003</v>
      </c>
      <c r="G12">
        <v>1481</v>
      </c>
      <c r="H12" s="1">
        <v>10.784205</v>
      </c>
      <c r="I12">
        <f>138586000*(1/48000000)</f>
        <v>2.8872083333333336</v>
      </c>
      <c r="J12">
        <v>1964.5</v>
      </c>
      <c r="K12" s="1">
        <v>7.2270269999999996</v>
      </c>
      <c r="L12" s="3">
        <f>182682000*(1/48000000)</f>
        <v>3.8058750000000003</v>
      </c>
      <c r="M12" s="1">
        <v>2933</v>
      </c>
      <c r="N12" s="1">
        <v>5.6554029999999997</v>
      </c>
      <c r="O12">
        <f>263543000*(1/48000000)</f>
        <v>5.4904791666666668</v>
      </c>
      <c r="P12" s="1">
        <v>5059</v>
      </c>
      <c r="Q12" s="1">
        <v>3.559501</v>
      </c>
      <c r="R12">
        <f>447795000*(1/48000000)</f>
        <v>9.3290625000000009</v>
      </c>
      <c r="S12" s="1">
        <v>6202</v>
      </c>
      <c r="T12" s="1">
        <v>4.2583260000000003</v>
      </c>
      <c r="U12">
        <f>541504000*(1/48000000)</f>
        <v>11.281333333333334</v>
      </c>
      <c r="V12" s="1">
        <v>8081</v>
      </c>
      <c r="W12" s="1">
        <v>1.0622579999999999</v>
      </c>
      <c r="X12">
        <f>701310000*(1/48000000)</f>
        <v>14.610625000000001</v>
      </c>
      <c r="Y12" s="1">
        <v>9878</v>
      </c>
      <c r="Z12" s="1">
        <v>0.56412399999999996</v>
      </c>
      <c r="AA12">
        <f>854689000*(1/48000000)</f>
        <v>17.806020833333335</v>
      </c>
      <c r="AB12" s="1">
        <v>19786</v>
      </c>
      <c r="AC12" s="1">
        <v>-6.9138000000000005E-2</v>
      </c>
      <c r="AD12" s="1">
        <f t="shared" si="0"/>
        <v>6.9138000000000005E-2</v>
      </c>
      <c r="AE12">
        <f>1692614000*(1/48000000)</f>
        <v>35.262791666666672</v>
      </c>
      <c r="AF12">
        <v>29717</v>
      </c>
      <c r="AG12" s="1">
        <v>-0.46996599999999999</v>
      </c>
      <c r="AH12" s="1">
        <f t="shared" si="1"/>
        <v>0.46996599999999999</v>
      </c>
      <c r="AI12">
        <f>2549877000*(1/48000000)</f>
        <v>53.122437500000004</v>
      </c>
      <c r="AJ12">
        <v>50382</v>
      </c>
      <c r="AK12" s="1">
        <v>4.2969999999999996E-3</v>
      </c>
      <c r="AL12">
        <f t="shared" si="2"/>
        <v>4.2969999999999996E-3</v>
      </c>
      <c r="AM12">
        <f>(4309016*(1/48000000))*1000</f>
        <v>89.771166666666659</v>
      </c>
      <c r="AN12" s="1">
        <v>80506</v>
      </c>
      <c r="AO12" s="1">
        <v>8.1128000000000006E-2</v>
      </c>
      <c r="AP12" s="1">
        <f t="shared" si="3"/>
        <v>8.1128000000000006E-2</v>
      </c>
      <c r="AQ12">
        <f>(6889960*(1/48000000))*1000</f>
        <v>143.54083333333335</v>
      </c>
      <c r="AR12" s="1">
        <v>99668</v>
      </c>
      <c r="AS12" s="1">
        <v>-1.6472000000000001E-2</v>
      </c>
      <c r="AT12" s="1">
        <f t="shared" si="4"/>
        <v>1.6472000000000001E-2</v>
      </c>
      <c r="AU12">
        <f>(8507530*(1/48000000))*1000</f>
        <v>177.24020833333336</v>
      </c>
    </row>
    <row r="13" spans="1:47" x14ac:dyDescent="0.2">
      <c r="A13">
        <v>989.3</v>
      </c>
      <c r="B13" s="1">
        <v>17.561926</v>
      </c>
      <c r="C13">
        <f>97972000*(1/48000000)</f>
        <v>2.0410833333333334</v>
      </c>
      <c r="D13">
        <v>1193</v>
      </c>
      <c r="E13" s="1">
        <v>16.317160999999999</v>
      </c>
      <c r="F13">
        <f>112366000*(1/48000000)</f>
        <v>2.3409583333333335</v>
      </c>
      <c r="G13">
        <v>1481</v>
      </c>
      <c r="H13" s="1">
        <v>11.947177</v>
      </c>
      <c r="I13">
        <f>137936000*(1/48000000)</f>
        <v>2.8736666666666668</v>
      </c>
      <c r="J13">
        <v>1964.5</v>
      </c>
      <c r="K13" s="1">
        <v>7.3433789999999997</v>
      </c>
      <c r="L13" s="3">
        <f>181395000*(1/48000000)</f>
        <v>3.7790625000000002</v>
      </c>
      <c r="M13" s="1">
        <v>2933</v>
      </c>
      <c r="N13" s="1">
        <v>5.3964650000000001</v>
      </c>
      <c r="O13">
        <f>262740000*(1/48000000)</f>
        <v>5.4737499999999999</v>
      </c>
      <c r="P13" s="1">
        <v>5059</v>
      </c>
      <c r="Q13" s="1">
        <v>3.6498050000000002</v>
      </c>
      <c r="R13">
        <f>446719000*(1/48000000)</f>
        <v>9.3066458333333344</v>
      </c>
      <c r="S13" s="1">
        <v>6202</v>
      </c>
      <c r="T13" s="1">
        <v>2.592222</v>
      </c>
      <c r="U13">
        <f>542467000*(1/48000000)</f>
        <v>11.301395833333334</v>
      </c>
      <c r="V13" s="1">
        <v>8081</v>
      </c>
      <c r="W13" s="1">
        <v>1.1784079999999999</v>
      </c>
      <c r="X13">
        <f>704031000*(1/48000000)</f>
        <v>14.667312500000001</v>
      </c>
      <c r="Y13" s="1">
        <v>9878</v>
      </c>
      <c r="Z13" s="1">
        <v>1.025811</v>
      </c>
      <c r="AA13">
        <f>853381000*(1/48000000)</f>
        <v>17.778770833333333</v>
      </c>
      <c r="AB13" s="1">
        <v>19786</v>
      </c>
      <c r="AC13" s="1">
        <v>0.18127299999999999</v>
      </c>
      <c r="AD13" s="1">
        <f t="shared" si="0"/>
        <v>0.18127299999999999</v>
      </c>
      <c r="AE13">
        <f>1702990000*(1/48000000)</f>
        <v>35.478958333333338</v>
      </c>
      <c r="AF13">
        <v>29717</v>
      </c>
      <c r="AG13" s="1">
        <v>-0.37407499999999999</v>
      </c>
      <c r="AH13" s="1">
        <f t="shared" si="1"/>
        <v>0.37407499999999999</v>
      </c>
      <c r="AI13">
        <f>2550093000*(1/48000000)</f>
        <v>53.126937500000004</v>
      </c>
      <c r="AJ13">
        <v>50382</v>
      </c>
      <c r="AK13" s="1">
        <v>-0.191853</v>
      </c>
      <c r="AL13">
        <f t="shared" si="2"/>
        <v>0.191853</v>
      </c>
      <c r="AM13">
        <f>(4310829*(1/48000000))*1000</f>
        <v>89.808937499999999</v>
      </c>
      <c r="AN13" s="1">
        <v>80506</v>
      </c>
      <c r="AO13" s="1">
        <v>-0.705071</v>
      </c>
      <c r="AP13" s="1">
        <f t="shared" si="3"/>
        <v>0.705071</v>
      </c>
      <c r="AQ13">
        <f>(6881916*(1/48000000))*1000</f>
        <v>143.37325000000001</v>
      </c>
      <c r="AR13" s="1">
        <v>99668</v>
      </c>
      <c r="AS13" s="1">
        <v>-4.0224999999999997E-2</v>
      </c>
      <c r="AT13" s="1">
        <f t="shared" si="4"/>
        <v>4.0224999999999997E-2</v>
      </c>
      <c r="AU13">
        <f>(8511970*(1/48000000))*1000</f>
        <v>177.33270833333333</v>
      </c>
    </row>
    <row r="14" spans="1:47" x14ac:dyDescent="0.2">
      <c r="A14">
        <v>989.3</v>
      </c>
      <c r="B14" s="1">
        <v>16.646747999999999</v>
      </c>
      <c r="C14">
        <f>98607000*(1/48000000)</f>
        <v>2.0543125</v>
      </c>
      <c r="D14">
        <v>1193</v>
      </c>
      <c r="E14" s="1">
        <v>15.369783</v>
      </c>
      <c r="F14">
        <f>112105000*(1/48000000)</f>
        <v>2.3355208333333333</v>
      </c>
      <c r="G14">
        <v>1481</v>
      </c>
      <c r="H14" s="1">
        <v>11.152518000000001</v>
      </c>
      <c r="I14">
        <f>137456000*(1/48000000)</f>
        <v>2.863666666666667</v>
      </c>
      <c r="J14">
        <v>1964.5</v>
      </c>
      <c r="K14" s="1">
        <v>7.0289390000000003</v>
      </c>
      <c r="L14" s="3">
        <f>181005000*(1/48000000)</f>
        <v>3.7709375000000001</v>
      </c>
      <c r="M14" s="1">
        <v>2933</v>
      </c>
      <c r="N14" s="1">
        <v>5.270143</v>
      </c>
      <c r="O14">
        <f>263153000*(1/48000000)</f>
        <v>5.4823541666666671</v>
      </c>
      <c r="P14" s="1">
        <v>5059</v>
      </c>
      <c r="Q14" s="1">
        <v>3.4214150000000001</v>
      </c>
      <c r="R14">
        <f>448571000*(1/48000000)</f>
        <v>9.3452291666666678</v>
      </c>
      <c r="S14" s="1">
        <v>6202</v>
      </c>
      <c r="T14" s="1">
        <v>2.9131719999999999</v>
      </c>
      <c r="U14">
        <f>542855000*(1/48000000)</f>
        <v>11.309479166666668</v>
      </c>
      <c r="V14" s="1">
        <v>8081</v>
      </c>
      <c r="W14" s="1">
        <v>0.98209000000000002</v>
      </c>
      <c r="X14">
        <f>702052000*(1/48000000)</f>
        <v>14.626083333333334</v>
      </c>
      <c r="Y14" s="1">
        <v>9878</v>
      </c>
      <c r="Z14" s="1">
        <v>0.80716500000000002</v>
      </c>
      <c r="AA14">
        <f>851081000*(1/48000000)</f>
        <v>17.730854166666667</v>
      </c>
      <c r="AB14" s="1">
        <v>19786</v>
      </c>
      <c r="AC14" s="1">
        <v>0.21909999999999999</v>
      </c>
      <c r="AD14" s="1">
        <f t="shared" si="0"/>
        <v>0.21909999999999999</v>
      </c>
      <c r="AE14">
        <f>1701154000*(1/48000000)</f>
        <v>35.440708333333333</v>
      </c>
      <c r="AF14">
        <v>29717</v>
      </c>
      <c r="AG14" s="1">
        <v>-0.372112</v>
      </c>
      <c r="AH14" s="1">
        <f t="shared" si="1"/>
        <v>0.372112</v>
      </c>
      <c r="AI14">
        <f>2551002000*(1/48000000)</f>
        <v>53.145875000000004</v>
      </c>
      <c r="AJ14">
        <v>50382</v>
      </c>
      <c r="AK14" s="1">
        <v>-8.0416000000000001E-2</v>
      </c>
      <c r="AL14">
        <f t="shared" si="2"/>
        <v>8.0416000000000001E-2</v>
      </c>
      <c r="AM14">
        <f>(4308467*(1/48000000))*1000</f>
        <v>89.759729166666673</v>
      </c>
      <c r="AN14" s="1">
        <v>80506</v>
      </c>
      <c r="AO14" s="1">
        <v>-1.5939999999999999E-2</v>
      </c>
      <c r="AP14" s="1">
        <f t="shared" si="3"/>
        <v>1.5939999999999999E-2</v>
      </c>
      <c r="AQ14">
        <f>(6888345*(1/48000000))*1000</f>
        <v>143.50718750000001</v>
      </c>
      <c r="AR14" s="1">
        <v>99668</v>
      </c>
      <c r="AS14" s="1">
        <v>-0.14202799999999999</v>
      </c>
      <c r="AT14" s="1">
        <f t="shared" si="4"/>
        <v>0.14202799999999999</v>
      </c>
      <c r="AU14">
        <f>(8519644*(1/48000000))*1000</f>
        <v>177.49258333333333</v>
      </c>
    </row>
    <row r="15" spans="1:47" x14ac:dyDescent="0.2">
      <c r="A15">
        <v>989.3</v>
      </c>
      <c r="B15" s="1">
        <v>17.444613</v>
      </c>
      <c r="C15">
        <f>98324000*(1/48000000)</f>
        <v>2.0484166666666668</v>
      </c>
      <c r="D15">
        <v>1193</v>
      </c>
      <c r="E15" s="1">
        <v>15.528171</v>
      </c>
      <c r="F15">
        <f>112320000*(1/48000000)</f>
        <v>2.3400000000000003</v>
      </c>
      <c r="G15">
        <v>1481</v>
      </c>
      <c r="H15" s="1">
        <v>11.557881999999999</v>
      </c>
      <c r="I15">
        <f>137089000*(1/48000000)</f>
        <v>2.8560208333333335</v>
      </c>
      <c r="J15">
        <v>1964.5</v>
      </c>
      <c r="K15" s="1">
        <v>6.9948259999999998</v>
      </c>
      <c r="L15" s="3">
        <f>181829000*(1/48000000)</f>
        <v>3.7881041666666668</v>
      </c>
      <c r="M15" s="1">
        <v>2933</v>
      </c>
      <c r="N15" s="1">
        <v>5.816255</v>
      </c>
      <c r="O15">
        <f>263450000*(1/48000000)</f>
        <v>5.4885416666666673</v>
      </c>
      <c r="P15" s="1">
        <v>5059</v>
      </c>
      <c r="Q15" s="1">
        <v>3.3751220000000002</v>
      </c>
      <c r="R15">
        <f>449316000*(1/48000000)</f>
        <v>9.3607500000000012</v>
      </c>
      <c r="S15" s="1">
        <v>6202</v>
      </c>
      <c r="T15" s="1">
        <v>2.6161270000000001</v>
      </c>
      <c r="U15">
        <f>543248000*(1/48000000)</f>
        <v>11.317666666666668</v>
      </c>
      <c r="V15" s="1">
        <v>8081</v>
      </c>
      <c r="W15" s="1">
        <v>0.887799</v>
      </c>
      <c r="X15">
        <f>702570000*(1/48000000)</f>
        <v>14.636875000000002</v>
      </c>
      <c r="Y15" s="1">
        <v>9878</v>
      </c>
      <c r="Z15" s="1">
        <v>1.039312</v>
      </c>
      <c r="AA15">
        <f>850928000*(1/48000000)</f>
        <v>17.727666666666668</v>
      </c>
      <c r="AB15" s="1">
        <v>19786</v>
      </c>
      <c r="AC15" s="1">
        <v>4.241E-3</v>
      </c>
      <c r="AD15" s="1">
        <f t="shared" si="0"/>
        <v>4.241E-3</v>
      </c>
      <c r="AE15">
        <f>1700160000*(1/48000000)</f>
        <v>35.42</v>
      </c>
      <c r="AF15">
        <v>29717</v>
      </c>
      <c r="AG15" s="1">
        <v>-0.15288199999999999</v>
      </c>
      <c r="AH15" s="1">
        <f t="shared" si="1"/>
        <v>0.15288199999999999</v>
      </c>
      <c r="AI15">
        <f>2538979000*(1/48000000)</f>
        <v>52.895395833333339</v>
      </c>
      <c r="AJ15">
        <v>50382</v>
      </c>
      <c r="AK15" s="1">
        <v>-0.19652900000000001</v>
      </c>
      <c r="AL15">
        <f t="shared" si="2"/>
        <v>0.19652900000000001</v>
      </c>
      <c r="AM15">
        <f>(4304631*(1/48000000))*1000</f>
        <v>89.679812500000011</v>
      </c>
      <c r="AN15" s="1">
        <v>80506</v>
      </c>
      <c r="AO15" s="1">
        <v>-0.24941099999999999</v>
      </c>
      <c r="AP15" s="1">
        <f t="shared" si="3"/>
        <v>0.24941099999999999</v>
      </c>
      <c r="AQ15">
        <f>(6889136*(1/48000000))*1000</f>
        <v>143.52366666666668</v>
      </c>
      <c r="AR15" s="1">
        <v>99668</v>
      </c>
      <c r="AS15" s="1">
        <v>6.6942000000000002E-2</v>
      </c>
      <c r="AT15" s="1">
        <f t="shared" si="4"/>
        <v>6.6942000000000002E-2</v>
      </c>
      <c r="AU15">
        <f>(8534274*(1/48000000))*1000</f>
        <v>177.79737500000002</v>
      </c>
    </row>
    <row r="16" spans="1:47" x14ac:dyDescent="0.2">
      <c r="A16">
        <v>989.3</v>
      </c>
      <c r="B16" s="1">
        <v>18.618773000000001</v>
      </c>
      <c r="C16">
        <f>98645000*(1/48000000)</f>
        <v>2.0551041666666667</v>
      </c>
      <c r="D16">
        <v>1193</v>
      </c>
      <c r="E16" s="1">
        <v>15.087243000000001</v>
      </c>
      <c r="F16">
        <f>111309000*(1/48000000)</f>
        <v>2.3189375000000001</v>
      </c>
      <c r="G16">
        <v>1481</v>
      </c>
      <c r="H16" s="1">
        <v>10.792529</v>
      </c>
      <c r="I16">
        <f>138005000*(1/48000000)</f>
        <v>2.875104166666667</v>
      </c>
      <c r="J16">
        <v>1964.5</v>
      </c>
      <c r="K16" s="1">
        <v>7.3946209999999999</v>
      </c>
      <c r="L16" s="3">
        <f>181920000*(1/48000000)</f>
        <v>3.79</v>
      </c>
      <c r="M16" s="1">
        <v>2933</v>
      </c>
      <c r="N16" s="1">
        <v>5.4159829999999998</v>
      </c>
      <c r="O16">
        <f>263332000*(1/48000000)</f>
        <v>5.4860833333333341</v>
      </c>
      <c r="P16" s="1">
        <v>5059</v>
      </c>
      <c r="Q16" s="1">
        <v>3.3735580000000001</v>
      </c>
      <c r="R16">
        <f>446388000*(1/48000000)</f>
        <v>9.2997500000000013</v>
      </c>
      <c r="S16" s="1">
        <v>6202</v>
      </c>
      <c r="T16" s="1">
        <v>2.8274789999999999</v>
      </c>
      <c r="U16">
        <f>544543000*(1/48000000)</f>
        <v>11.344645833333335</v>
      </c>
      <c r="V16" s="1">
        <v>8081</v>
      </c>
      <c r="W16" s="1">
        <v>0.84895200000000004</v>
      </c>
      <c r="X16">
        <f>702081000*(1/48000000)</f>
        <v>14.626687500000001</v>
      </c>
      <c r="Y16" s="1">
        <v>9878</v>
      </c>
      <c r="Z16" s="1">
        <v>0.72115099999999999</v>
      </c>
      <c r="AA16">
        <f>852746000*(1/48000000)</f>
        <v>17.765541666666667</v>
      </c>
      <c r="AB16" s="1">
        <v>19786</v>
      </c>
      <c r="AC16" s="1">
        <v>0.45907399999999998</v>
      </c>
      <c r="AD16" s="1">
        <f t="shared" si="0"/>
        <v>0.45907399999999998</v>
      </c>
      <c r="AE16">
        <f>1689548000*(1/48000000)</f>
        <v>35.198916666666669</v>
      </c>
      <c r="AF16">
        <v>29717</v>
      </c>
      <c r="AG16" s="1">
        <v>-7.0735000000000006E-2</v>
      </c>
      <c r="AH16" s="1">
        <f t="shared" si="1"/>
        <v>7.0735000000000006E-2</v>
      </c>
      <c r="AI16">
        <f>2553537000*(1/48000000)</f>
        <v>53.198687500000005</v>
      </c>
      <c r="AJ16">
        <v>50382</v>
      </c>
      <c r="AK16" s="1">
        <v>-0.60782199999999997</v>
      </c>
      <c r="AL16">
        <f t="shared" si="2"/>
        <v>0.60782199999999997</v>
      </c>
      <c r="AM16">
        <f>(4308456*(1/48000000))*1000</f>
        <v>89.759500000000003</v>
      </c>
      <c r="AN16" s="1">
        <v>80506</v>
      </c>
      <c r="AO16" s="1">
        <v>-0.27851500000000001</v>
      </c>
      <c r="AP16" s="1">
        <f t="shared" si="3"/>
        <v>0.27851500000000001</v>
      </c>
      <c r="AQ16">
        <f>(6887716*(1/48000000))*1000</f>
        <v>143.49408333333335</v>
      </c>
      <c r="AR16" s="1">
        <v>99668</v>
      </c>
      <c r="AS16" s="1">
        <v>-0.57555900000000004</v>
      </c>
      <c r="AT16" s="1">
        <f t="shared" si="4"/>
        <v>0.57555900000000004</v>
      </c>
      <c r="AU16">
        <f>(8534524*(1/48000000))*1000</f>
        <v>177.80258333333336</v>
      </c>
    </row>
    <row r="17" spans="1:47" x14ac:dyDescent="0.2">
      <c r="A17">
        <v>989.3</v>
      </c>
      <c r="B17" s="1">
        <v>17.556885000000001</v>
      </c>
      <c r="C17">
        <f>98923000*(1/48000000)</f>
        <v>2.0608958333333334</v>
      </c>
      <c r="D17">
        <v>1193</v>
      </c>
      <c r="E17" s="1">
        <v>15.870799</v>
      </c>
      <c r="F17">
        <f>111882000*(1/48000000)</f>
        <v>2.3308750000000003</v>
      </c>
      <c r="G17">
        <v>1481</v>
      </c>
      <c r="H17" s="1">
        <v>10.956379</v>
      </c>
      <c r="I17">
        <f>138119000*(1/48000000)</f>
        <v>2.8774791666666668</v>
      </c>
      <c r="J17">
        <v>1964.5</v>
      </c>
      <c r="K17" s="1">
        <v>7.4260770000000003</v>
      </c>
      <c r="L17" s="3">
        <f>181559000*(1/48000000)</f>
        <v>3.7824791666666671</v>
      </c>
      <c r="M17" s="1">
        <v>2933</v>
      </c>
      <c r="N17" s="1">
        <v>5.7823719999999996</v>
      </c>
      <c r="O17">
        <f>262754000*(1/48000000)</f>
        <v>5.4740416666666674</v>
      </c>
      <c r="P17" s="1">
        <v>5059</v>
      </c>
      <c r="Q17" s="1">
        <v>3.981268</v>
      </c>
      <c r="R17">
        <f>450127000*(1/48000000)</f>
        <v>9.3776458333333341</v>
      </c>
      <c r="S17" s="1">
        <v>6202</v>
      </c>
      <c r="T17" s="1">
        <v>3.3646660000000002</v>
      </c>
      <c r="U17">
        <f>543897000*(1/48000000)</f>
        <v>11.3311875</v>
      </c>
      <c r="V17" s="1">
        <v>8081</v>
      </c>
      <c r="W17" s="1">
        <v>1.209103</v>
      </c>
      <c r="X17">
        <f>701258000*(1/48000000)</f>
        <v>14.609541666666667</v>
      </c>
      <c r="Y17" s="1">
        <v>9878</v>
      </c>
      <c r="Z17" s="1">
        <v>1.0882270000000001</v>
      </c>
      <c r="AA17">
        <f>852090000*(1/48000000)</f>
        <v>17.751875000000002</v>
      </c>
      <c r="AB17" s="1">
        <v>19786</v>
      </c>
      <c r="AC17" s="1">
        <v>1.9633999999999999E-2</v>
      </c>
      <c r="AD17" s="1">
        <f t="shared" si="0"/>
        <v>1.9633999999999999E-2</v>
      </c>
      <c r="AE17">
        <f>1700404000*(1/48000000)</f>
        <v>35.425083333333333</v>
      </c>
      <c r="AF17">
        <v>29717</v>
      </c>
      <c r="AG17" s="1">
        <v>-0.25140200000000001</v>
      </c>
      <c r="AH17" s="1">
        <f t="shared" si="1"/>
        <v>0.25140200000000001</v>
      </c>
      <c r="AI17">
        <f>2551040000*(1/48000000)</f>
        <v>53.146666666666668</v>
      </c>
      <c r="AJ17">
        <v>50382</v>
      </c>
      <c r="AK17" s="1">
        <v>0.15171599999999999</v>
      </c>
      <c r="AL17">
        <f t="shared" si="2"/>
        <v>0.15171599999999999</v>
      </c>
      <c r="AM17">
        <f>(4297814*(1/48000000))*1000</f>
        <v>89.537791666666678</v>
      </c>
      <c r="AN17" s="1">
        <v>80506</v>
      </c>
      <c r="AO17" s="1">
        <v>-0.28168399999999999</v>
      </c>
      <c r="AP17" s="1">
        <f t="shared" si="3"/>
        <v>0.28168399999999999</v>
      </c>
      <c r="AQ17">
        <f>(6884158*(1/48000000))*1000</f>
        <v>143.41995833333334</v>
      </c>
      <c r="AR17" s="1">
        <v>99668</v>
      </c>
      <c r="AS17" s="1">
        <v>-0.34130199999999999</v>
      </c>
      <c r="AT17" s="1">
        <f t="shared" si="4"/>
        <v>0.34130199999999999</v>
      </c>
      <c r="AU17">
        <f>(8542773*(1/48000000))*1000</f>
        <v>177.97443749999999</v>
      </c>
    </row>
    <row r="18" spans="1:47" x14ac:dyDescent="0.2">
      <c r="A18">
        <v>989.3</v>
      </c>
      <c r="B18" s="1">
        <v>16.930982</v>
      </c>
      <c r="C18">
        <f>98898000*(1/48000000)</f>
        <v>2.0603750000000001</v>
      </c>
      <c r="D18">
        <v>1193</v>
      </c>
      <c r="E18" s="1">
        <v>16.346492999999999</v>
      </c>
      <c r="F18">
        <f>112506000*(1/48000000)</f>
        <v>2.3438750000000002</v>
      </c>
      <c r="G18">
        <v>1481</v>
      </c>
      <c r="H18" s="1">
        <v>11.682148</v>
      </c>
      <c r="I18">
        <f>137805000*(1/48000000)</f>
        <v>2.8709375000000001</v>
      </c>
      <c r="J18">
        <v>1964.5</v>
      </c>
      <c r="K18" s="1">
        <v>7.1431579999999997</v>
      </c>
      <c r="L18" s="3">
        <f>180612000*(1/48000000)</f>
        <v>3.76275</v>
      </c>
      <c r="M18" s="1">
        <v>2933</v>
      </c>
      <c r="N18" s="1">
        <v>5.7830370000000002</v>
      </c>
      <c r="O18">
        <f>262815000*(1/48000000)</f>
        <v>5.4753125000000002</v>
      </c>
      <c r="P18" s="1">
        <v>5059</v>
      </c>
      <c r="Q18" s="1">
        <v>3.390355</v>
      </c>
      <c r="R18">
        <f>447259000*(1/48000000)</f>
        <v>9.317895833333333</v>
      </c>
      <c r="S18" s="1">
        <v>6202</v>
      </c>
      <c r="T18" s="1">
        <v>2.4434269999999998</v>
      </c>
      <c r="U18">
        <f>541556000*(1/48000000)</f>
        <v>11.282416666666668</v>
      </c>
      <c r="V18" s="1">
        <v>8081</v>
      </c>
      <c r="W18" s="1">
        <v>0.94597500000000001</v>
      </c>
      <c r="X18">
        <f>700355000*(1/48000000)</f>
        <v>14.590729166666668</v>
      </c>
      <c r="Y18" s="1">
        <v>9878</v>
      </c>
      <c r="Z18" s="1">
        <v>0.49587300000000001</v>
      </c>
      <c r="AA18">
        <f>850383000*(1/48000000)</f>
        <v>17.716312500000001</v>
      </c>
      <c r="AB18" s="1">
        <v>19786</v>
      </c>
      <c r="AC18" s="1">
        <v>-0.23028499999999999</v>
      </c>
      <c r="AD18" s="1">
        <f t="shared" si="0"/>
        <v>0.23028499999999999</v>
      </c>
      <c r="AE18">
        <f>1700777000*(1/48000000)</f>
        <v>35.432854166666672</v>
      </c>
      <c r="AF18">
        <v>29717</v>
      </c>
      <c r="AG18" s="1">
        <v>9.8355999999999999E-2</v>
      </c>
      <c r="AH18" s="1">
        <f t="shared" si="1"/>
        <v>9.8355999999999999E-2</v>
      </c>
      <c r="AI18">
        <f>2551607000*(1/48000000)</f>
        <v>53.158479166666673</v>
      </c>
      <c r="AJ18">
        <v>50382</v>
      </c>
      <c r="AK18" s="1">
        <v>-0.143154</v>
      </c>
      <c r="AL18">
        <f t="shared" si="2"/>
        <v>0.143154</v>
      </c>
      <c r="AM18">
        <f>(4301106*(1/48000000))*1000</f>
        <v>89.606375</v>
      </c>
      <c r="AN18" s="1">
        <v>80506</v>
      </c>
      <c r="AO18" s="1">
        <v>0.10188999999999999</v>
      </c>
      <c r="AP18" s="1">
        <f t="shared" si="3"/>
        <v>0.10188999999999999</v>
      </c>
      <c r="AQ18">
        <f>(6855625*(1/48000000))*1000</f>
        <v>142.82552083333334</v>
      </c>
      <c r="AR18" s="1">
        <v>99668</v>
      </c>
      <c r="AS18" s="1">
        <v>-7.4040999999999996E-2</v>
      </c>
      <c r="AT18" s="1">
        <f t="shared" si="4"/>
        <v>7.4040999999999996E-2</v>
      </c>
      <c r="AU18">
        <f>(8536002*(1/48000000))*1000</f>
        <v>177.83337500000002</v>
      </c>
    </row>
    <row r="19" spans="1:47" x14ac:dyDescent="0.2">
      <c r="A19">
        <v>989.3</v>
      </c>
      <c r="B19" s="1">
        <v>17.728876</v>
      </c>
      <c r="C19">
        <f>99301000*(1/48000000)</f>
        <v>2.0687708333333337</v>
      </c>
      <c r="D19">
        <v>1193</v>
      </c>
      <c r="E19" s="1">
        <v>15.18695</v>
      </c>
      <c r="F19">
        <f>112870000*(1/48000000)</f>
        <v>2.3514583333333334</v>
      </c>
      <c r="G19">
        <v>1481</v>
      </c>
      <c r="H19" s="1">
        <v>11.268496000000001</v>
      </c>
      <c r="I19">
        <f>138304000*(1/48000000)</f>
        <v>2.8813333333333335</v>
      </c>
      <c r="J19">
        <v>1964.5</v>
      </c>
      <c r="K19" s="1">
        <v>6.5605070000000003</v>
      </c>
      <c r="L19" s="3">
        <f>181578000*(1/48000000)</f>
        <v>3.7828750000000002</v>
      </c>
      <c r="M19" s="1">
        <v>2933</v>
      </c>
      <c r="N19" s="1">
        <v>5.308516</v>
      </c>
      <c r="O19">
        <f>263015000*(1/48000000)</f>
        <v>5.4794791666666667</v>
      </c>
      <c r="P19" s="1">
        <v>5059</v>
      </c>
      <c r="Q19" s="1">
        <v>3.923381</v>
      </c>
      <c r="R19">
        <f>447907000*(1/48000000)</f>
        <v>9.3313958333333336</v>
      </c>
      <c r="S19" s="1">
        <v>6202</v>
      </c>
      <c r="T19" s="1">
        <v>2.4950749999999999</v>
      </c>
      <c r="U19">
        <f>543845000*(1/48000000)</f>
        <v>11.330104166666667</v>
      </c>
      <c r="V19" s="1">
        <v>8081</v>
      </c>
      <c r="W19" s="1">
        <v>1.674798</v>
      </c>
      <c r="X19">
        <f>705582000*(1/48000000)</f>
        <v>14.699625000000001</v>
      </c>
      <c r="Y19" s="1">
        <v>9878</v>
      </c>
      <c r="Z19" s="1">
        <v>0.99351</v>
      </c>
      <c r="AA19">
        <f>851425000*(1/48000000)</f>
        <v>17.738020833333334</v>
      </c>
      <c r="AB19" s="1">
        <v>19786</v>
      </c>
      <c r="AC19" s="1">
        <v>0.36715799999999998</v>
      </c>
      <c r="AD19" s="1">
        <f t="shared" si="0"/>
        <v>0.36715799999999998</v>
      </c>
      <c r="AE19">
        <f>1701196000*(1/48000000)</f>
        <v>35.441583333333334</v>
      </c>
      <c r="AF19">
        <v>29717</v>
      </c>
      <c r="AG19" s="1">
        <v>-0.27766400000000002</v>
      </c>
      <c r="AH19" s="1">
        <f t="shared" si="1"/>
        <v>0.27766400000000002</v>
      </c>
      <c r="AI19">
        <f>2552649000*(1/48000000)</f>
        <v>53.180187500000002</v>
      </c>
      <c r="AJ19">
        <v>50382</v>
      </c>
      <c r="AK19" s="1">
        <v>-0.10985399999999999</v>
      </c>
      <c r="AL19">
        <f t="shared" si="2"/>
        <v>0.10985399999999999</v>
      </c>
      <c r="AM19">
        <f>(4301673*(1/48000000))*1000</f>
        <v>89.618187500000005</v>
      </c>
      <c r="AN19" s="1">
        <v>80506</v>
      </c>
      <c r="AO19" s="1">
        <v>-0.190356</v>
      </c>
      <c r="AP19" s="1">
        <f t="shared" si="3"/>
        <v>0.190356</v>
      </c>
      <c r="AQ19">
        <f>(6889507*(1/48000000))*1000</f>
        <v>143.53139583333336</v>
      </c>
      <c r="AR19" s="1">
        <v>99668</v>
      </c>
      <c r="AS19" s="1">
        <v>-0.15661900000000001</v>
      </c>
      <c r="AT19" s="1">
        <f t="shared" si="4"/>
        <v>0.15661900000000001</v>
      </c>
      <c r="AU19">
        <f>(8537472*(1/48000000))*1000</f>
        <v>177.86400000000003</v>
      </c>
    </row>
    <row r="20" spans="1:47" x14ac:dyDescent="0.2">
      <c r="A20">
        <v>989.3</v>
      </c>
      <c r="B20" s="1">
        <v>17.521673</v>
      </c>
      <c r="C20">
        <f>98264000*(1/48000000)</f>
        <v>2.0471666666666666</v>
      </c>
      <c r="D20">
        <v>1193</v>
      </c>
      <c r="E20" s="1">
        <v>16.26135</v>
      </c>
      <c r="F20">
        <f>112246000*(1/48000000)</f>
        <v>2.3384583333333335</v>
      </c>
      <c r="G20">
        <v>1481</v>
      </c>
      <c r="H20" s="1">
        <v>10.781828000000001</v>
      </c>
      <c r="I20">
        <f>137401000*(1/48000000)</f>
        <v>2.8625208333333334</v>
      </c>
      <c r="J20">
        <v>1964.5</v>
      </c>
      <c r="K20" s="1">
        <v>7.7333220000000003</v>
      </c>
      <c r="L20" s="3">
        <f>181878000*(1/48000000)</f>
        <v>3.7891250000000003</v>
      </c>
      <c r="M20" s="1">
        <v>2933</v>
      </c>
      <c r="N20" s="1">
        <v>5.9025129999999999</v>
      </c>
      <c r="O20">
        <f>263390000*(1/48000000)</f>
        <v>5.4872916666666667</v>
      </c>
      <c r="P20" s="1">
        <v>5059</v>
      </c>
      <c r="Q20" s="1">
        <v>3.0142699999999998</v>
      </c>
      <c r="R20">
        <f>448686000*(1/48000000)</f>
        <v>9.3476250000000007</v>
      </c>
      <c r="S20" s="1">
        <v>6202</v>
      </c>
      <c r="T20" s="1">
        <v>2.580603</v>
      </c>
      <c r="U20">
        <f>542932000*(1/48000000)</f>
        <v>11.311083333333334</v>
      </c>
      <c r="V20" s="1">
        <v>8081</v>
      </c>
      <c r="W20" s="1">
        <v>1.266238</v>
      </c>
      <c r="X20">
        <f>700121000*(1/48000000)</f>
        <v>14.585854166666667</v>
      </c>
      <c r="Y20" s="1">
        <v>9878</v>
      </c>
      <c r="Z20" s="1">
        <v>0.45391700000000001</v>
      </c>
      <c r="AA20">
        <f>851068000*(1/48000000)</f>
        <v>17.730583333333335</v>
      </c>
      <c r="AB20" s="1">
        <v>19786</v>
      </c>
      <c r="AC20" s="1">
        <v>7.0100000000000002E-4</v>
      </c>
      <c r="AD20" s="1">
        <f t="shared" si="0"/>
        <v>7.0100000000000002E-4</v>
      </c>
      <c r="AE20">
        <f>1694256000*(1/48000000)</f>
        <v>35.297000000000004</v>
      </c>
      <c r="AF20">
        <v>29717</v>
      </c>
      <c r="AG20" s="1">
        <v>6.4492999999999995E-2</v>
      </c>
      <c r="AH20" s="1">
        <f t="shared" si="1"/>
        <v>6.4492999999999995E-2</v>
      </c>
      <c r="AI20">
        <f>2542075000*(1/48000000)</f>
        <v>52.959895833333334</v>
      </c>
      <c r="AJ20">
        <v>50382</v>
      </c>
      <c r="AK20" s="1">
        <v>-0.28093099999999999</v>
      </c>
      <c r="AL20">
        <f t="shared" si="2"/>
        <v>0.28093099999999999</v>
      </c>
      <c r="AM20">
        <f>(4310972*(1/48000000))*1000</f>
        <v>89.811916666666676</v>
      </c>
      <c r="AN20" s="1">
        <v>80506</v>
      </c>
      <c r="AO20" s="1">
        <v>-0.82460199999999995</v>
      </c>
      <c r="AP20" s="1">
        <f t="shared" si="3"/>
        <v>0.82460199999999995</v>
      </c>
      <c r="AQ20">
        <f>(6869822*(1/48000000))*1000</f>
        <v>143.12129166666668</v>
      </c>
      <c r="AR20" s="1">
        <v>99668</v>
      </c>
      <c r="AS20" s="1">
        <v>-0.25609300000000002</v>
      </c>
      <c r="AT20" s="1">
        <f t="shared" si="4"/>
        <v>0.25609300000000002</v>
      </c>
      <c r="AU20">
        <f>(8536026*(1/48000000))*1000</f>
        <v>177.83387500000001</v>
      </c>
    </row>
    <row r="21" spans="1:47" x14ac:dyDescent="0.2">
      <c r="A21">
        <v>989.3</v>
      </c>
      <c r="B21" s="1">
        <v>17.091908</v>
      </c>
      <c r="C21">
        <f>98827000*(1/48000000)</f>
        <v>2.0588958333333336</v>
      </c>
      <c r="D21">
        <v>1193</v>
      </c>
      <c r="E21" s="1">
        <v>16.962765000000001</v>
      </c>
      <c r="F21">
        <f>113351000*(1/48000000)</f>
        <v>2.3614791666666668</v>
      </c>
      <c r="G21">
        <v>1481</v>
      </c>
      <c r="H21" s="1">
        <v>11.731801000000001</v>
      </c>
      <c r="I21">
        <f>137939000*(1/48000000)</f>
        <v>2.8737291666666667</v>
      </c>
      <c r="J21">
        <v>1964.5</v>
      </c>
      <c r="K21" s="1">
        <v>7.0915169999999996</v>
      </c>
      <c r="L21" s="3">
        <f>182663000*(1/48000000)</f>
        <v>3.8054791666666667</v>
      </c>
      <c r="M21" s="1">
        <v>2933</v>
      </c>
      <c r="N21" s="1">
        <v>5.5005579999999998</v>
      </c>
      <c r="O21">
        <f>263805000*(1/48000000)</f>
        <v>5.4959375000000001</v>
      </c>
      <c r="P21" s="1">
        <v>5059</v>
      </c>
      <c r="Q21" s="1">
        <v>3.5254150000000002</v>
      </c>
      <c r="R21">
        <f>449466000*(1/48000000)</f>
        <v>9.3638750000000002</v>
      </c>
      <c r="S21" s="1">
        <v>6202</v>
      </c>
      <c r="T21" s="1">
        <v>3.0766559999999998</v>
      </c>
      <c r="U21">
        <f>542973000*(1/48000000)</f>
        <v>11.311937500000001</v>
      </c>
      <c r="V21" s="1">
        <v>8081</v>
      </c>
      <c r="W21" s="1">
        <v>1.0926469999999999</v>
      </c>
      <c r="X21">
        <f>702708000*(1/48000000)</f>
        <v>14.639750000000001</v>
      </c>
      <c r="Y21" s="1">
        <v>9878</v>
      </c>
      <c r="Z21" s="1">
        <v>1.298378</v>
      </c>
      <c r="AA21">
        <f>853002000*(1/48000000)</f>
        <v>17.770875</v>
      </c>
      <c r="AB21" s="1">
        <v>19786</v>
      </c>
      <c r="AC21" s="1">
        <v>-9.1761999999999996E-2</v>
      </c>
      <c r="AD21" s="1">
        <f t="shared" si="0"/>
        <v>9.1761999999999996E-2</v>
      </c>
      <c r="AE21">
        <f>1691939000*(1/48000000)</f>
        <v>35.248729166666671</v>
      </c>
      <c r="AF21">
        <v>29717</v>
      </c>
      <c r="AG21" s="1">
        <v>9.2221999999999998E-2</v>
      </c>
      <c r="AH21" s="1">
        <f t="shared" si="1"/>
        <v>9.2221999999999998E-2</v>
      </c>
      <c r="AI21">
        <f>2552288000*(1/48000000)</f>
        <v>53.172666666666672</v>
      </c>
      <c r="AJ21">
        <v>50382</v>
      </c>
      <c r="AK21" s="1">
        <v>4.8745999999999998E-2</v>
      </c>
      <c r="AL21">
        <f t="shared" si="2"/>
        <v>4.8745999999999998E-2</v>
      </c>
      <c r="AM21">
        <f>(4310406*(1/48000000))*1000</f>
        <v>89.800125000000008</v>
      </c>
      <c r="AN21" s="1">
        <v>80506</v>
      </c>
      <c r="AO21" s="1">
        <v>-0.16752400000000001</v>
      </c>
      <c r="AP21" s="1">
        <f t="shared" si="3"/>
        <v>0.16752400000000001</v>
      </c>
      <c r="AQ21">
        <f>(6879949*(1/48000000))*1000</f>
        <v>143.33227083333333</v>
      </c>
      <c r="AR21" s="1">
        <v>99668</v>
      </c>
      <c r="AS21" s="1">
        <v>-0.30444599999999999</v>
      </c>
      <c r="AT21" s="1">
        <f t="shared" si="4"/>
        <v>0.30444599999999999</v>
      </c>
      <c r="AU21">
        <f>(8531838*(1/48000000))*1000</f>
        <v>177.74662500000002</v>
      </c>
    </row>
    <row r="22" spans="1:47" x14ac:dyDescent="0.2">
      <c r="A22">
        <v>989.3</v>
      </c>
      <c r="B22" s="1">
        <v>17.074088</v>
      </c>
      <c r="C22">
        <f>97587000*(1/48000000)</f>
        <v>2.0330625000000002</v>
      </c>
      <c r="D22">
        <v>1193</v>
      </c>
      <c r="E22" s="1">
        <v>14.945346000000001</v>
      </c>
      <c r="F22">
        <f>112784000*(1/48000000)</f>
        <v>2.3496666666666668</v>
      </c>
      <c r="G22">
        <v>1481</v>
      </c>
      <c r="H22" s="1">
        <v>11.622750999999999</v>
      </c>
      <c r="I22">
        <f>138542000*(1/48000000)</f>
        <v>2.8862916666666667</v>
      </c>
      <c r="J22">
        <v>1964.5</v>
      </c>
      <c r="K22" s="1">
        <v>6.993538</v>
      </c>
      <c r="L22" s="3">
        <f>180380000*(1/48000000)</f>
        <v>3.757916666666667</v>
      </c>
      <c r="M22" s="1">
        <v>2933</v>
      </c>
      <c r="N22" s="1">
        <v>6.0795070000000004</v>
      </c>
      <c r="O22">
        <f>263504000*(1/48000000)</f>
        <v>5.4896666666666674</v>
      </c>
      <c r="P22" s="1">
        <v>5059</v>
      </c>
      <c r="Q22" s="1">
        <v>4.519641</v>
      </c>
      <c r="R22">
        <f>449626000*(1/48000000)</f>
        <v>9.367208333333334</v>
      </c>
      <c r="S22" s="1">
        <v>6202</v>
      </c>
      <c r="T22" s="1">
        <v>3.5042879999999998</v>
      </c>
      <c r="U22">
        <f>542435000*(1/48000000)</f>
        <v>11.300729166666667</v>
      </c>
      <c r="V22" s="1">
        <v>8081</v>
      </c>
      <c r="W22" s="1">
        <v>1.3338270000000001</v>
      </c>
      <c r="X22">
        <f>704133000*(1/48000000)</f>
        <v>14.669437500000001</v>
      </c>
      <c r="Y22" s="1">
        <v>9878</v>
      </c>
      <c r="Z22" s="1">
        <v>0.72303899999999999</v>
      </c>
      <c r="AA22">
        <f>852588000*(1/48000000)</f>
        <v>17.762250000000002</v>
      </c>
      <c r="AB22" s="1">
        <v>19786</v>
      </c>
      <c r="AC22" s="1">
        <v>-4.8641999999999998E-2</v>
      </c>
      <c r="AD22" s="1">
        <f t="shared" si="0"/>
        <v>4.8641999999999998E-2</v>
      </c>
      <c r="AE22">
        <f>1701546000*(1/48000000)</f>
        <v>35.448875000000001</v>
      </c>
      <c r="AF22">
        <v>29717</v>
      </c>
      <c r="AG22" s="1">
        <v>1.9296000000000001E-2</v>
      </c>
      <c r="AH22" s="1">
        <f t="shared" si="1"/>
        <v>1.9296000000000001E-2</v>
      </c>
      <c r="AI22">
        <f>2550312000*(1/48000000)</f>
        <v>53.131500000000003</v>
      </c>
      <c r="AJ22">
        <v>50382</v>
      </c>
      <c r="AK22" s="1">
        <v>-0.20393</v>
      </c>
      <c r="AL22">
        <f t="shared" si="2"/>
        <v>0.20393</v>
      </c>
      <c r="AM22">
        <f>(4308539*(1/48000000))*1000</f>
        <v>89.761229166666681</v>
      </c>
      <c r="AN22" s="1">
        <v>80506</v>
      </c>
      <c r="AO22" s="1">
        <v>-0.39915899999999999</v>
      </c>
      <c r="AP22" s="1">
        <f t="shared" si="3"/>
        <v>0.39915899999999999</v>
      </c>
      <c r="AQ22">
        <f>(6887576*(1/48000000))*1000</f>
        <v>143.49116666666666</v>
      </c>
      <c r="AR22" s="1">
        <v>99668</v>
      </c>
      <c r="AS22" s="1">
        <v>4.5489000000000002E-2</v>
      </c>
      <c r="AT22" s="1">
        <f t="shared" si="4"/>
        <v>4.5489000000000002E-2</v>
      </c>
      <c r="AU22">
        <f>(8522644*(1/48000000))*1000</f>
        <v>177.55508333333333</v>
      </c>
    </row>
    <row r="23" spans="1:47" x14ac:dyDescent="0.2">
      <c r="A23">
        <v>989.3</v>
      </c>
      <c r="B23" s="1">
        <v>18.746648</v>
      </c>
      <c r="C23">
        <f>98867000*(1/48000000)</f>
        <v>2.0597291666666666</v>
      </c>
      <c r="D23">
        <v>1193</v>
      </c>
      <c r="E23" s="1">
        <v>14.644232000000001</v>
      </c>
      <c r="F23">
        <f>112068000*(1/48000000)</f>
        <v>2.3347500000000001</v>
      </c>
      <c r="G23">
        <v>1481</v>
      </c>
      <c r="H23" s="1">
        <v>11.070836999999999</v>
      </c>
      <c r="I23">
        <f>137623000*(1/48000000)</f>
        <v>2.8671458333333337</v>
      </c>
      <c r="J23">
        <v>1964.5</v>
      </c>
      <c r="K23" s="1">
        <v>6.9577850000000003</v>
      </c>
      <c r="L23" s="3">
        <f>180108000*(1/48000000)</f>
        <v>3.7522500000000001</v>
      </c>
      <c r="M23" s="1">
        <v>2933</v>
      </c>
      <c r="N23" s="1">
        <v>6.1225050000000003</v>
      </c>
      <c r="O23">
        <f>263135000*(1/48000000)</f>
        <v>5.4819791666666671</v>
      </c>
      <c r="P23" s="1">
        <v>5059</v>
      </c>
      <c r="Q23" s="1">
        <v>3.9002460000000001</v>
      </c>
      <c r="R23">
        <f>449604000*(1/48000000)</f>
        <v>9.3667499999999997</v>
      </c>
      <c r="S23" s="1">
        <v>6202</v>
      </c>
      <c r="T23" s="1">
        <v>2.6489099999999999</v>
      </c>
      <c r="U23">
        <f>545301000*(1/48000000)</f>
        <v>11.360437500000002</v>
      </c>
      <c r="V23" s="1">
        <v>8081</v>
      </c>
      <c r="W23" s="1">
        <v>0.92851399999999995</v>
      </c>
      <c r="X23">
        <f>704360000*(1/48000000)</f>
        <v>14.674166666666668</v>
      </c>
      <c r="Y23" s="1">
        <v>9878</v>
      </c>
      <c r="Z23" s="1">
        <v>0.71091599999999999</v>
      </c>
      <c r="AA23">
        <f>853257000*(1/48000000)</f>
        <v>17.776187500000002</v>
      </c>
      <c r="AB23" s="1">
        <v>19786</v>
      </c>
      <c r="AC23" s="1">
        <v>0.45503700000000002</v>
      </c>
      <c r="AD23" s="1">
        <f t="shared" si="0"/>
        <v>0.45503700000000002</v>
      </c>
      <c r="AE23">
        <f>1701572000*(1/48000000)</f>
        <v>35.449416666666671</v>
      </c>
      <c r="AF23">
        <v>29717</v>
      </c>
      <c r="AG23" s="1">
        <v>6.4391000000000004E-2</v>
      </c>
      <c r="AH23" s="1">
        <f t="shared" si="1"/>
        <v>6.4391000000000004E-2</v>
      </c>
      <c r="AI23">
        <f>2552084000*(1/48000000)</f>
        <v>53.168416666666673</v>
      </c>
      <c r="AJ23">
        <v>50382</v>
      </c>
      <c r="AK23" s="1">
        <v>-0.621417</v>
      </c>
      <c r="AL23">
        <f t="shared" si="2"/>
        <v>0.621417</v>
      </c>
      <c r="AM23">
        <f>(4308582*(1/48000000))*1000</f>
        <v>89.762125000000012</v>
      </c>
      <c r="AN23" s="1">
        <v>80506</v>
      </c>
      <c r="AO23" s="1">
        <v>-0.17679700000000001</v>
      </c>
      <c r="AP23" s="1">
        <f t="shared" si="3"/>
        <v>0.17679700000000001</v>
      </c>
      <c r="AQ23">
        <f>(6886125*(1/48000000))*1000</f>
        <v>143.4609375</v>
      </c>
      <c r="AR23" s="1">
        <v>99668</v>
      </c>
      <c r="AS23" s="1">
        <v>-8.0070000000000002E-3</v>
      </c>
      <c r="AT23" s="1">
        <f t="shared" si="4"/>
        <v>8.0070000000000002E-3</v>
      </c>
      <c r="AU23">
        <f>(8537033*(1/48000000))*1000</f>
        <v>177.85485416666668</v>
      </c>
    </row>
    <row r="24" spans="1:47" x14ac:dyDescent="0.2">
      <c r="A24">
        <v>989.3</v>
      </c>
      <c r="B24" s="1">
        <v>18.117887</v>
      </c>
      <c r="C24">
        <f>98433000*(1/48000000)</f>
        <v>2.0506875</v>
      </c>
      <c r="D24">
        <v>1193</v>
      </c>
      <c r="E24" s="1">
        <v>16.202363999999999</v>
      </c>
      <c r="F24">
        <f>112998000*(1/48000000)</f>
        <v>2.3541250000000002</v>
      </c>
      <c r="G24">
        <v>1481</v>
      </c>
      <c r="H24" s="1">
        <v>10.745578</v>
      </c>
      <c r="I24">
        <f>137510000*(1/48000000)</f>
        <v>2.8647916666666666</v>
      </c>
      <c r="J24">
        <v>1964.5</v>
      </c>
      <c r="K24" s="1">
        <v>7.5479039999999999</v>
      </c>
      <c r="L24" s="3">
        <f>181425000*(1/48000000)</f>
        <v>3.7796875000000001</v>
      </c>
      <c r="M24" s="1">
        <v>2933</v>
      </c>
      <c r="N24" s="1">
        <v>5.7024470000000003</v>
      </c>
      <c r="O24">
        <f>264215000*(1/48000000)</f>
        <v>5.504479166666667</v>
      </c>
      <c r="P24" s="1">
        <v>5059</v>
      </c>
      <c r="Q24" s="1">
        <v>3.4685950000000001</v>
      </c>
      <c r="R24">
        <f>448436000*(1/48000000)</f>
        <v>9.3424166666666668</v>
      </c>
      <c r="S24" s="1">
        <v>6202</v>
      </c>
      <c r="T24" s="1">
        <v>3.0153370000000002</v>
      </c>
      <c r="U24">
        <f>542325000*(1/48000000)</f>
        <v>11.2984375</v>
      </c>
      <c r="V24" s="1">
        <v>8081</v>
      </c>
      <c r="W24" s="1">
        <v>1.133977</v>
      </c>
      <c r="X24">
        <f>703855000*(1/48000000)</f>
        <v>14.663645833333334</v>
      </c>
      <c r="Y24" s="1">
        <v>9878</v>
      </c>
      <c r="Z24" s="1">
        <v>0.78599799999999997</v>
      </c>
      <c r="AA24">
        <f>852249000*(1/48000000)</f>
        <v>17.755187500000002</v>
      </c>
      <c r="AB24" s="1">
        <v>19786</v>
      </c>
      <c r="AC24" s="1">
        <v>0.42088500000000001</v>
      </c>
      <c r="AD24" s="1">
        <f t="shared" si="0"/>
        <v>0.42088500000000001</v>
      </c>
      <c r="AE24">
        <f>1697006000*(1/48000000)</f>
        <v>35.354291666666668</v>
      </c>
      <c r="AF24">
        <v>29717</v>
      </c>
      <c r="AG24" s="1">
        <v>-0.46550900000000001</v>
      </c>
      <c r="AH24" s="1">
        <f t="shared" si="1"/>
        <v>0.46550900000000001</v>
      </c>
      <c r="AI24">
        <f>2554406000*(1/48000000)</f>
        <v>53.216791666666673</v>
      </c>
      <c r="AJ24">
        <v>50382</v>
      </c>
      <c r="AK24" s="1">
        <v>-0.21041899999999999</v>
      </c>
      <c r="AL24">
        <f t="shared" si="2"/>
        <v>0.21041899999999999</v>
      </c>
      <c r="AM24">
        <f>(4306473*(1/48000000))*1000</f>
        <v>89.718187499999999</v>
      </c>
      <c r="AN24" s="1">
        <v>80506</v>
      </c>
      <c r="AO24" s="1">
        <v>-0.64545699999999995</v>
      </c>
      <c r="AP24" s="1">
        <f t="shared" si="3"/>
        <v>0.64545699999999995</v>
      </c>
      <c r="AQ24">
        <f>(6890506*(1/48000000))*1000</f>
        <v>143.55220833333334</v>
      </c>
      <c r="AR24" s="1">
        <v>99668</v>
      </c>
      <c r="AS24" s="1">
        <v>-0.167018</v>
      </c>
      <c r="AT24" s="1">
        <f t="shared" si="4"/>
        <v>0.167018</v>
      </c>
      <c r="AU24">
        <f>(8530472*(1/48000000))*1000</f>
        <v>177.71816666666669</v>
      </c>
    </row>
    <row r="25" spans="1:47" x14ac:dyDescent="0.2">
      <c r="A25">
        <v>989.3</v>
      </c>
      <c r="B25" s="1">
        <v>17.610714000000002</v>
      </c>
      <c r="C25">
        <f>98644000*(1/48000000)</f>
        <v>2.0550833333333336</v>
      </c>
      <c r="D25">
        <v>1193</v>
      </c>
      <c r="E25" s="1">
        <v>15.535556</v>
      </c>
      <c r="F25">
        <f>112411000*(1/48000000)</f>
        <v>2.3418958333333335</v>
      </c>
      <c r="G25">
        <v>1481</v>
      </c>
      <c r="H25" s="1">
        <v>10.777269</v>
      </c>
      <c r="I25">
        <f>137102000*(1/48000000)</f>
        <v>2.8562916666666669</v>
      </c>
      <c r="J25">
        <v>1964.5</v>
      </c>
      <c r="K25" s="1">
        <v>7.477894</v>
      </c>
      <c r="L25" s="3">
        <f>181650000*(1/48000000)</f>
        <v>3.7843750000000003</v>
      </c>
      <c r="M25" s="1">
        <v>2933</v>
      </c>
      <c r="N25" s="1">
        <v>5.3834470000000003</v>
      </c>
      <c r="O25">
        <f>263446000*(1/48000000)</f>
        <v>5.4884583333333339</v>
      </c>
      <c r="P25" s="1">
        <v>5059</v>
      </c>
      <c r="Q25" s="1">
        <v>4.5286580000000001</v>
      </c>
      <c r="R25">
        <f>451782000*(1/48000000)</f>
        <v>9.4121250000000014</v>
      </c>
      <c r="S25" s="1">
        <v>6202</v>
      </c>
      <c r="T25" s="1">
        <v>2.812519</v>
      </c>
      <c r="U25">
        <f>542049000*(1/48000000)</f>
        <v>11.292687500000001</v>
      </c>
      <c r="V25" s="1">
        <v>8081</v>
      </c>
      <c r="W25" s="1">
        <v>0.704322</v>
      </c>
      <c r="X25">
        <f>703377000*(1/48000000)</f>
        <v>14.6536875</v>
      </c>
      <c r="Y25" s="1">
        <v>9878</v>
      </c>
      <c r="Z25" s="1">
        <v>0.89255700000000004</v>
      </c>
      <c r="AA25">
        <f>852415000*(1/48000000)</f>
        <v>17.758645833333336</v>
      </c>
      <c r="AB25" s="1">
        <v>19786</v>
      </c>
      <c r="AC25" s="1">
        <v>0.202318</v>
      </c>
      <c r="AD25" s="1">
        <f t="shared" si="0"/>
        <v>0.202318</v>
      </c>
      <c r="AE25">
        <f>1701418000*(1/48000000)</f>
        <v>35.446208333333338</v>
      </c>
      <c r="AF25">
        <v>29717</v>
      </c>
      <c r="AG25" s="1">
        <v>-0.262208</v>
      </c>
      <c r="AH25" s="1">
        <f t="shared" si="1"/>
        <v>0.262208</v>
      </c>
      <c r="AI25">
        <f>2547843000*(1/48000000)</f>
        <v>53.080062500000004</v>
      </c>
      <c r="AJ25">
        <v>50382</v>
      </c>
      <c r="AK25" s="1">
        <v>-4.0149999999999998E-2</v>
      </c>
      <c r="AL25">
        <f t="shared" si="2"/>
        <v>4.0149999999999998E-2</v>
      </c>
      <c r="AM25">
        <f>(4307925*(1/48000000))*1000</f>
        <v>89.748437499999994</v>
      </c>
      <c r="AN25" s="1">
        <v>80506</v>
      </c>
      <c r="AO25" s="1">
        <v>-0.20769099999999999</v>
      </c>
      <c r="AP25" s="1">
        <f t="shared" si="3"/>
        <v>0.20769099999999999</v>
      </c>
      <c r="AQ25">
        <f>(6884199*(1/48000000))*1000</f>
        <v>143.42081250000001</v>
      </c>
      <c r="AR25" s="1">
        <v>99668</v>
      </c>
      <c r="AS25" s="1">
        <v>-3.6701999999999999E-2</v>
      </c>
      <c r="AT25" s="1">
        <f t="shared" si="4"/>
        <v>3.6701999999999999E-2</v>
      </c>
      <c r="AU25">
        <f>(8539152*(1/48000000))*1000</f>
        <v>177.899</v>
      </c>
    </row>
    <row r="26" spans="1:47" x14ac:dyDescent="0.2">
      <c r="A26">
        <v>989.3</v>
      </c>
      <c r="B26" s="1">
        <v>16.909012000000001</v>
      </c>
      <c r="C26">
        <f>98336000*(1/48000000)</f>
        <v>2.0486666666666666</v>
      </c>
      <c r="D26">
        <v>1193</v>
      </c>
      <c r="E26" s="1">
        <v>16.632971999999999</v>
      </c>
      <c r="F26">
        <f>113111000*(1/48000000)</f>
        <v>2.3564791666666669</v>
      </c>
      <c r="G26">
        <v>1481</v>
      </c>
      <c r="H26" s="1">
        <v>10.532518</v>
      </c>
      <c r="I26">
        <f>137134000*(1/48000000)</f>
        <v>2.8569583333333335</v>
      </c>
      <c r="J26">
        <v>1964.5</v>
      </c>
      <c r="K26" s="1">
        <v>7.0691660000000001</v>
      </c>
      <c r="L26" s="3">
        <f>180608000*(1/48000000)</f>
        <v>3.762666666666667</v>
      </c>
      <c r="M26" s="1">
        <v>2933</v>
      </c>
      <c r="N26" s="1">
        <v>6.1903839999999999</v>
      </c>
      <c r="O26">
        <f>264011000*(1/48000000)</f>
        <v>5.5002291666666672</v>
      </c>
      <c r="P26" s="1">
        <v>5059</v>
      </c>
      <c r="Q26" s="1">
        <v>4.0179720000000003</v>
      </c>
      <c r="R26">
        <f>448445000*(1/48000000)</f>
        <v>9.3426041666666677</v>
      </c>
      <c r="S26" s="1">
        <v>6202</v>
      </c>
      <c r="T26" s="1">
        <v>2.5774539999999999</v>
      </c>
      <c r="U26">
        <f>543662000*(1/48000000)</f>
        <v>11.326291666666668</v>
      </c>
      <c r="V26" s="1">
        <v>8081</v>
      </c>
      <c r="W26" s="1">
        <v>0.99253599999999997</v>
      </c>
      <c r="X26">
        <f>704570000*(1/48000000)</f>
        <v>14.678541666666668</v>
      </c>
      <c r="Y26" s="1">
        <v>9878</v>
      </c>
      <c r="Z26" s="1">
        <v>0.81422499999999998</v>
      </c>
      <c r="AA26">
        <f>851060000*(1/48000000)</f>
        <v>17.730416666666667</v>
      </c>
      <c r="AB26" s="1">
        <v>19786</v>
      </c>
      <c r="AC26" s="1">
        <v>0.187255</v>
      </c>
      <c r="AD26" s="1">
        <f t="shared" si="0"/>
        <v>0.187255</v>
      </c>
      <c r="AE26">
        <f>1702468000*(1/48000000)</f>
        <v>35.468083333333333</v>
      </c>
      <c r="AF26">
        <v>29717</v>
      </c>
      <c r="AG26" s="1">
        <v>-0.22712499999999999</v>
      </c>
      <c r="AH26" s="1">
        <f t="shared" si="1"/>
        <v>0.22712499999999999</v>
      </c>
      <c r="AI26">
        <f>2550639000*(1/48000000)</f>
        <v>53.138312500000005</v>
      </c>
      <c r="AJ26">
        <v>50382</v>
      </c>
      <c r="AK26" s="1">
        <v>-0.82591300000000001</v>
      </c>
      <c r="AL26">
        <f t="shared" si="2"/>
        <v>0.82591300000000001</v>
      </c>
      <c r="AM26">
        <f>(4301413*(1/48000000))*1000</f>
        <v>89.612770833333343</v>
      </c>
      <c r="AN26" s="1">
        <v>80506</v>
      </c>
      <c r="AO26" s="1">
        <v>-0.60875199999999996</v>
      </c>
      <c r="AP26" s="1">
        <f t="shared" si="3"/>
        <v>0.60875199999999996</v>
      </c>
      <c r="AQ26">
        <f>(6882007*(1/48000000))*1000</f>
        <v>143.37514583333333</v>
      </c>
      <c r="AR26" s="1">
        <v>99668</v>
      </c>
      <c r="AS26" s="1">
        <v>-0.17241600000000001</v>
      </c>
      <c r="AT26" s="1">
        <f t="shared" si="4"/>
        <v>0.17241600000000001</v>
      </c>
      <c r="AU26">
        <f>(8491706*(1/48000000))*1000</f>
        <v>176.91054166666666</v>
      </c>
    </row>
    <row r="27" spans="1:47" x14ac:dyDescent="0.2">
      <c r="A27">
        <v>989.3</v>
      </c>
      <c r="B27" s="1">
        <v>18.245740999999999</v>
      </c>
      <c r="C27">
        <f>97948000*(1/48000000)</f>
        <v>2.0405833333333336</v>
      </c>
      <c r="D27">
        <v>1193</v>
      </c>
      <c r="E27" s="1">
        <v>14.556663</v>
      </c>
      <c r="F27">
        <f>112679000*(1/48000000)</f>
        <v>2.347479166666667</v>
      </c>
      <c r="G27">
        <v>1481</v>
      </c>
      <c r="H27" s="1">
        <v>11.390090000000001</v>
      </c>
      <c r="I27">
        <f>137591000*(1/48000000)</f>
        <v>2.8664791666666667</v>
      </c>
      <c r="J27">
        <v>1964.5</v>
      </c>
      <c r="K27" s="1">
        <v>6.9375840000000002</v>
      </c>
      <c r="L27" s="3">
        <f>180564000*(1/48000000)</f>
        <v>3.7617500000000001</v>
      </c>
      <c r="M27" s="1">
        <v>2933</v>
      </c>
      <c r="N27" s="1">
        <v>5.4057490000000001</v>
      </c>
      <c r="O27">
        <f>263339000*(1/48000000)</f>
        <v>5.4862291666666669</v>
      </c>
      <c r="P27" s="1">
        <v>5059</v>
      </c>
      <c r="Q27" s="1">
        <v>3.8892389999999999</v>
      </c>
      <c r="R27">
        <f>450712000*(1/48000000)</f>
        <v>9.3898333333333337</v>
      </c>
      <c r="S27" s="1">
        <v>6202</v>
      </c>
      <c r="T27" s="1">
        <v>2.658709</v>
      </c>
      <c r="U27">
        <f>544890000*(1/48000000)</f>
        <v>11.351875000000001</v>
      </c>
      <c r="V27" s="1">
        <v>8081</v>
      </c>
      <c r="W27" s="1">
        <v>1.3373349999999999</v>
      </c>
      <c r="X27">
        <f>704788000*(1/48000000)</f>
        <v>14.683083333333334</v>
      </c>
      <c r="Y27" s="1">
        <v>9878</v>
      </c>
      <c r="Z27" s="1">
        <v>1.019012</v>
      </c>
      <c r="AA27">
        <f>854656000*(1/48000000)</f>
        <v>17.805333333333333</v>
      </c>
      <c r="AB27" s="1">
        <v>19786</v>
      </c>
      <c r="AC27" s="1">
        <v>0.34440100000000001</v>
      </c>
      <c r="AD27" s="1">
        <f t="shared" si="0"/>
        <v>0.34440100000000001</v>
      </c>
      <c r="AE27">
        <f>1699484000*(1/48000000)</f>
        <v>35.40591666666667</v>
      </c>
      <c r="AF27">
        <v>29717</v>
      </c>
      <c r="AG27" s="1">
        <v>-0.59948999999999997</v>
      </c>
      <c r="AH27" s="1">
        <f t="shared" si="1"/>
        <v>0.59948999999999997</v>
      </c>
      <c r="AI27">
        <f>2544023000*(1/48000000)</f>
        <v>53.000479166666672</v>
      </c>
      <c r="AJ27">
        <v>50382</v>
      </c>
      <c r="AK27" s="1">
        <v>-0.187527</v>
      </c>
      <c r="AL27">
        <f t="shared" si="2"/>
        <v>0.187527</v>
      </c>
      <c r="AM27">
        <f>(4309591*(1/48000000))*1000</f>
        <v>89.783145833333336</v>
      </c>
      <c r="AN27" s="1">
        <v>80506</v>
      </c>
      <c r="AO27" s="1">
        <v>-0.36444799999999999</v>
      </c>
      <c r="AP27" s="1">
        <f t="shared" si="3"/>
        <v>0.36444799999999999</v>
      </c>
      <c r="AQ27">
        <f>(6885551*(1/48000000))*1000</f>
        <v>143.44897916666667</v>
      </c>
      <c r="AR27" s="1">
        <v>99668</v>
      </c>
      <c r="AS27" s="1">
        <v>-0.234851</v>
      </c>
      <c r="AT27" s="1">
        <f t="shared" si="4"/>
        <v>0.234851</v>
      </c>
      <c r="AU27">
        <f>(8529185*(1/48000000))*1000</f>
        <v>177.69135416666668</v>
      </c>
    </row>
    <row r="28" spans="1:47" x14ac:dyDescent="0.2">
      <c r="A28">
        <v>989.3</v>
      </c>
      <c r="B28" s="1">
        <v>18.401558999999999</v>
      </c>
      <c r="C28">
        <f>97840000*(1/48000000)</f>
        <v>2.0383333333333336</v>
      </c>
      <c r="D28">
        <v>1193</v>
      </c>
      <c r="E28" s="1">
        <v>17.050951999999999</v>
      </c>
      <c r="F28">
        <f>113196000*(1/48000000)</f>
        <v>2.35825</v>
      </c>
      <c r="G28">
        <v>1481</v>
      </c>
      <c r="H28" s="1">
        <v>11.594977</v>
      </c>
      <c r="I28">
        <f>137367000*(1/48000000)</f>
        <v>2.8618125000000001</v>
      </c>
      <c r="J28">
        <v>1964.5</v>
      </c>
      <c r="K28" s="1">
        <v>6.9688889999999999</v>
      </c>
      <c r="L28" s="3">
        <f>180966000*(1/48000000)</f>
        <v>3.7701250000000002</v>
      </c>
      <c r="M28" s="1">
        <v>2933</v>
      </c>
      <c r="N28" s="1">
        <v>5.6955970000000002</v>
      </c>
      <c r="O28">
        <f>263593000*(1/48000000)</f>
        <v>5.4915208333333334</v>
      </c>
      <c r="P28" s="1">
        <v>5059</v>
      </c>
      <c r="Q28" s="1">
        <v>3.6983100000000002</v>
      </c>
      <c r="R28">
        <f>448658000*(1/48000000)</f>
        <v>9.3470416666666676</v>
      </c>
      <c r="S28" s="1">
        <v>6202</v>
      </c>
      <c r="T28" s="1">
        <v>3.268586</v>
      </c>
      <c r="U28">
        <f>542221000*(1/48000000)</f>
        <v>11.296270833333335</v>
      </c>
      <c r="V28" s="1">
        <v>8081</v>
      </c>
      <c r="W28" s="1">
        <v>1.5744210000000001</v>
      </c>
      <c r="X28">
        <f>704049000*(1/48000000)</f>
        <v>14.667687500000001</v>
      </c>
      <c r="Y28" s="1">
        <v>9878</v>
      </c>
      <c r="Z28" s="1">
        <v>0.94691800000000004</v>
      </c>
      <c r="AA28">
        <f>851292000*(1/48000000)</f>
        <v>17.735250000000001</v>
      </c>
      <c r="AB28" s="1">
        <v>19786</v>
      </c>
      <c r="AC28" s="1">
        <v>6.0055999999999998E-2</v>
      </c>
      <c r="AD28" s="1">
        <f t="shared" si="0"/>
        <v>6.0055999999999998E-2</v>
      </c>
      <c r="AE28">
        <f>1699066000*(1/48000000)</f>
        <v>35.397208333333339</v>
      </c>
      <c r="AF28">
        <v>29717</v>
      </c>
      <c r="AG28" s="1">
        <v>-5.9757999999999999E-2</v>
      </c>
      <c r="AH28" s="1">
        <f t="shared" si="1"/>
        <v>5.9757999999999999E-2</v>
      </c>
      <c r="AI28">
        <f>2553292000*(1/48000000)</f>
        <v>53.193583333333336</v>
      </c>
      <c r="AJ28">
        <v>50382</v>
      </c>
      <c r="AK28" s="1">
        <v>-0.119461</v>
      </c>
      <c r="AL28">
        <f t="shared" si="2"/>
        <v>0.119461</v>
      </c>
      <c r="AM28">
        <f>(4311025*(1/48000000))*1000</f>
        <v>89.81302083333334</v>
      </c>
      <c r="AN28" s="1">
        <v>80506</v>
      </c>
      <c r="AO28" s="1">
        <v>-0.41337099999999999</v>
      </c>
      <c r="AP28" s="1">
        <f t="shared" si="3"/>
        <v>0.41337099999999999</v>
      </c>
      <c r="AQ28">
        <f>(6886679*(1/48000000))*1000</f>
        <v>143.47247916666666</v>
      </c>
      <c r="AR28" s="1">
        <v>99668</v>
      </c>
      <c r="AS28" s="1">
        <v>-0.32752500000000001</v>
      </c>
      <c r="AT28" s="1">
        <f t="shared" si="4"/>
        <v>0.32752500000000001</v>
      </c>
      <c r="AU28">
        <f>(8538167*(1/48000000))*1000</f>
        <v>177.87847916666669</v>
      </c>
    </row>
    <row r="29" spans="1:47" x14ac:dyDescent="0.2">
      <c r="A29">
        <v>989.3</v>
      </c>
      <c r="B29" s="1">
        <v>18.116002000000002</v>
      </c>
      <c r="C29">
        <f>98682000*(1/48000000)</f>
        <v>2.0558750000000003</v>
      </c>
      <c r="D29">
        <v>1193</v>
      </c>
      <c r="E29" s="1">
        <v>16.425744000000002</v>
      </c>
      <c r="F29">
        <f>112074000*(1/48000000)</f>
        <v>2.3348750000000003</v>
      </c>
      <c r="G29">
        <v>1481</v>
      </c>
      <c r="H29" s="1">
        <v>11.082380000000001</v>
      </c>
      <c r="I29">
        <f>138752000*(1/48000000)</f>
        <v>2.8906666666666667</v>
      </c>
      <c r="J29">
        <v>1964.5</v>
      </c>
      <c r="K29" s="1">
        <v>6.817615</v>
      </c>
      <c r="L29" s="3">
        <f>180535000*(1/48000000)</f>
        <v>3.7611458333333334</v>
      </c>
      <c r="M29" s="1">
        <v>2933</v>
      </c>
      <c r="N29" s="1">
        <v>5.8086690000000001</v>
      </c>
      <c r="O29">
        <f>262274000*(1/48000000)</f>
        <v>5.4640416666666667</v>
      </c>
      <c r="P29" s="1">
        <v>5059</v>
      </c>
      <c r="Q29" s="1">
        <v>3.683465</v>
      </c>
      <c r="R29">
        <f>449353000*(1/48000000)</f>
        <v>9.3615208333333335</v>
      </c>
      <c r="S29" s="1">
        <v>6202</v>
      </c>
      <c r="T29" s="1">
        <v>2.6325500000000002</v>
      </c>
      <c r="U29">
        <f>541212000*(1/48000000)</f>
        <v>11.275250000000002</v>
      </c>
      <c r="V29" s="1">
        <v>8081</v>
      </c>
      <c r="W29" s="1">
        <v>1.289801</v>
      </c>
      <c r="X29">
        <f>704377000*(1/48000000)</f>
        <v>14.674520833333334</v>
      </c>
      <c r="Y29" s="1">
        <v>9878</v>
      </c>
      <c r="Z29" s="1">
        <v>0.51331300000000002</v>
      </c>
      <c r="AA29">
        <f>857216000*(1/48000000)</f>
        <v>17.858666666666668</v>
      </c>
      <c r="AB29" s="1">
        <v>19786</v>
      </c>
      <c r="AC29" s="1">
        <v>0.59049300000000005</v>
      </c>
      <c r="AD29" s="1">
        <f t="shared" si="0"/>
        <v>0.59049300000000005</v>
      </c>
      <c r="AE29">
        <f>1698610000*(1/48000000)</f>
        <v>35.387708333333336</v>
      </c>
      <c r="AF29">
        <v>29717</v>
      </c>
      <c r="AG29" s="1">
        <v>-0.210287</v>
      </c>
      <c r="AH29" s="1">
        <f t="shared" si="1"/>
        <v>0.210287</v>
      </c>
      <c r="AI29">
        <f>2551552000*(1/48000000)</f>
        <v>53.157333333333334</v>
      </c>
      <c r="AJ29">
        <v>50382</v>
      </c>
      <c r="AK29" s="1">
        <v>-3.1924000000000001E-2</v>
      </c>
      <c r="AL29">
        <f t="shared" si="2"/>
        <v>3.1924000000000001E-2</v>
      </c>
      <c r="AM29">
        <f>(4308280*(1/48000000))*1000</f>
        <v>89.755833333333342</v>
      </c>
      <c r="AN29" s="1">
        <v>80506</v>
      </c>
      <c r="AO29" s="1">
        <v>-0.13614699999999999</v>
      </c>
      <c r="AP29" s="1">
        <f t="shared" si="3"/>
        <v>0.13614699999999999</v>
      </c>
      <c r="AQ29">
        <f>(6871392*(1/48000000))*1000</f>
        <v>143.154</v>
      </c>
      <c r="AR29" s="1">
        <v>99668</v>
      </c>
      <c r="AS29" s="1">
        <v>0.144426</v>
      </c>
      <c r="AT29" s="1">
        <f t="shared" si="4"/>
        <v>0.144426</v>
      </c>
      <c r="AU29">
        <f>(8538850*(1/48000000))*1000</f>
        <v>177.89270833333333</v>
      </c>
    </row>
    <row r="30" spans="1:47" x14ac:dyDescent="0.2">
      <c r="A30">
        <v>989.3</v>
      </c>
      <c r="B30" s="1">
        <v>18.017603999999999</v>
      </c>
      <c r="C30">
        <f>99206000*(1/48000000)</f>
        <v>2.0667916666666666</v>
      </c>
      <c r="D30">
        <v>1193</v>
      </c>
      <c r="E30" s="1">
        <v>15.951584</v>
      </c>
      <c r="F30">
        <f>112714000*(1/48000000)</f>
        <v>2.3482083333333335</v>
      </c>
      <c r="G30">
        <v>1481</v>
      </c>
      <c r="H30" s="1">
        <v>11.313385999999999</v>
      </c>
      <c r="I30">
        <f>137773000*(1/48000000)</f>
        <v>2.8702708333333335</v>
      </c>
      <c r="J30">
        <v>1964.5</v>
      </c>
      <c r="K30" s="1">
        <v>7.624765</v>
      </c>
      <c r="L30" s="3">
        <f>179973000*(1/48000000)</f>
        <v>3.7494375000000004</v>
      </c>
      <c r="M30" s="1">
        <v>2933</v>
      </c>
      <c r="N30" s="1">
        <v>5.7450029999999996</v>
      </c>
      <c r="O30">
        <f>263495000*(1/48000000)</f>
        <v>5.4894791666666674</v>
      </c>
      <c r="P30" s="1">
        <v>5059</v>
      </c>
      <c r="Q30" s="1">
        <v>2.8109030000000002</v>
      </c>
      <c r="R30">
        <f>448372000*(1/48000000)</f>
        <v>9.3410833333333336</v>
      </c>
      <c r="S30" s="1">
        <v>6202</v>
      </c>
      <c r="T30" s="1">
        <v>3.3354490000000001</v>
      </c>
      <c r="U30">
        <f>542979000*(1/48000000)</f>
        <v>11.312062500000001</v>
      </c>
      <c r="V30" s="1">
        <v>8081</v>
      </c>
      <c r="W30" s="1">
        <v>1.0403690000000001</v>
      </c>
      <c r="X30">
        <f>705104000*(1/48000000)</f>
        <v>14.689666666666668</v>
      </c>
      <c r="Y30" s="1">
        <v>9878</v>
      </c>
      <c r="Z30" s="1">
        <v>0.70961399999999997</v>
      </c>
      <c r="AA30">
        <f>852353000*(1/48000000)</f>
        <v>17.757354166666669</v>
      </c>
      <c r="AB30" s="1">
        <v>19786</v>
      </c>
      <c r="AC30" s="1">
        <v>0.35702699999999998</v>
      </c>
      <c r="AD30" s="1">
        <f t="shared" si="0"/>
        <v>0.35702699999999998</v>
      </c>
      <c r="AE30">
        <f>1694415000*(1/48000000)</f>
        <v>35.300312500000004</v>
      </c>
      <c r="AF30">
        <v>29717</v>
      </c>
      <c r="AG30" s="1">
        <v>-0.68312200000000001</v>
      </c>
      <c r="AH30" s="1">
        <f t="shared" si="1"/>
        <v>0.68312200000000001</v>
      </c>
      <c r="AI30">
        <f>2548879000*(1/48000000)</f>
        <v>53.101645833333336</v>
      </c>
      <c r="AJ30">
        <v>50382</v>
      </c>
      <c r="AK30" s="1">
        <v>-0.65219800000000006</v>
      </c>
      <c r="AL30">
        <f t="shared" si="2"/>
        <v>0.65219800000000006</v>
      </c>
      <c r="AM30">
        <f>(4309708*(1/48000000))*1000</f>
        <v>89.785583333333335</v>
      </c>
      <c r="AN30" s="1">
        <v>80506</v>
      </c>
      <c r="AO30" s="1">
        <v>-9.9968000000000001E-2</v>
      </c>
      <c r="AP30" s="1">
        <f t="shared" si="3"/>
        <v>9.9968000000000001E-2</v>
      </c>
      <c r="AQ30">
        <f>(6882166*(1/48000000))*1000</f>
        <v>143.37845833333336</v>
      </c>
      <c r="AR30" s="1">
        <v>99668</v>
      </c>
      <c r="AS30" s="1">
        <v>-0.40951599999999999</v>
      </c>
      <c r="AT30" s="1">
        <f t="shared" si="4"/>
        <v>0.40951599999999999</v>
      </c>
      <c r="AU30">
        <f>(8532182*(1/48000000))*1000</f>
        <v>177.7537916666667</v>
      </c>
    </row>
    <row r="31" spans="1:47" x14ac:dyDescent="0.2">
      <c r="A31">
        <v>989.3</v>
      </c>
      <c r="B31" s="1">
        <v>17.277598999999999</v>
      </c>
      <c r="C31">
        <f>98528000*(1/48000000)</f>
        <v>2.0526666666666666</v>
      </c>
      <c r="D31">
        <v>1193</v>
      </c>
      <c r="E31" s="1">
        <v>15.708318999999999</v>
      </c>
      <c r="F31">
        <f>111784000*(1/48000000)</f>
        <v>2.3288333333333333</v>
      </c>
      <c r="G31">
        <v>1481</v>
      </c>
      <c r="H31" s="1">
        <v>11.62326</v>
      </c>
      <c r="I31">
        <f>138839000*(1/48000000)</f>
        <v>2.8924791666666669</v>
      </c>
      <c r="J31">
        <v>1964.5</v>
      </c>
      <c r="K31" s="1">
        <v>7.2023400000000004</v>
      </c>
      <c r="L31" s="3">
        <f>180646000*(1/48000000)</f>
        <v>3.7634583333333333</v>
      </c>
      <c r="M31" s="1">
        <v>2933</v>
      </c>
      <c r="N31" s="1">
        <v>5.5852959999999996</v>
      </c>
      <c r="O31">
        <f>261860000*(1/48000000)</f>
        <v>5.4554166666666672</v>
      </c>
      <c r="P31" s="1">
        <v>5059</v>
      </c>
      <c r="Q31" s="1">
        <v>3.5735670000000002</v>
      </c>
      <c r="R31">
        <f>450385000*(1/48000000)</f>
        <v>9.3830208333333331</v>
      </c>
      <c r="S31" s="1">
        <v>6202</v>
      </c>
      <c r="T31" s="1">
        <v>2.7045180000000002</v>
      </c>
      <c r="U31">
        <f>542079000*(1/48000000)</f>
        <v>11.293312500000001</v>
      </c>
      <c r="V31" s="1">
        <v>8081</v>
      </c>
      <c r="W31" s="1">
        <v>1.114862</v>
      </c>
      <c r="X31">
        <f>697438000*(1/48000000)</f>
        <v>14.529958333333335</v>
      </c>
      <c r="Y31" s="1">
        <v>9878</v>
      </c>
      <c r="Z31" s="1">
        <v>0.82176400000000005</v>
      </c>
      <c r="AA31">
        <f>852142000*(1/48000000)</f>
        <v>17.752958333333336</v>
      </c>
      <c r="AB31" s="1">
        <v>19786</v>
      </c>
      <c r="AC31" s="1">
        <v>0.13039999999999999</v>
      </c>
      <c r="AD31" s="1">
        <f t="shared" si="0"/>
        <v>0.13039999999999999</v>
      </c>
      <c r="AE31">
        <f>1700773000*(1/48000000)</f>
        <v>35.432770833333336</v>
      </c>
      <c r="AF31">
        <v>29717</v>
      </c>
      <c r="AG31" s="1">
        <v>0.14299899999999999</v>
      </c>
      <c r="AH31" s="1">
        <f t="shared" si="1"/>
        <v>0.14299899999999999</v>
      </c>
      <c r="AI31">
        <f>2550082000*(1/48000000)</f>
        <v>53.126708333333333</v>
      </c>
      <c r="AJ31">
        <v>50382</v>
      </c>
      <c r="AK31" s="1">
        <v>-0.37101699999999999</v>
      </c>
      <c r="AL31">
        <f t="shared" si="2"/>
        <v>0.37101699999999999</v>
      </c>
      <c r="AM31">
        <f>(4308651*(1/48000000))*1000</f>
        <v>89.763562500000006</v>
      </c>
      <c r="AN31" s="1">
        <v>80506</v>
      </c>
      <c r="AO31" s="1">
        <v>-0.90808599999999995</v>
      </c>
      <c r="AP31" s="1">
        <f t="shared" si="3"/>
        <v>0.90808599999999995</v>
      </c>
      <c r="AQ31">
        <f>(6885853*(1/48000000))*1000</f>
        <v>143.45527083333334</v>
      </c>
      <c r="AR31" s="1">
        <v>99668</v>
      </c>
      <c r="AS31" s="1">
        <v>-0.385934</v>
      </c>
      <c r="AT31" s="1">
        <f t="shared" si="4"/>
        <v>0.385934</v>
      </c>
      <c r="AU31">
        <f>(8537445*(1/48000000))*1000</f>
        <v>177.8634375</v>
      </c>
    </row>
    <row r="32" spans="1:47" x14ac:dyDescent="0.2">
      <c r="A32">
        <v>989.3</v>
      </c>
      <c r="B32" s="1">
        <v>18.170936000000001</v>
      </c>
      <c r="C32">
        <f>98333000*(1/48000000)</f>
        <v>2.0486041666666668</v>
      </c>
      <c r="D32">
        <v>1193</v>
      </c>
      <c r="E32" s="1">
        <v>17.102228</v>
      </c>
      <c r="F32">
        <f>112711000*(1/48000000)</f>
        <v>2.3481458333333336</v>
      </c>
      <c r="G32">
        <v>1481</v>
      </c>
      <c r="H32" s="1">
        <v>11.400351000000001</v>
      </c>
      <c r="I32">
        <f>137668000*(1/48000000)</f>
        <v>2.8680833333333333</v>
      </c>
      <c r="J32">
        <v>1964.5</v>
      </c>
      <c r="K32" s="1">
        <v>7.039917</v>
      </c>
      <c r="L32" s="3">
        <f>180148000*(1/48000000)</f>
        <v>3.7530833333333335</v>
      </c>
      <c r="M32" s="1">
        <v>2933</v>
      </c>
      <c r="N32" s="1">
        <v>5.8412329999999999</v>
      </c>
      <c r="O32">
        <f>263691000*(1/48000000)</f>
        <v>5.4935625000000003</v>
      </c>
      <c r="P32" s="1">
        <v>5059</v>
      </c>
      <c r="Q32" s="1">
        <v>3.9722010000000001</v>
      </c>
      <c r="R32">
        <f>449623000*(1/48000000)</f>
        <v>9.3671458333333337</v>
      </c>
      <c r="S32" s="1">
        <v>6202</v>
      </c>
      <c r="T32" s="1">
        <v>2.9731930000000002</v>
      </c>
      <c r="U32">
        <f>541736000*(1/48000000)</f>
        <v>11.286166666666668</v>
      </c>
      <c r="V32" s="1">
        <v>8081</v>
      </c>
      <c r="W32" s="1">
        <v>1.250632</v>
      </c>
      <c r="X32">
        <f>702189000*(1/48000000)</f>
        <v>14.628937500000001</v>
      </c>
      <c r="Y32" s="1">
        <v>9878</v>
      </c>
      <c r="Z32" s="1">
        <v>0.80552599999999996</v>
      </c>
      <c r="AA32">
        <f>854085000*(1/48000000)</f>
        <v>17.7934375</v>
      </c>
      <c r="AB32" s="1">
        <v>19786</v>
      </c>
      <c r="AC32" s="1">
        <v>0.40710200000000002</v>
      </c>
      <c r="AD32" s="1">
        <f t="shared" si="0"/>
        <v>0.40710200000000002</v>
      </c>
      <c r="AE32">
        <f>1703936000*(1/48000000)</f>
        <v>35.498666666666672</v>
      </c>
      <c r="AF32">
        <v>29717</v>
      </c>
      <c r="AG32" s="1">
        <v>0.19292999999999999</v>
      </c>
      <c r="AH32" s="1">
        <f t="shared" si="1"/>
        <v>0.19292999999999999</v>
      </c>
      <c r="AI32">
        <f>2550789000*(1/48000000)</f>
        <v>53.141437500000002</v>
      </c>
      <c r="AJ32">
        <v>50382</v>
      </c>
      <c r="AK32" s="1">
        <v>-0.522366</v>
      </c>
      <c r="AL32">
        <f t="shared" si="2"/>
        <v>0.522366</v>
      </c>
      <c r="AM32">
        <f>(4293232*(1/48000000))*1000</f>
        <v>89.442333333333337</v>
      </c>
      <c r="AN32" s="1">
        <v>80506</v>
      </c>
      <c r="AO32" s="1">
        <v>-4.6676000000000002E-2</v>
      </c>
      <c r="AP32" s="1">
        <f t="shared" si="3"/>
        <v>4.6676000000000002E-2</v>
      </c>
      <c r="AQ32">
        <f>(6889178*(1/48000000))*1000</f>
        <v>143.52454166666666</v>
      </c>
      <c r="AR32" s="1">
        <v>99668</v>
      </c>
      <c r="AS32" s="1">
        <v>-0.22303799999999999</v>
      </c>
      <c r="AT32" s="1">
        <f t="shared" si="4"/>
        <v>0.22303799999999999</v>
      </c>
      <c r="AU32">
        <f>(8536205*(1/48000000))*1000</f>
        <v>177.83760416666669</v>
      </c>
    </row>
    <row r="33" spans="1:47" x14ac:dyDescent="0.2">
      <c r="A33">
        <v>989.3</v>
      </c>
      <c r="B33" s="1">
        <v>18.347515000000001</v>
      </c>
      <c r="C33">
        <f>98069000*(1/48000000)</f>
        <v>2.0431041666666667</v>
      </c>
      <c r="D33">
        <v>1193</v>
      </c>
      <c r="E33" s="1">
        <v>16.364124</v>
      </c>
      <c r="F33">
        <f>112074000*(1/48000000)</f>
        <v>2.3348750000000003</v>
      </c>
      <c r="G33">
        <v>1481</v>
      </c>
      <c r="H33" s="1">
        <v>10.521656</v>
      </c>
      <c r="I33">
        <f>137417000*(1/48000000)</f>
        <v>2.8628541666666667</v>
      </c>
      <c r="J33">
        <v>1964.5</v>
      </c>
      <c r="K33" s="1">
        <v>7.1660300000000001</v>
      </c>
      <c r="L33" s="3">
        <f>181149000*(1/48000000)</f>
        <v>3.7739375000000002</v>
      </c>
      <c r="M33" s="1">
        <v>2933</v>
      </c>
      <c r="N33" s="1">
        <v>5.7489650000000001</v>
      </c>
      <c r="O33">
        <f>263455000*(1/48000000)</f>
        <v>5.4886458333333339</v>
      </c>
      <c r="P33" s="1">
        <v>5059</v>
      </c>
      <c r="Q33" s="1">
        <v>3.0887560000000001</v>
      </c>
      <c r="R33">
        <f>449893000*(1/48000000)</f>
        <v>9.3727708333333339</v>
      </c>
      <c r="S33" s="1">
        <v>6202</v>
      </c>
      <c r="T33" s="1">
        <v>2.720094</v>
      </c>
      <c r="U33">
        <f>542093000*(1/48000000)</f>
        <v>11.293604166666668</v>
      </c>
      <c r="V33" s="1">
        <v>8081</v>
      </c>
      <c r="W33" s="1">
        <v>1.237045</v>
      </c>
      <c r="X33">
        <f>704322000*(1/48000000)</f>
        <v>14.673375</v>
      </c>
      <c r="Y33" s="1">
        <v>9878</v>
      </c>
      <c r="Z33" s="1">
        <v>0.63254200000000005</v>
      </c>
      <c r="AA33">
        <f>855279000*(1/48000000)</f>
        <v>17.818312500000001</v>
      </c>
      <c r="AB33" s="1">
        <v>19786</v>
      </c>
      <c r="AC33" s="1">
        <v>-0.3972</v>
      </c>
      <c r="AD33" s="1">
        <f t="shared" si="0"/>
        <v>0.3972</v>
      </c>
      <c r="AE33">
        <f>1696555000*(1/48000000)</f>
        <v>35.344895833333332</v>
      </c>
      <c r="AF33">
        <v>29717</v>
      </c>
      <c r="AG33" s="1">
        <v>-0.113341</v>
      </c>
      <c r="AH33" s="1">
        <f t="shared" si="1"/>
        <v>0.113341</v>
      </c>
      <c r="AI33">
        <f>2551310000*(1/48000000)</f>
        <v>53.15229166666667</v>
      </c>
      <c r="AJ33">
        <v>50382</v>
      </c>
      <c r="AK33" s="1">
        <v>-0.60663</v>
      </c>
      <c r="AL33">
        <f t="shared" si="2"/>
        <v>0.60663</v>
      </c>
      <c r="AM33">
        <f>(4308951*(1/48000000))*1000</f>
        <v>89.7698125</v>
      </c>
      <c r="AN33" s="1">
        <v>80506</v>
      </c>
      <c r="AO33" s="1">
        <v>-0.165106</v>
      </c>
      <c r="AP33" s="1">
        <f t="shared" si="3"/>
        <v>0.165106</v>
      </c>
      <c r="AQ33">
        <f>(6892106*(1/48000000))*1000</f>
        <v>143.58554166666667</v>
      </c>
      <c r="AR33" s="1">
        <v>99668</v>
      </c>
      <c r="AS33" s="1">
        <v>-0.22517999999999999</v>
      </c>
      <c r="AT33" s="1">
        <f t="shared" si="4"/>
        <v>0.22517999999999999</v>
      </c>
      <c r="AU33">
        <f>(8515455*(1/48000000))*1000</f>
        <v>177.40531250000004</v>
      </c>
    </row>
    <row r="34" spans="1:47" x14ac:dyDescent="0.2">
      <c r="A34">
        <v>989.3</v>
      </c>
      <c r="B34" s="1">
        <v>17.920328000000001</v>
      </c>
      <c r="C34">
        <f>98736000*(1/48000000)</f>
        <v>2.0569999999999999</v>
      </c>
      <c r="D34">
        <v>1193</v>
      </c>
      <c r="E34" s="1">
        <v>16.587948000000001</v>
      </c>
      <c r="F34">
        <f>113101000*(1/48000000)</f>
        <v>2.3562708333333333</v>
      </c>
      <c r="G34">
        <v>1481</v>
      </c>
      <c r="H34" s="1">
        <v>11.138453</v>
      </c>
      <c r="I34">
        <f>137804000*(1/48000000)</f>
        <v>2.870916666666667</v>
      </c>
      <c r="J34">
        <v>1964.5</v>
      </c>
      <c r="K34" s="1">
        <v>6.8072330000000001</v>
      </c>
      <c r="L34" s="3">
        <f>179674000*(1/48000000)</f>
        <v>3.7432083333333335</v>
      </c>
      <c r="M34" s="1">
        <v>2933</v>
      </c>
      <c r="N34" s="1">
        <v>5.4292230000000004</v>
      </c>
      <c r="O34">
        <f>262408000*(1/48000000)</f>
        <v>5.4668333333333337</v>
      </c>
      <c r="P34" s="1">
        <v>5059</v>
      </c>
      <c r="Q34" s="1">
        <v>4.0198419999999997</v>
      </c>
      <c r="R34">
        <f>448493000*(1/48000000)</f>
        <v>9.3436041666666672</v>
      </c>
      <c r="S34" s="1">
        <v>6202</v>
      </c>
      <c r="T34" s="1">
        <v>3.0902419999999999</v>
      </c>
      <c r="U34">
        <f>543711000*(1/48000000)</f>
        <v>11.327312500000001</v>
      </c>
      <c r="V34" s="1">
        <v>8081</v>
      </c>
      <c r="W34" s="1">
        <v>1.3895189999999999</v>
      </c>
      <c r="X34">
        <f>705015000*(1/48000000)</f>
        <v>14.687812500000001</v>
      </c>
      <c r="Y34" s="1">
        <v>9878</v>
      </c>
      <c r="Z34" s="1">
        <v>0.66654000000000002</v>
      </c>
      <c r="AA34">
        <f>847894000*(1/48000000)</f>
        <v>17.664458333333336</v>
      </c>
      <c r="AB34" s="1">
        <v>19786</v>
      </c>
      <c r="AC34" s="1">
        <v>0.24318699999999999</v>
      </c>
      <c r="AD34" s="1">
        <f t="shared" si="0"/>
        <v>0.24318699999999999</v>
      </c>
      <c r="AE34">
        <f>1703676000*(1/48000000)</f>
        <v>35.493250000000003</v>
      </c>
      <c r="AF34">
        <v>29717</v>
      </c>
      <c r="AG34" s="1">
        <v>9.4050999999999996E-2</v>
      </c>
      <c r="AH34" s="1">
        <f t="shared" si="1"/>
        <v>9.4050999999999996E-2</v>
      </c>
      <c r="AI34">
        <f>2547683000*(1/48000000)</f>
        <v>53.076729166666667</v>
      </c>
      <c r="AJ34">
        <v>50382</v>
      </c>
      <c r="AK34" s="1">
        <v>-0.28192499999999998</v>
      </c>
      <c r="AL34">
        <f t="shared" si="2"/>
        <v>0.28192499999999998</v>
      </c>
      <c r="AM34">
        <f>(4296755*(1/48000000))*1000</f>
        <v>89.515729166666674</v>
      </c>
      <c r="AN34" s="1">
        <v>80506</v>
      </c>
      <c r="AO34" s="1">
        <v>-5.3641000000000001E-2</v>
      </c>
      <c r="AP34" s="1">
        <f t="shared" si="3"/>
        <v>5.3641000000000001E-2</v>
      </c>
      <c r="AQ34">
        <f>(6891650*(1/48000000))*1000</f>
        <v>143.57604166666667</v>
      </c>
      <c r="AR34" s="1">
        <v>99668</v>
      </c>
      <c r="AS34" s="1">
        <v>-0.27881</v>
      </c>
      <c r="AT34" s="1">
        <f t="shared" si="4"/>
        <v>0.27881</v>
      </c>
      <c r="AU34">
        <f>(8516140*(1/48000000))*1000</f>
        <v>177.41958333333335</v>
      </c>
    </row>
    <row r="35" spans="1:47" x14ac:dyDescent="0.2">
      <c r="A35">
        <v>989.3</v>
      </c>
      <c r="B35" s="1">
        <v>17.034041999999999</v>
      </c>
      <c r="C35">
        <f>97815000*(1/48000000)</f>
        <v>2.0378125000000002</v>
      </c>
      <c r="D35">
        <v>1193</v>
      </c>
      <c r="E35" s="1">
        <v>16.103674999999999</v>
      </c>
      <c r="F35">
        <f>112682000*(1/48000000)</f>
        <v>2.3475416666666669</v>
      </c>
      <c r="G35">
        <v>1481</v>
      </c>
      <c r="H35" s="1">
        <v>10.679303000000001</v>
      </c>
      <c r="I35">
        <f>138350000*(1/48000000)</f>
        <v>2.8822916666666667</v>
      </c>
      <c r="J35">
        <v>1964.5</v>
      </c>
      <c r="K35" s="1">
        <v>8.2896339999999995</v>
      </c>
      <c r="L35" s="3">
        <f>180376000*(1/48000000)</f>
        <v>3.7578333333333336</v>
      </c>
      <c r="M35" s="1">
        <v>2933</v>
      </c>
      <c r="N35" s="1">
        <v>5.8025120000000001</v>
      </c>
      <c r="O35">
        <f>263996000*(1/48000000)</f>
        <v>5.4999166666666666</v>
      </c>
      <c r="P35" s="1">
        <v>5059</v>
      </c>
      <c r="Q35" s="1">
        <v>3.474313</v>
      </c>
      <c r="R35">
        <f>446950000*(1/48000000)</f>
        <v>9.3114583333333343</v>
      </c>
      <c r="S35" s="1">
        <v>6202</v>
      </c>
      <c r="T35" s="1">
        <v>2.887696</v>
      </c>
      <c r="U35">
        <f>544144000*(1/48000000)</f>
        <v>11.336333333333334</v>
      </c>
      <c r="V35" s="1">
        <v>8081</v>
      </c>
      <c r="W35" s="1">
        <v>1.4560439999999999</v>
      </c>
      <c r="X35">
        <f>704608000*(1/48000000)</f>
        <v>14.679333333333334</v>
      </c>
      <c r="Y35" s="1">
        <v>9878</v>
      </c>
      <c r="Z35" s="1">
        <v>1.210518</v>
      </c>
      <c r="AA35">
        <f>854363000*(1/48000000)</f>
        <v>17.799229166666667</v>
      </c>
      <c r="AB35" s="1">
        <v>19786</v>
      </c>
      <c r="AC35" s="1">
        <v>0.457013</v>
      </c>
      <c r="AD35" s="1">
        <f t="shared" si="0"/>
        <v>0.457013</v>
      </c>
      <c r="AE35">
        <f>1702577000*(1/48000000)</f>
        <v>35.470354166666667</v>
      </c>
      <c r="AF35">
        <v>29717</v>
      </c>
      <c r="AG35" s="1">
        <v>-7.0980000000000001E-2</v>
      </c>
      <c r="AH35" s="1">
        <f t="shared" si="1"/>
        <v>7.0980000000000001E-2</v>
      </c>
      <c r="AI35">
        <f>2554217000*(1/48000000)</f>
        <v>53.212854166666666</v>
      </c>
      <c r="AJ35">
        <v>50382</v>
      </c>
      <c r="AK35" s="1">
        <v>-0.48486499999999999</v>
      </c>
      <c r="AL35">
        <f t="shared" si="2"/>
        <v>0.48486499999999999</v>
      </c>
      <c r="AM35">
        <f>(4309400*(1/48000000))*1000</f>
        <v>89.779166666666669</v>
      </c>
      <c r="AN35" s="1">
        <v>80506</v>
      </c>
      <c r="AO35" s="1">
        <v>-0.30558099999999999</v>
      </c>
      <c r="AP35" s="1">
        <f t="shared" si="3"/>
        <v>0.30558099999999999</v>
      </c>
      <c r="AQ35">
        <f>(6891254*(1/48000000))*1000</f>
        <v>143.56779166666666</v>
      </c>
      <c r="AR35" s="1">
        <v>99668</v>
      </c>
      <c r="AS35" s="1">
        <v>-0.28210800000000003</v>
      </c>
      <c r="AT35" s="1">
        <f t="shared" si="4"/>
        <v>0.28210800000000003</v>
      </c>
      <c r="AU35">
        <f>(8536959*(1/48000000))*1000</f>
        <v>177.85331249999999</v>
      </c>
    </row>
    <row r="36" spans="1:47" x14ac:dyDescent="0.2">
      <c r="A36">
        <v>989.3</v>
      </c>
      <c r="B36" s="1">
        <v>19.324971999999999</v>
      </c>
      <c r="C36">
        <f>98572000*(1/48000000)</f>
        <v>2.0535833333333335</v>
      </c>
      <c r="D36">
        <v>1193</v>
      </c>
      <c r="E36" s="1">
        <v>16.632207999999999</v>
      </c>
      <c r="F36">
        <f>112303000*(1/48000000)</f>
        <v>2.3396458333333334</v>
      </c>
      <c r="G36">
        <v>1481</v>
      </c>
      <c r="H36" s="1">
        <v>11.149108999999999</v>
      </c>
      <c r="I36">
        <f>137643000*(1/48000000)</f>
        <v>2.8675625</v>
      </c>
      <c r="J36">
        <v>1964.5</v>
      </c>
      <c r="K36" s="1">
        <v>7.5281640000000003</v>
      </c>
      <c r="L36" s="3">
        <f>180596000*(1/48000000)</f>
        <v>3.7624166666666667</v>
      </c>
      <c r="M36" s="1">
        <v>2933</v>
      </c>
      <c r="N36" s="1">
        <v>6.6783489999999999</v>
      </c>
      <c r="O36">
        <f>263129000*(1/48000000)</f>
        <v>5.4818541666666674</v>
      </c>
      <c r="P36" s="1">
        <v>5059</v>
      </c>
      <c r="Q36" s="1">
        <v>3.6711209999999999</v>
      </c>
      <c r="R36">
        <f>446656000*(1/48000000)</f>
        <v>9.3053333333333335</v>
      </c>
      <c r="S36" s="1">
        <v>6202</v>
      </c>
      <c r="T36" s="1">
        <v>2.7494719999999999</v>
      </c>
      <c r="U36">
        <f>542113000*(1/48000000)</f>
        <v>11.294020833333335</v>
      </c>
      <c r="V36" s="1">
        <v>8081</v>
      </c>
      <c r="W36" s="1">
        <v>1.2082120000000001</v>
      </c>
      <c r="X36">
        <f>704211000*(1/48000000)</f>
        <v>14.671062500000001</v>
      </c>
      <c r="Y36" s="1">
        <v>9878</v>
      </c>
      <c r="Z36" s="1">
        <v>1.258373</v>
      </c>
      <c r="AA36">
        <f>852523000*(1/48000000)</f>
        <v>17.760895833333333</v>
      </c>
      <c r="AB36" s="1">
        <v>19786</v>
      </c>
      <c r="AC36" s="1">
        <v>0.24404200000000001</v>
      </c>
      <c r="AD36" s="1">
        <f t="shared" si="0"/>
        <v>0.24404200000000001</v>
      </c>
      <c r="AE36">
        <f>1699991000*(1/48000000)</f>
        <v>35.416479166666669</v>
      </c>
      <c r="AF36">
        <v>29717</v>
      </c>
      <c r="AG36" s="1">
        <v>0.29641899999999999</v>
      </c>
      <c r="AH36" s="1">
        <f t="shared" si="1"/>
        <v>0.29641899999999999</v>
      </c>
      <c r="AI36">
        <f>2549483000*(1/48000000)</f>
        <v>53.114229166666668</v>
      </c>
      <c r="AJ36">
        <v>50382</v>
      </c>
      <c r="AK36" s="1">
        <v>-0.29899399999999998</v>
      </c>
      <c r="AL36">
        <f t="shared" si="2"/>
        <v>0.29899399999999998</v>
      </c>
      <c r="AM36">
        <f>(4308616*(1/48000000))*1000</f>
        <v>89.762833333333333</v>
      </c>
      <c r="AN36" s="1">
        <v>80506</v>
      </c>
      <c r="AO36" s="1">
        <v>0.120701</v>
      </c>
      <c r="AP36" s="1">
        <f t="shared" si="3"/>
        <v>0.120701</v>
      </c>
      <c r="AQ36">
        <f>(6888975*(1/48000000))*1000</f>
        <v>143.52031249999999</v>
      </c>
      <c r="AR36" s="1">
        <v>99668</v>
      </c>
      <c r="AS36" s="1">
        <v>-0.20280000000000001</v>
      </c>
      <c r="AT36" s="1">
        <f t="shared" si="4"/>
        <v>0.20280000000000001</v>
      </c>
      <c r="AU36">
        <f>(8533234*(1/48000000))*1000</f>
        <v>177.77570833333334</v>
      </c>
    </row>
    <row r="37" spans="1:47" x14ac:dyDescent="0.2">
      <c r="A37">
        <v>989.3</v>
      </c>
      <c r="B37" s="1">
        <v>19.939055</v>
      </c>
      <c r="C37">
        <f>98822000*(1/48000000)</f>
        <v>2.0587916666666666</v>
      </c>
      <c r="D37">
        <v>1193</v>
      </c>
      <c r="E37" s="1">
        <v>15.335761</v>
      </c>
      <c r="F37">
        <f>112742000*(1/48000000)</f>
        <v>2.3487916666666666</v>
      </c>
      <c r="G37">
        <v>1481</v>
      </c>
      <c r="H37" s="1">
        <v>10.294796</v>
      </c>
      <c r="I37">
        <f>137907000*(1/48000000)</f>
        <v>2.8730625000000001</v>
      </c>
      <c r="J37">
        <v>1964.5</v>
      </c>
      <c r="K37" s="1">
        <v>7.6411699999999998</v>
      </c>
      <c r="L37" s="3">
        <f>181122000*(1/48000000)</f>
        <v>3.7733750000000001</v>
      </c>
      <c r="M37" s="1">
        <v>2933</v>
      </c>
      <c r="N37" s="1">
        <v>5.8713470000000001</v>
      </c>
      <c r="O37">
        <f>263781000*(1/48000000)</f>
        <v>5.4954375000000004</v>
      </c>
      <c r="P37" s="1">
        <v>5059</v>
      </c>
      <c r="Q37" s="1">
        <v>3.466132</v>
      </c>
      <c r="R37">
        <f>449532000*(1/48000000)</f>
        <v>9.3652500000000014</v>
      </c>
      <c r="S37" s="1">
        <v>6202</v>
      </c>
      <c r="T37" s="1">
        <v>3.3130280000000001</v>
      </c>
      <c r="U37">
        <f>544226000*(1/48000000)</f>
        <v>11.338041666666667</v>
      </c>
      <c r="V37" s="1">
        <v>8081</v>
      </c>
      <c r="W37" s="1">
        <v>0.99127699999999996</v>
      </c>
      <c r="X37">
        <f>703159000*(1/48000000)</f>
        <v>14.649145833333334</v>
      </c>
      <c r="Y37" s="1">
        <v>9878</v>
      </c>
      <c r="Z37" s="1">
        <v>0.718387</v>
      </c>
      <c r="AA37">
        <f>852616000*(1/48000000)</f>
        <v>17.762833333333333</v>
      </c>
      <c r="AB37" s="1">
        <v>19786</v>
      </c>
      <c r="AC37" s="1">
        <v>-8.0304E-2</v>
      </c>
      <c r="AD37" s="1">
        <f t="shared" si="0"/>
        <v>8.0304E-2</v>
      </c>
      <c r="AE37">
        <f>1703322000*(1/48000000)</f>
        <v>35.485875</v>
      </c>
      <c r="AF37">
        <v>29717</v>
      </c>
      <c r="AG37" s="1">
        <v>2.247E-2</v>
      </c>
      <c r="AH37" s="1">
        <f t="shared" si="1"/>
        <v>2.247E-2</v>
      </c>
      <c r="AI37">
        <f>2541061000*(1/48000000)</f>
        <v>52.938770833333336</v>
      </c>
      <c r="AJ37">
        <v>50382</v>
      </c>
      <c r="AK37" s="1">
        <v>-0.51116899999999998</v>
      </c>
      <c r="AL37">
        <f t="shared" si="2"/>
        <v>0.51116899999999998</v>
      </c>
      <c r="AM37">
        <f>(4305144*(1/48000000))*1000</f>
        <v>89.6905</v>
      </c>
      <c r="AN37" s="1">
        <v>80506</v>
      </c>
      <c r="AO37" s="1">
        <v>0.26621600000000001</v>
      </c>
      <c r="AP37" s="1">
        <f t="shared" si="3"/>
        <v>0.26621600000000001</v>
      </c>
      <c r="AQ37">
        <f>(6881510*(1/48000000))*1000</f>
        <v>143.36479166666669</v>
      </c>
      <c r="AR37" s="1">
        <v>99668</v>
      </c>
      <c r="AS37" s="1">
        <v>-0.15096799999999999</v>
      </c>
      <c r="AT37" s="1">
        <f t="shared" si="4"/>
        <v>0.15096799999999999</v>
      </c>
      <c r="AU37">
        <f>(8531429*(1/48000000))*1000</f>
        <v>177.73810416666669</v>
      </c>
    </row>
    <row r="38" spans="1:47" x14ac:dyDescent="0.2">
      <c r="A38">
        <v>989.3</v>
      </c>
      <c r="B38" s="1">
        <v>22.366067000000001</v>
      </c>
      <c r="C38">
        <f>97790000*(1/48000000)</f>
        <v>2.0372916666666669</v>
      </c>
      <c r="D38">
        <v>1193</v>
      </c>
      <c r="E38" s="1">
        <v>16.463013</v>
      </c>
      <c r="F38">
        <f>113256000*(1/48000000)</f>
        <v>2.3595000000000002</v>
      </c>
      <c r="G38">
        <v>1481</v>
      </c>
      <c r="H38" s="1">
        <v>10.576892000000001</v>
      </c>
      <c r="I38">
        <f>137298000*(1/48000000)</f>
        <v>2.8603750000000003</v>
      </c>
      <c r="J38">
        <v>1964.5</v>
      </c>
      <c r="K38" s="1">
        <v>7.2446099999999998</v>
      </c>
      <c r="L38" s="3">
        <f>180735000*(1/48000000)</f>
        <v>3.7653125000000003</v>
      </c>
      <c r="M38" s="1">
        <v>2933</v>
      </c>
      <c r="N38" s="1">
        <v>5.6579499999999996</v>
      </c>
      <c r="O38">
        <f>263469000*(1/48000000)</f>
        <v>5.4889375000000005</v>
      </c>
      <c r="P38" s="1">
        <v>5059</v>
      </c>
      <c r="Q38" s="1">
        <v>3.4458259999999998</v>
      </c>
      <c r="R38">
        <f>449395000*(1/48000000)</f>
        <v>9.3623958333333341</v>
      </c>
      <c r="S38" s="1">
        <v>6202</v>
      </c>
      <c r="T38" s="1">
        <v>2.8780320000000001</v>
      </c>
      <c r="U38">
        <f>543753000*(1/48000000)</f>
        <v>11.3281875</v>
      </c>
      <c r="V38" s="1">
        <v>8081</v>
      </c>
      <c r="W38" s="1">
        <v>1.4409940000000001</v>
      </c>
      <c r="X38">
        <f>701931000*(1/48000000)</f>
        <v>14.6235625</v>
      </c>
      <c r="Y38" s="1">
        <v>9878</v>
      </c>
      <c r="Z38" s="1">
        <v>0.70032099999999997</v>
      </c>
      <c r="AA38">
        <f>853245000*(1/48000000)</f>
        <v>17.775937500000001</v>
      </c>
      <c r="AB38" s="1">
        <v>19786</v>
      </c>
      <c r="AC38" s="1">
        <v>0.67350299999999996</v>
      </c>
      <c r="AD38" s="1">
        <f t="shared" si="0"/>
        <v>0.67350299999999996</v>
      </c>
      <c r="AE38">
        <f>1702931000*(1/48000000)</f>
        <v>35.47772916666667</v>
      </c>
      <c r="AF38">
        <v>29717</v>
      </c>
      <c r="AG38" s="1">
        <v>0.120855</v>
      </c>
      <c r="AH38" s="1">
        <f t="shared" si="1"/>
        <v>0.120855</v>
      </c>
      <c r="AI38">
        <f>2554685000*(1/48000000)</f>
        <v>53.22260416666667</v>
      </c>
      <c r="AJ38">
        <v>50382</v>
      </c>
      <c r="AK38" s="1">
        <v>0.30201299999999998</v>
      </c>
      <c r="AL38">
        <f t="shared" si="2"/>
        <v>0.30201299999999998</v>
      </c>
      <c r="AM38">
        <f>(4305547*(1/48000000))*1000</f>
        <v>89.698895833333339</v>
      </c>
      <c r="AN38" s="1">
        <v>80506</v>
      </c>
      <c r="AO38" s="1">
        <v>-0.12434000000000001</v>
      </c>
      <c r="AP38" s="1">
        <f t="shared" si="3"/>
        <v>0.12434000000000001</v>
      </c>
      <c r="AQ38">
        <f>(6891670*(1/48000000))*1000</f>
        <v>143.57645833333336</v>
      </c>
      <c r="AR38" s="1">
        <v>99668</v>
      </c>
      <c r="AS38" s="1">
        <v>-0.183586</v>
      </c>
      <c r="AT38" s="1">
        <f t="shared" si="4"/>
        <v>0.183586</v>
      </c>
      <c r="AU38">
        <f>(8535355*(1/48000000))*1000</f>
        <v>177.81989583333336</v>
      </c>
    </row>
    <row r="39" spans="1:47" x14ac:dyDescent="0.2">
      <c r="A39">
        <v>989.3</v>
      </c>
      <c r="B39" s="1">
        <v>21.215093</v>
      </c>
      <c r="C39">
        <f>98900000*(1/48000000)</f>
        <v>2.0604166666666668</v>
      </c>
      <c r="D39">
        <v>1193</v>
      </c>
      <c r="E39" s="1">
        <v>16.231034999999999</v>
      </c>
      <c r="F39">
        <f>113295000*(1/48000000)</f>
        <v>2.3603125</v>
      </c>
      <c r="G39">
        <v>1481</v>
      </c>
      <c r="H39" s="1">
        <v>10.581625000000001</v>
      </c>
      <c r="I39">
        <f>138138000*(1/48000000)</f>
        <v>2.877875</v>
      </c>
      <c r="J39">
        <v>1964.5</v>
      </c>
      <c r="K39" s="1">
        <v>7.3584969999999998</v>
      </c>
      <c r="L39" s="3">
        <f>180507000*(1/48000000)</f>
        <v>3.7605625000000003</v>
      </c>
      <c r="M39" s="1">
        <v>2933</v>
      </c>
      <c r="N39" s="1">
        <v>6.1515079999999998</v>
      </c>
      <c r="O39">
        <f>263840000*(1/48000000)</f>
        <v>5.496666666666667</v>
      </c>
      <c r="P39" s="1">
        <v>5059</v>
      </c>
      <c r="Q39" s="1">
        <v>3.81833</v>
      </c>
      <c r="R39">
        <f>447019000*(1/48000000)</f>
        <v>9.312895833333334</v>
      </c>
      <c r="S39" s="1">
        <v>6202</v>
      </c>
      <c r="T39" s="1">
        <v>3.7215579999999999</v>
      </c>
      <c r="U39">
        <f>542379000*(1/48000000)</f>
        <v>11.2995625</v>
      </c>
      <c r="V39" s="1">
        <v>8081</v>
      </c>
      <c r="W39" s="1">
        <v>1.065949</v>
      </c>
      <c r="X39">
        <f>703843000*(1/48000000)</f>
        <v>14.663395833333334</v>
      </c>
      <c r="Y39" s="1">
        <v>9878</v>
      </c>
      <c r="Z39" s="1">
        <v>1.0225169999999999</v>
      </c>
      <c r="AA39">
        <f>851945000*(1/48000000)</f>
        <v>17.748854166666668</v>
      </c>
      <c r="AB39" s="1">
        <v>19786</v>
      </c>
      <c r="AC39" s="1">
        <v>0.32051299999999999</v>
      </c>
      <c r="AD39" s="1">
        <f t="shared" si="0"/>
        <v>0.32051299999999999</v>
      </c>
      <c r="AE39">
        <f>1694291000*(1/48000000)</f>
        <v>35.29772916666667</v>
      </c>
      <c r="AF39">
        <v>29717</v>
      </c>
      <c r="AG39" s="1">
        <v>0.25156200000000001</v>
      </c>
      <c r="AH39" s="1">
        <f t="shared" si="1"/>
        <v>0.25156200000000001</v>
      </c>
      <c r="AI39">
        <f>2553042000*(1/48000000)</f>
        <v>53.188375000000001</v>
      </c>
      <c r="AJ39">
        <v>50382</v>
      </c>
      <c r="AK39" s="1">
        <v>-8.4888000000000005E-2</v>
      </c>
      <c r="AL39">
        <f t="shared" si="2"/>
        <v>8.4888000000000005E-2</v>
      </c>
      <c r="AM39">
        <f>(4310905*(1/48000000))*1000</f>
        <v>89.810520833333342</v>
      </c>
      <c r="AN39" s="1">
        <v>80506</v>
      </c>
      <c r="AO39" s="1">
        <v>-0.22348699999999999</v>
      </c>
      <c r="AP39" s="1">
        <f t="shared" si="3"/>
        <v>0.22348699999999999</v>
      </c>
      <c r="AQ39">
        <f>(6882809*(1/48000000))*1000</f>
        <v>143.39185416666666</v>
      </c>
      <c r="AR39" s="1">
        <v>99668</v>
      </c>
      <c r="AS39" s="1">
        <v>-0.64268499999999995</v>
      </c>
      <c r="AT39" s="1">
        <f t="shared" si="4"/>
        <v>0.64268499999999995</v>
      </c>
      <c r="AU39">
        <f>(8530705*(1/48000000))*1000</f>
        <v>177.72302083333335</v>
      </c>
    </row>
    <row r="40" spans="1:47" x14ac:dyDescent="0.2">
      <c r="A40">
        <v>989.3</v>
      </c>
      <c r="B40" s="1">
        <v>21.834266</v>
      </c>
      <c r="C40">
        <f>98853000*(1/48000000)</f>
        <v>2.0594375</v>
      </c>
      <c r="D40">
        <v>1193</v>
      </c>
      <c r="E40" s="1">
        <v>16.054255000000001</v>
      </c>
      <c r="F40">
        <f>112800000*(1/48000000)</f>
        <v>2.35</v>
      </c>
      <c r="G40">
        <v>1481</v>
      </c>
      <c r="H40" s="1">
        <v>11.550700000000001</v>
      </c>
      <c r="I40">
        <f>137794000*(1/48000000)</f>
        <v>2.8707083333333334</v>
      </c>
      <c r="J40">
        <v>1964.5</v>
      </c>
      <c r="K40" s="1">
        <v>7.2704839999999997</v>
      </c>
      <c r="L40" s="3">
        <f>180401000*(1/48000000)</f>
        <v>3.7583541666666669</v>
      </c>
      <c r="M40" s="1">
        <v>2933</v>
      </c>
      <c r="N40" s="1">
        <v>6.4298849999999996</v>
      </c>
      <c r="O40">
        <f>263531000*(1/48000000)</f>
        <v>5.4902291666666674</v>
      </c>
      <c r="P40" s="1">
        <v>5059</v>
      </c>
      <c r="Q40" s="1">
        <v>3.6125020000000001</v>
      </c>
      <c r="R40">
        <f>445968000*(1/48000000)</f>
        <v>9.2910000000000004</v>
      </c>
      <c r="S40" s="1">
        <v>6202</v>
      </c>
      <c r="T40" s="1">
        <v>2.8712710000000001</v>
      </c>
      <c r="U40">
        <f>542224000*(1/48000000)</f>
        <v>11.296333333333335</v>
      </c>
      <c r="V40" s="1">
        <v>8081</v>
      </c>
      <c r="W40" s="1">
        <v>1.3095479999999999</v>
      </c>
      <c r="X40">
        <f>703517000*(1/48000000)</f>
        <v>14.656604166666668</v>
      </c>
      <c r="Y40" s="1">
        <v>9878</v>
      </c>
      <c r="Z40" s="1">
        <v>0.30374099999999998</v>
      </c>
      <c r="AA40">
        <f>854250000*(1/48000000)</f>
        <v>17.796875</v>
      </c>
      <c r="AB40" s="1">
        <v>19786</v>
      </c>
      <c r="AC40" s="1">
        <v>0.41923100000000002</v>
      </c>
      <c r="AD40" s="1">
        <f t="shared" si="0"/>
        <v>0.41923100000000002</v>
      </c>
      <c r="AE40">
        <f>1692362000*(1/48000000)</f>
        <v>35.257541666666668</v>
      </c>
      <c r="AF40">
        <v>29717</v>
      </c>
      <c r="AG40" s="1">
        <v>-8.6525000000000005E-2</v>
      </c>
      <c r="AH40" s="1">
        <f t="shared" si="1"/>
        <v>8.6525000000000005E-2</v>
      </c>
      <c r="AI40">
        <f>2550545000*(1/48000000)</f>
        <v>53.136354166666671</v>
      </c>
      <c r="AJ40">
        <v>50382</v>
      </c>
      <c r="AK40" s="1">
        <v>-0.121296</v>
      </c>
      <c r="AL40">
        <f t="shared" si="2"/>
        <v>0.121296</v>
      </c>
      <c r="AM40">
        <f>(4307286*(1/48000000))*1000</f>
        <v>89.735124999999996</v>
      </c>
      <c r="AN40" s="1">
        <v>80506</v>
      </c>
      <c r="AO40" s="1">
        <v>-0.12656800000000001</v>
      </c>
      <c r="AP40" s="1">
        <f t="shared" si="3"/>
        <v>0.12656800000000001</v>
      </c>
      <c r="AQ40">
        <f>(6878772*(1/48000000))*1000</f>
        <v>143.30775</v>
      </c>
      <c r="AR40" s="1">
        <v>99668</v>
      </c>
      <c r="AS40" s="1">
        <v>-8.0754999999999993E-2</v>
      </c>
      <c r="AT40" s="1">
        <f t="shared" si="4"/>
        <v>8.0754999999999993E-2</v>
      </c>
      <c r="AU40">
        <f>(8528010*(1/48000000))*1000</f>
        <v>177.666875</v>
      </c>
    </row>
    <row r="41" spans="1:47" x14ac:dyDescent="0.2">
      <c r="A41">
        <v>989.3</v>
      </c>
      <c r="B41" s="1">
        <v>20.426379000000001</v>
      </c>
      <c r="C41">
        <f>98738000*(1/48000000)</f>
        <v>2.0570416666666667</v>
      </c>
      <c r="D41">
        <v>1193</v>
      </c>
      <c r="E41" s="1">
        <v>16.040710000000001</v>
      </c>
      <c r="F41">
        <f>112865000*(1/48000000)</f>
        <v>2.3513541666666669</v>
      </c>
      <c r="G41">
        <v>1481</v>
      </c>
      <c r="H41" s="1">
        <v>11.144075000000001</v>
      </c>
      <c r="I41">
        <f>137646000*(1/48000000)</f>
        <v>2.8676250000000003</v>
      </c>
      <c r="J41">
        <v>1964.5</v>
      </c>
      <c r="K41" s="1">
        <v>6.9068870000000002</v>
      </c>
      <c r="L41" s="3">
        <f>181143000*(1/48000000)</f>
        <v>3.7738125</v>
      </c>
      <c r="M41" s="1">
        <v>2933</v>
      </c>
      <c r="N41" s="1">
        <v>6.1131399999999996</v>
      </c>
      <c r="O41">
        <f>263041000*(1/48000000)</f>
        <v>5.4800208333333336</v>
      </c>
      <c r="P41" s="1">
        <v>5059</v>
      </c>
      <c r="Q41" s="1">
        <v>3.4955250000000002</v>
      </c>
      <c r="R41">
        <f>446580000*(1/48000000)</f>
        <v>9.3037500000000009</v>
      </c>
      <c r="S41" s="1">
        <v>6202</v>
      </c>
      <c r="T41" s="1">
        <v>3.0955729999999999</v>
      </c>
      <c r="U41">
        <f>541842000*(1/48000000)</f>
        <v>11.288375</v>
      </c>
      <c r="V41" s="1">
        <v>8081</v>
      </c>
      <c r="W41" s="1">
        <v>1.0366519999999999</v>
      </c>
      <c r="X41">
        <f>705916000*(1/48000000)</f>
        <v>14.706583333333334</v>
      </c>
      <c r="Y41" s="1">
        <v>9878</v>
      </c>
      <c r="Z41" s="1">
        <v>0.59725099999999998</v>
      </c>
      <c r="AA41">
        <f>853517000*(1/48000000)</f>
        <v>17.781604166666668</v>
      </c>
      <c r="AB41" s="1">
        <v>19786</v>
      </c>
      <c r="AC41" s="1">
        <v>0.58375600000000005</v>
      </c>
      <c r="AD41" s="1">
        <f t="shared" si="0"/>
        <v>0.58375600000000005</v>
      </c>
      <c r="AE41">
        <f>1701627000*(1/48000000)</f>
        <v>35.450562500000004</v>
      </c>
      <c r="AF41">
        <v>29717</v>
      </c>
      <c r="AG41" s="1">
        <v>-0.31054700000000002</v>
      </c>
      <c r="AH41" s="1">
        <f t="shared" si="1"/>
        <v>0.31054700000000002</v>
      </c>
      <c r="AI41">
        <f>2549437000*(1/48000000)</f>
        <v>53.113270833333338</v>
      </c>
      <c r="AJ41">
        <v>50382</v>
      </c>
      <c r="AK41" s="1">
        <v>2.1662000000000001E-2</v>
      </c>
      <c r="AL41">
        <f t="shared" si="2"/>
        <v>2.1662000000000001E-2</v>
      </c>
      <c r="AM41">
        <f>(4312652*(1/48000000))*1000</f>
        <v>89.846916666666658</v>
      </c>
      <c r="AN41" s="1">
        <v>80506</v>
      </c>
      <c r="AO41" s="1">
        <v>-0.23312099999999999</v>
      </c>
      <c r="AP41" s="1">
        <f t="shared" si="3"/>
        <v>0.23312099999999999</v>
      </c>
      <c r="AQ41">
        <f>(6887892*(1/48000000))*1000</f>
        <v>143.49775</v>
      </c>
      <c r="AR41" s="1">
        <v>99668</v>
      </c>
      <c r="AS41" s="1">
        <v>-5.3397E-2</v>
      </c>
      <c r="AT41" s="1">
        <f t="shared" si="4"/>
        <v>5.3397E-2</v>
      </c>
      <c r="AU41">
        <f>(8536935*(1/48000000))*1000</f>
        <v>177.8528125</v>
      </c>
    </row>
    <row r="42" spans="1:47" x14ac:dyDescent="0.2">
      <c r="A42">
        <v>989.3</v>
      </c>
      <c r="B42" s="1">
        <v>17.520565999999999</v>
      </c>
      <c r="C42">
        <f>99559000*(1/48000000)</f>
        <v>2.0741458333333336</v>
      </c>
      <c r="D42">
        <v>1193</v>
      </c>
      <c r="E42" s="1">
        <v>15.790502</v>
      </c>
      <c r="F42">
        <f>112021000*(1/48000000)</f>
        <v>2.3337708333333333</v>
      </c>
      <c r="G42">
        <v>1481</v>
      </c>
      <c r="H42" s="1">
        <v>11.012644</v>
      </c>
      <c r="I42">
        <f>137727000*(1/48000000)</f>
        <v>2.8693125000000004</v>
      </c>
      <c r="J42">
        <v>1964.5</v>
      </c>
      <c r="K42" s="1">
        <v>7.6112419999999998</v>
      </c>
      <c r="L42" s="3">
        <f>180794000*(1/48000000)</f>
        <v>3.7665416666666669</v>
      </c>
      <c r="M42" s="1">
        <v>2933</v>
      </c>
      <c r="N42" s="1">
        <v>5.5199930000000004</v>
      </c>
      <c r="O42">
        <f>263538000*(1/48000000)</f>
        <v>5.4903750000000002</v>
      </c>
      <c r="P42" s="1">
        <v>5059</v>
      </c>
      <c r="Q42" s="1">
        <v>3.3996270000000002</v>
      </c>
      <c r="R42">
        <f>448666000*(1/48000000)</f>
        <v>9.3472083333333345</v>
      </c>
      <c r="S42" s="1">
        <v>6202</v>
      </c>
      <c r="T42" s="1">
        <v>3.064457</v>
      </c>
      <c r="U42">
        <f>542562000*(1/48000000)</f>
        <v>11.303375000000001</v>
      </c>
      <c r="V42" s="1">
        <v>8081</v>
      </c>
      <c r="W42" s="1">
        <v>1.1609210000000001</v>
      </c>
      <c r="X42">
        <f>707231000*(1/48000000)</f>
        <v>14.733979166666668</v>
      </c>
      <c r="Y42" s="1">
        <v>9878</v>
      </c>
      <c r="Z42" s="1">
        <v>0.514266</v>
      </c>
      <c r="AA42">
        <f>849679000*(1/48000000)</f>
        <v>17.701645833333334</v>
      </c>
      <c r="AB42" s="1">
        <v>19786</v>
      </c>
      <c r="AC42" s="1">
        <v>0.59944299999999995</v>
      </c>
      <c r="AD42" s="1">
        <f t="shared" si="0"/>
        <v>0.59944299999999995</v>
      </c>
      <c r="AE42">
        <f>1703706000*(1/48000000)</f>
        <v>35.493875000000003</v>
      </c>
      <c r="AF42">
        <v>29717</v>
      </c>
      <c r="AG42" s="1">
        <v>0.70987900000000004</v>
      </c>
      <c r="AH42" s="1">
        <f t="shared" si="1"/>
        <v>0.70987900000000004</v>
      </c>
      <c r="AI42">
        <f>2553486000*(1/48000000)</f>
        <v>53.197625000000002</v>
      </c>
      <c r="AJ42">
        <v>50382</v>
      </c>
      <c r="AK42" s="1">
        <v>-6.6822000000000006E-2</v>
      </c>
      <c r="AL42">
        <f t="shared" si="2"/>
        <v>6.6822000000000006E-2</v>
      </c>
      <c r="AM42">
        <f>(4307429*(1/48000000))*1000</f>
        <v>89.738104166666659</v>
      </c>
      <c r="AN42" s="1">
        <v>80506</v>
      </c>
      <c r="AO42" s="1">
        <v>-0.659775</v>
      </c>
      <c r="AP42" s="1">
        <f t="shared" si="3"/>
        <v>0.659775</v>
      </c>
      <c r="AQ42">
        <f>(6883943*(1/48000000))*1000</f>
        <v>143.41547916666667</v>
      </c>
      <c r="AR42" s="1">
        <v>99668</v>
      </c>
      <c r="AS42" s="1">
        <v>-7.6966999999999994E-2</v>
      </c>
      <c r="AT42" s="1">
        <f t="shared" si="4"/>
        <v>7.6966999999999994E-2</v>
      </c>
      <c r="AU42">
        <f>(8541529*(1/48000000))*1000</f>
        <v>177.94852083333333</v>
      </c>
    </row>
    <row r="43" spans="1:47" x14ac:dyDescent="0.2">
      <c r="A43">
        <v>989.3</v>
      </c>
      <c r="B43" s="1">
        <v>46.383237999999999</v>
      </c>
      <c r="C43">
        <f>99047000*(1/48000000)</f>
        <v>2.0634791666666668</v>
      </c>
      <c r="D43">
        <v>1193</v>
      </c>
      <c r="E43" s="1">
        <v>15.534416999999999</v>
      </c>
      <c r="F43">
        <f>112996000*(1/48000000)</f>
        <v>2.3540833333333335</v>
      </c>
      <c r="I43">
        <f>138767000*(1/48000000)</f>
        <v>2.8909791666666669</v>
      </c>
      <c r="J43">
        <v>1964.5</v>
      </c>
      <c r="K43" s="1">
        <v>7.1578400000000002</v>
      </c>
      <c r="L43" s="3">
        <f>179835000*(1/48000000)</f>
        <v>3.7465625</v>
      </c>
      <c r="M43" s="1">
        <v>2933</v>
      </c>
      <c r="N43" s="1">
        <v>5.8094409999999996</v>
      </c>
      <c r="O43">
        <f>263796000*(1/48000000)</f>
        <v>5.4957500000000001</v>
      </c>
      <c r="P43" s="1">
        <v>5059</v>
      </c>
      <c r="Q43" s="1">
        <v>3.803499</v>
      </c>
      <c r="R43">
        <f>448985000*(1/48000000)</f>
        <v>9.3538541666666664</v>
      </c>
      <c r="S43" s="1">
        <v>6202</v>
      </c>
      <c r="T43" s="1">
        <v>2.8353009999999998</v>
      </c>
      <c r="U43">
        <f>542658000*(1/48000000)</f>
        <v>11.305375000000002</v>
      </c>
      <c r="V43" s="1">
        <v>8081</v>
      </c>
      <c r="W43" s="1">
        <v>1.17248</v>
      </c>
      <c r="X43">
        <f>701255000*(1/48000000)</f>
        <v>14.609479166666668</v>
      </c>
      <c r="Y43" s="1">
        <v>9878</v>
      </c>
      <c r="Z43" s="1">
        <v>0.40404400000000001</v>
      </c>
      <c r="AA43">
        <f>848422000*(1/48000000)</f>
        <v>17.675458333333335</v>
      </c>
      <c r="AB43" s="1">
        <v>19786</v>
      </c>
      <c r="AC43" s="1">
        <v>-0.38867299999999999</v>
      </c>
      <c r="AD43" s="1">
        <f t="shared" si="0"/>
        <v>0.38867299999999999</v>
      </c>
      <c r="AE43">
        <f>1700974000*(1/48000000)</f>
        <v>35.436958333333337</v>
      </c>
      <c r="AF43">
        <v>29717</v>
      </c>
      <c r="AG43" s="1">
        <v>-0.198716</v>
      </c>
      <c r="AH43" s="1">
        <f t="shared" si="1"/>
        <v>0.198716</v>
      </c>
      <c r="AI43">
        <f>2551350000*(1/48000000)</f>
        <v>53.153125000000003</v>
      </c>
      <c r="AJ43">
        <v>50382</v>
      </c>
      <c r="AK43" s="1">
        <v>-0.257386</v>
      </c>
      <c r="AL43">
        <f t="shared" si="2"/>
        <v>0.257386</v>
      </c>
      <c r="AM43">
        <f>(4311635*(1/48000000))*1000</f>
        <v>89.825729166666676</v>
      </c>
      <c r="AN43" s="1">
        <v>80506</v>
      </c>
      <c r="AO43" s="1">
        <v>-0.44201299999999999</v>
      </c>
      <c r="AP43" s="1">
        <f t="shared" si="3"/>
        <v>0.44201299999999999</v>
      </c>
      <c r="AQ43">
        <f>(6885448*(1/48000000))*1000</f>
        <v>143.44683333333333</v>
      </c>
      <c r="AR43" s="1">
        <v>99668</v>
      </c>
      <c r="AS43" s="1">
        <v>-0.393513</v>
      </c>
      <c r="AT43" s="1">
        <f t="shared" si="4"/>
        <v>0.393513</v>
      </c>
      <c r="AU43">
        <f>(8534818*(1/48000000))*1000</f>
        <v>177.80870833333336</v>
      </c>
    </row>
    <row r="44" spans="1:47" x14ac:dyDescent="0.2">
      <c r="A44">
        <v>989.3</v>
      </c>
      <c r="B44" s="1">
        <v>22.983906000000001</v>
      </c>
      <c r="C44">
        <f>98503000*(1/48000000)</f>
        <v>2.0521458333333333</v>
      </c>
      <c r="D44">
        <v>1193</v>
      </c>
      <c r="E44" s="1">
        <v>16.2927</v>
      </c>
      <c r="F44">
        <f>113153000*(1/48000000)</f>
        <v>2.3573541666666666</v>
      </c>
      <c r="I44">
        <f>138039000*(1/48000000)</f>
        <v>2.8758125000000003</v>
      </c>
      <c r="J44">
        <v>1964.5</v>
      </c>
      <c r="K44" s="1">
        <v>7.207846</v>
      </c>
      <c r="L44" s="3">
        <f>180220000*(1/48000000)</f>
        <v>3.7545833333333336</v>
      </c>
      <c r="M44" s="1">
        <v>2933</v>
      </c>
      <c r="N44" s="1">
        <v>5.4306580000000002</v>
      </c>
      <c r="O44">
        <f>263564000*(1/48000000)</f>
        <v>5.4909166666666671</v>
      </c>
      <c r="P44" s="1">
        <v>5059</v>
      </c>
      <c r="Q44" s="1">
        <v>3.363944</v>
      </c>
      <c r="R44">
        <f>447474000*(1/48000000)</f>
        <v>9.322375000000001</v>
      </c>
      <c r="S44" s="1">
        <v>6202</v>
      </c>
      <c r="T44" s="1">
        <v>3.052969</v>
      </c>
      <c r="U44">
        <f>543220000*(1/48000000)</f>
        <v>11.317083333333334</v>
      </c>
      <c r="V44" s="1">
        <v>8081</v>
      </c>
      <c r="W44" s="1">
        <v>1.009063</v>
      </c>
      <c r="X44">
        <f>702604000*(1/48000000)</f>
        <v>14.637583333333334</v>
      </c>
      <c r="Y44" s="1">
        <v>9878</v>
      </c>
      <c r="Z44" s="1">
        <v>0.59434200000000004</v>
      </c>
      <c r="AA44">
        <f>851888000*(1/48000000)</f>
        <v>17.747666666666667</v>
      </c>
      <c r="AB44" s="1">
        <v>19786</v>
      </c>
      <c r="AC44" s="1">
        <v>0.42220999999999997</v>
      </c>
      <c r="AD44" s="1">
        <f t="shared" si="0"/>
        <v>0.42220999999999997</v>
      </c>
      <c r="AE44">
        <f>1695842000*(1/48000000)</f>
        <v>35.330041666666666</v>
      </c>
      <c r="AF44">
        <v>29717</v>
      </c>
      <c r="AG44" s="1">
        <v>-0.17546700000000001</v>
      </c>
      <c r="AH44" s="1">
        <f t="shared" si="1"/>
        <v>0.17546700000000001</v>
      </c>
      <c r="AI44">
        <f>2539391000*(1/48000000)</f>
        <v>52.903979166666673</v>
      </c>
      <c r="AJ44">
        <v>50382</v>
      </c>
      <c r="AK44" s="1">
        <v>3.2231000000000003E-2</v>
      </c>
      <c r="AL44">
        <f t="shared" si="2"/>
        <v>3.2231000000000003E-2</v>
      </c>
      <c r="AM44">
        <f>(4306102*(1/48000000))*1000</f>
        <v>89.710458333333335</v>
      </c>
      <c r="AN44" s="1">
        <v>80506</v>
      </c>
      <c r="AO44" s="1">
        <v>0.104597</v>
      </c>
      <c r="AP44" s="1">
        <f t="shared" si="3"/>
        <v>0.104597</v>
      </c>
      <c r="AQ44">
        <f>(6894638*(1/48000000))*1000</f>
        <v>143.63829166666667</v>
      </c>
      <c r="AR44" s="1">
        <v>99668</v>
      </c>
      <c r="AS44" s="1">
        <v>-0.25747999999999999</v>
      </c>
      <c r="AT44" s="1">
        <f t="shared" si="4"/>
        <v>0.25747999999999999</v>
      </c>
      <c r="AU44">
        <f>(8531642*(1/48000000))*1000</f>
        <v>177.74254166666668</v>
      </c>
    </row>
    <row r="45" spans="1:47" x14ac:dyDescent="0.2">
      <c r="A45">
        <v>989.3</v>
      </c>
      <c r="B45" s="1">
        <v>15.899466</v>
      </c>
      <c r="C45">
        <f>98262000*(1/48000000)</f>
        <v>2.0471250000000003</v>
      </c>
      <c r="D45">
        <v>1193</v>
      </c>
      <c r="E45" s="1">
        <v>16.797411</v>
      </c>
      <c r="F45">
        <f>112689000*(1/48000000)</f>
        <v>2.3476875000000001</v>
      </c>
      <c r="I45">
        <f>138569000*(1/48000000)</f>
        <v>2.8868541666666667</v>
      </c>
      <c r="J45">
        <v>1964.5</v>
      </c>
      <c r="K45" s="1">
        <v>7.0323180000000001</v>
      </c>
      <c r="L45" s="3">
        <f>180237000*(1/48000000)</f>
        <v>3.7549375</v>
      </c>
      <c r="M45" s="1">
        <v>2933</v>
      </c>
      <c r="N45" s="1">
        <v>5.5106799999999998</v>
      </c>
      <c r="O45">
        <f>264183000*(1/48000000)</f>
        <v>5.5038125000000004</v>
      </c>
      <c r="P45" s="1">
        <v>5059</v>
      </c>
      <c r="Q45" s="1">
        <v>3.4429470000000002</v>
      </c>
      <c r="R45">
        <f>445768000*(1/48000000)</f>
        <v>9.2868333333333339</v>
      </c>
      <c r="S45" s="1">
        <v>6202</v>
      </c>
      <c r="T45" s="1">
        <v>2.834117</v>
      </c>
      <c r="U45">
        <f>543805000*(1/48000000)</f>
        <v>11.329270833333334</v>
      </c>
      <c r="V45" s="1">
        <v>8081</v>
      </c>
      <c r="W45" s="1">
        <v>0.85095100000000001</v>
      </c>
      <c r="X45">
        <f>702668000*(1/48000000)</f>
        <v>14.638916666666667</v>
      </c>
      <c r="Y45" s="1">
        <v>9878</v>
      </c>
      <c r="Z45" s="1">
        <v>0.776725</v>
      </c>
      <c r="AA45">
        <f>852155000*(1/48000000)</f>
        <v>17.753229166666667</v>
      </c>
      <c r="AB45" s="1">
        <v>19786</v>
      </c>
      <c r="AC45" s="1">
        <v>0.430755</v>
      </c>
      <c r="AD45" s="1">
        <f t="shared" si="0"/>
        <v>0.430755</v>
      </c>
      <c r="AE45">
        <f>1700223000*(1/48000000)</f>
        <v>35.421312499999999</v>
      </c>
      <c r="AF45">
        <v>29717</v>
      </c>
      <c r="AG45" s="1">
        <v>6.9651000000000005E-2</v>
      </c>
      <c r="AH45" s="1">
        <f t="shared" si="1"/>
        <v>6.9651000000000005E-2</v>
      </c>
      <c r="AI45">
        <f>2547686000*(1/48000000)</f>
        <v>53.076791666666672</v>
      </c>
      <c r="AJ45">
        <v>50382</v>
      </c>
      <c r="AK45" s="1">
        <v>-0.124304</v>
      </c>
      <c r="AL45">
        <f t="shared" si="2"/>
        <v>0.124304</v>
      </c>
      <c r="AM45">
        <f>(4307529*(1/48000000))*1000</f>
        <v>89.740187500000005</v>
      </c>
      <c r="AN45" s="1">
        <v>80506</v>
      </c>
      <c r="AO45" s="1">
        <v>-0.40632699999999999</v>
      </c>
      <c r="AP45" s="1">
        <f t="shared" si="3"/>
        <v>0.40632699999999999</v>
      </c>
      <c r="AQ45">
        <f>(6890313*(1/48000000))*1000</f>
        <v>143.54818750000001</v>
      </c>
      <c r="AR45" s="1">
        <v>99668</v>
      </c>
      <c r="AS45" s="1">
        <v>0.16526399999999999</v>
      </c>
      <c r="AT45" s="1">
        <f t="shared" si="4"/>
        <v>0.16526399999999999</v>
      </c>
      <c r="AU45">
        <f>(8534997*(1/48000000))*1000</f>
        <v>177.81243750000002</v>
      </c>
    </row>
    <row r="46" spans="1:47" x14ac:dyDescent="0.2">
      <c r="A46">
        <v>989.3</v>
      </c>
      <c r="B46" s="1">
        <v>17.217538999999999</v>
      </c>
      <c r="C46">
        <f>99218000*(1/48000000)</f>
        <v>2.0670416666666669</v>
      </c>
      <c r="D46">
        <v>1193</v>
      </c>
      <c r="E46" s="1">
        <v>16.116738000000002</v>
      </c>
      <c r="F46">
        <f>112234000*(1/48000000)</f>
        <v>2.3382083333333337</v>
      </c>
      <c r="I46">
        <f>138194000*(1/48000000)</f>
        <v>2.8790416666666667</v>
      </c>
      <c r="J46">
        <v>1964.5</v>
      </c>
      <c r="K46" s="1">
        <v>6.8290389999999999</v>
      </c>
      <c r="L46" s="3">
        <f>180235000*(1/48000000)</f>
        <v>3.7548958333333338</v>
      </c>
      <c r="M46" s="1">
        <v>2933</v>
      </c>
      <c r="N46" s="1">
        <v>6.5126350000000004</v>
      </c>
      <c r="O46">
        <f>263936000*(1/48000000)</f>
        <v>5.4986666666666668</v>
      </c>
      <c r="P46" s="1">
        <v>5059</v>
      </c>
      <c r="Q46" s="1">
        <v>3.9341140000000001</v>
      </c>
      <c r="R46">
        <f>445796000*(1/48000000)</f>
        <v>9.2874166666666671</v>
      </c>
      <c r="S46" s="1">
        <v>6202</v>
      </c>
      <c r="T46" s="1">
        <v>2.6941190000000002</v>
      </c>
      <c r="U46">
        <f>542718000*(1/48000000)</f>
        <v>11.306625</v>
      </c>
      <c r="V46" s="1">
        <v>8081</v>
      </c>
      <c r="W46" s="1">
        <v>1.4438260000000001</v>
      </c>
      <c r="X46">
        <f>705136000*(1/48000000)</f>
        <v>14.690333333333335</v>
      </c>
      <c r="Y46" s="1">
        <v>9878</v>
      </c>
      <c r="Z46" s="1">
        <v>0.74805600000000005</v>
      </c>
      <c r="AA46">
        <f>851406000*(1/48000000)</f>
        <v>17.737625000000001</v>
      </c>
      <c r="AB46" s="1">
        <v>19786</v>
      </c>
      <c r="AC46" s="1">
        <v>0.234015</v>
      </c>
      <c r="AD46" s="1">
        <f t="shared" si="0"/>
        <v>0.234015</v>
      </c>
      <c r="AE46">
        <f>1701572000*(1/48000000)</f>
        <v>35.449416666666671</v>
      </c>
      <c r="AF46">
        <v>29717</v>
      </c>
      <c r="AG46" s="1">
        <v>-0.14815400000000001</v>
      </c>
      <c r="AH46" s="1">
        <f t="shared" si="1"/>
        <v>0.14815400000000001</v>
      </c>
      <c r="AI46">
        <f>2553019000*(1/48000000)</f>
        <v>53.187895833333336</v>
      </c>
      <c r="AJ46">
        <v>50382</v>
      </c>
      <c r="AK46" s="1">
        <v>-0.38176900000000002</v>
      </c>
      <c r="AL46">
        <f t="shared" si="2"/>
        <v>0.38176900000000002</v>
      </c>
      <c r="AM46">
        <f>(4306632*(1/48000000))*1000</f>
        <v>89.721500000000006</v>
      </c>
      <c r="AN46" s="1">
        <v>80506</v>
      </c>
      <c r="AO46" s="1">
        <v>-0.493788</v>
      </c>
      <c r="AP46" s="1">
        <f t="shared" si="3"/>
        <v>0.493788</v>
      </c>
      <c r="AQ46">
        <f>(6891742*(1/48000000))*1000</f>
        <v>143.57795833333333</v>
      </c>
      <c r="AR46" s="1">
        <v>99668</v>
      </c>
      <c r="AS46" s="1">
        <v>-0.19325899999999999</v>
      </c>
      <c r="AT46" s="1">
        <f t="shared" si="4"/>
        <v>0.19325899999999999</v>
      </c>
      <c r="AU46">
        <f>(8526118*(1/48000000))*1000</f>
        <v>177.62745833333335</v>
      </c>
    </row>
    <row r="47" spans="1:47" x14ac:dyDescent="0.2">
      <c r="A47">
        <v>989.3</v>
      </c>
      <c r="B47" s="1">
        <v>16.410087000000001</v>
      </c>
      <c r="C47">
        <f>97310000*(1/48000000)</f>
        <v>2.0272916666666667</v>
      </c>
      <c r="D47">
        <v>1193</v>
      </c>
      <c r="E47" s="1">
        <v>16.28593</v>
      </c>
      <c r="F47">
        <f>112898000*(1/48000000)</f>
        <v>2.352041666666667</v>
      </c>
      <c r="I47">
        <f>138001000*(1/48000000)</f>
        <v>2.8750208333333336</v>
      </c>
      <c r="J47">
        <v>1964.5</v>
      </c>
      <c r="K47" s="1">
        <v>7.2548240000000002</v>
      </c>
      <c r="L47" s="3">
        <f>180630000*(1/48000000)</f>
        <v>3.7631250000000001</v>
      </c>
      <c r="M47" s="1">
        <v>2933</v>
      </c>
      <c r="N47" s="1">
        <v>5.5449020000000004</v>
      </c>
      <c r="O47">
        <f>263321000*(1/48000000)</f>
        <v>5.4858541666666669</v>
      </c>
      <c r="P47" s="1">
        <v>5059</v>
      </c>
      <c r="Q47" s="1">
        <v>3.4572940000000001</v>
      </c>
      <c r="R47">
        <f>448519000*(1/48000000)</f>
        <v>9.344145833333334</v>
      </c>
      <c r="S47" s="1">
        <v>6202</v>
      </c>
      <c r="T47" s="1">
        <v>3.6095920000000001</v>
      </c>
      <c r="U47">
        <f>543517000*(1/48000000)</f>
        <v>11.323270833333334</v>
      </c>
      <c r="V47" s="1">
        <v>8081</v>
      </c>
      <c r="W47" s="1">
        <v>1.215983</v>
      </c>
      <c r="X47">
        <f>703504000*(1/48000000)</f>
        <v>14.656333333333334</v>
      </c>
      <c r="Y47" s="1">
        <v>9878</v>
      </c>
      <c r="Z47" s="1">
        <v>1.4818020000000001</v>
      </c>
      <c r="AA47">
        <f>853867000*(1/48000000)</f>
        <v>17.788895833333335</v>
      </c>
      <c r="AB47" s="1">
        <v>19786</v>
      </c>
      <c r="AC47" s="1">
        <v>5.6378999999999999E-2</v>
      </c>
      <c r="AD47" s="1">
        <f t="shared" si="0"/>
        <v>5.6378999999999999E-2</v>
      </c>
      <c r="AE47">
        <f>1698007000*(1/48000000)</f>
        <v>35.375145833333335</v>
      </c>
      <c r="AF47">
        <v>29717</v>
      </c>
      <c r="AG47" s="1">
        <v>0.36710700000000002</v>
      </c>
      <c r="AH47" s="1">
        <f t="shared" si="1"/>
        <v>0.36710700000000002</v>
      </c>
      <c r="AI47">
        <f>2549320000*(1/48000000)</f>
        <v>53.110833333333339</v>
      </c>
      <c r="AJ47">
        <v>50382</v>
      </c>
      <c r="AK47" s="1">
        <v>-0.34256900000000001</v>
      </c>
      <c r="AL47">
        <f t="shared" si="2"/>
        <v>0.34256900000000001</v>
      </c>
      <c r="AM47">
        <f>(4297685*(1/48000000))*1000</f>
        <v>89.53510416666667</v>
      </c>
      <c r="AN47" s="1">
        <v>80506</v>
      </c>
      <c r="AO47" s="1">
        <v>-0.13872599999999999</v>
      </c>
      <c r="AP47" s="1">
        <f t="shared" si="3"/>
        <v>0.13872599999999999</v>
      </c>
      <c r="AQ47">
        <f>(6889753*(1/48000000))*1000</f>
        <v>143.53652083333336</v>
      </c>
      <c r="AR47" s="1">
        <v>99668</v>
      </c>
      <c r="AS47" s="1">
        <v>-0.82907500000000001</v>
      </c>
      <c r="AT47" s="1">
        <f t="shared" si="4"/>
        <v>0.82907500000000001</v>
      </c>
      <c r="AU47">
        <f>(8532634*(1/48000000))*1000</f>
        <v>177.76320833333335</v>
      </c>
    </row>
    <row r="48" spans="1:47" x14ac:dyDescent="0.2">
      <c r="A48">
        <v>989.3</v>
      </c>
      <c r="B48" s="1">
        <v>16.707328</v>
      </c>
      <c r="C48">
        <f>98855000*(1/48000000)</f>
        <v>2.0594791666666667</v>
      </c>
      <c r="D48">
        <v>1193</v>
      </c>
      <c r="E48" s="1">
        <v>15.74938</v>
      </c>
      <c r="F48">
        <f>112046000*(1/48000000)</f>
        <v>2.3342916666666667</v>
      </c>
      <c r="I48">
        <f>138568000*(1/48000000)</f>
        <v>2.8868333333333336</v>
      </c>
      <c r="J48">
        <v>1964.5</v>
      </c>
      <c r="K48" s="1">
        <v>6.6828649999999996</v>
      </c>
      <c r="L48" s="3">
        <f>181042000*(1/48000000)</f>
        <v>3.7717083333333337</v>
      </c>
      <c r="M48" s="1">
        <v>2933</v>
      </c>
      <c r="N48" s="1">
        <v>5.8784460000000003</v>
      </c>
      <c r="O48">
        <f>263485000*(1/48000000)</f>
        <v>5.4892708333333333</v>
      </c>
      <c r="P48" s="1">
        <v>5059</v>
      </c>
      <c r="Q48" s="1">
        <v>3.740119</v>
      </c>
      <c r="R48">
        <f>447715000*(1/48000000)</f>
        <v>9.327395833333334</v>
      </c>
      <c r="S48" s="1">
        <v>6202</v>
      </c>
      <c r="T48" s="1">
        <v>3.0600679999999998</v>
      </c>
      <c r="U48">
        <f>543096000*(1/48000000)</f>
        <v>11.314500000000001</v>
      </c>
      <c r="V48" s="1">
        <v>8081</v>
      </c>
      <c r="W48" s="1">
        <v>1.0565500000000001</v>
      </c>
      <c r="X48">
        <f>701890000*(1/48000000)</f>
        <v>14.622708333333334</v>
      </c>
      <c r="Y48" s="1">
        <v>9878</v>
      </c>
      <c r="Z48" s="1">
        <v>1.334973</v>
      </c>
      <c r="AA48">
        <f>853572000*(1/48000000)</f>
        <v>17.78275</v>
      </c>
      <c r="AB48" s="1">
        <v>19786</v>
      </c>
      <c r="AC48" s="1">
        <v>-0.104175</v>
      </c>
      <c r="AD48" s="1">
        <f t="shared" si="0"/>
        <v>0.104175</v>
      </c>
      <c r="AE48">
        <f>1702587000*(1/48000000)</f>
        <v>35.4705625</v>
      </c>
      <c r="AF48">
        <v>29717</v>
      </c>
      <c r="AG48" s="1">
        <v>0.109303</v>
      </c>
      <c r="AH48" s="1">
        <f t="shared" si="1"/>
        <v>0.109303</v>
      </c>
      <c r="AI48">
        <f>2552788000*(1/48000000)</f>
        <v>53.183083333333336</v>
      </c>
      <c r="AJ48">
        <v>50382</v>
      </c>
      <c r="AK48" s="1">
        <v>-0.73683399999999999</v>
      </c>
      <c r="AL48">
        <f t="shared" si="2"/>
        <v>0.73683399999999999</v>
      </c>
      <c r="AM48">
        <f>(4306650*(1/48000000))*1000</f>
        <v>89.721875000000011</v>
      </c>
      <c r="AN48" s="1">
        <v>80506</v>
      </c>
      <c r="AO48" s="1">
        <v>-0.109361</v>
      </c>
      <c r="AP48" s="1">
        <f t="shared" si="3"/>
        <v>0.109361</v>
      </c>
      <c r="AQ48">
        <f>(6893069*(1/48000000))*1000</f>
        <v>143.60560416666667</v>
      </c>
      <c r="AR48" s="1">
        <v>99668</v>
      </c>
      <c r="AS48" s="1">
        <v>-0.15845300000000001</v>
      </c>
      <c r="AT48" s="1">
        <f t="shared" si="4"/>
        <v>0.15845300000000001</v>
      </c>
      <c r="AU48">
        <f>(8545117*(1/48000000))*1000</f>
        <v>178.02327083333336</v>
      </c>
    </row>
    <row r="49" spans="1:47" x14ac:dyDescent="0.2">
      <c r="A49">
        <v>989.3</v>
      </c>
      <c r="B49" s="1">
        <v>16.151537999999999</v>
      </c>
      <c r="C49">
        <f>97692000*(1/48000000)</f>
        <v>2.03525</v>
      </c>
      <c r="D49">
        <v>1193</v>
      </c>
      <c r="E49" s="1">
        <v>15.460991999999999</v>
      </c>
      <c r="F49">
        <f>112845000*(1/48000000)</f>
        <v>2.3509375000000001</v>
      </c>
      <c r="I49">
        <f>137586000*(1/48000000)</f>
        <v>2.8663750000000001</v>
      </c>
      <c r="J49">
        <v>1964.5</v>
      </c>
      <c r="K49" s="1">
        <v>6.8117840000000003</v>
      </c>
      <c r="L49" s="3">
        <f>180697000*(1/48000000)</f>
        <v>3.7645208333333335</v>
      </c>
      <c r="M49" s="1">
        <v>2933</v>
      </c>
      <c r="N49" s="1">
        <v>5.9692400000000001</v>
      </c>
      <c r="O49">
        <f>263476000*(1/48000000)</f>
        <v>5.4890833333333333</v>
      </c>
      <c r="P49" s="1">
        <v>5059</v>
      </c>
      <c r="Q49" s="1">
        <v>4.5318350000000001</v>
      </c>
      <c r="R49">
        <f>449116000*(1/48000000)</f>
        <v>9.356583333333333</v>
      </c>
      <c r="S49" s="1">
        <v>6202</v>
      </c>
      <c r="T49" s="1">
        <v>2.6453730000000002</v>
      </c>
      <c r="U49">
        <f>541886000*(1/48000000)</f>
        <v>11.289291666666667</v>
      </c>
      <c r="V49" s="1">
        <v>8081</v>
      </c>
      <c r="W49" s="1">
        <v>0.83544399999999996</v>
      </c>
      <c r="X49">
        <f>705126000*(1/48000000)</f>
        <v>14.690125</v>
      </c>
      <c r="Y49" s="1">
        <v>9878</v>
      </c>
      <c r="Z49" s="1">
        <v>3.6013999999999997E-2</v>
      </c>
      <c r="AA49">
        <f>854264000*(1/48000000)</f>
        <v>17.797166666666669</v>
      </c>
      <c r="AB49" s="1">
        <v>19786</v>
      </c>
      <c r="AC49" s="1">
        <v>0.18559800000000001</v>
      </c>
      <c r="AD49" s="1">
        <f t="shared" si="0"/>
        <v>0.18559800000000001</v>
      </c>
      <c r="AE49">
        <f>1695177000*(1/48000000)</f>
        <v>35.316187500000005</v>
      </c>
      <c r="AF49">
        <v>29717</v>
      </c>
      <c r="AG49" s="1">
        <v>0.18303</v>
      </c>
      <c r="AH49" s="1">
        <f t="shared" si="1"/>
        <v>0.18303</v>
      </c>
      <c r="AI49">
        <f>2552301000*(1/48000000)</f>
        <v>53.172937500000003</v>
      </c>
      <c r="AJ49">
        <v>50382</v>
      </c>
      <c r="AK49" s="1">
        <v>-0.34770000000000001</v>
      </c>
      <c r="AL49">
        <f t="shared" si="2"/>
        <v>0.34770000000000001</v>
      </c>
      <c r="AM49">
        <f>(4305467*(1/48000000))*1000</f>
        <v>89.697229166666673</v>
      </c>
      <c r="AN49" s="1">
        <v>80506</v>
      </c>
      <c r="AO49" s="1">
        <v>-0.32952599999999999</v>
      </c>
      <c r="AP49" s="1">
        <f t="shared" si="3"/>
        <v>0.32952599999999999</v>
      </c>
      <c r="AQ49">
        <f>(6888858*(1/48000000))*1000</f>
        <v>143.517875</v>
      </c>
      <c r="AR49" s="1">
        <v>99668</v>
      </c>
      <c r="AS49" s="1">
        <v>-0.23058899999999999</v>
      </c>
      <c r="AT49" s="1">
        <f t="shared" si="4"/>
        <v>0.23058899999999999</v>
      </c>
      <c r="AU49">
        <f>(8535800*(1/48000000))*1000</f>
        <v>177.82916666666668</v>
      </c>
    </row>
    <row r="50" spans="1:47" x14ac:dyDescent="0.2">
      <c r="A50">
        <v>989.3</v>
      </c>
      <c r="B50" s="1">
        <v>16.010622000000001</v>
      </c>
      <c r="C50">
        <f>97733000*(1/48000000)</f>
        <v>2.0361041666666666</v>
      </c>
      <c r="D50">
        <v>1193</v>
      </c>
      <c r="E50" s="1">
        <v>16.596865000000001</v>
      </c>
      <c r="F50">
        <f>112524000*(1/48000000)</f>
        <v>2.3442500000000002</v>
      </c>
      <c r="I50">
        <f>138004000*(1/48000000)</f>
        <v>2.8750833333333334</v>
      </c>
      <c r="J50">
        <v>1964.5</v>
      </c>
      <c r="K50" s="1">
        <v>7.6519339999999998</v>
      </c>
      <c r="L50" s="3">
        <f>180656000*(1/48000000)</f>
        <v>3.7636666666666669</v>
      </c>
      <c r="M50" s="1">
        <v>2933</v>
      </c>
      <c r="N50" s="1">
        <v>5.236885</v>
      </c>
      <c r="O50">
        <f>263868000*(1/48000000)</f>
        <v>5.4972500000000002</v>
      </c>
      <c r="P50" s="1">
        <v>5059</v>
      </c>
      <c r="Q50" s="1">
        <v>3.5355919999999998</v>
      </c>
      <c r="R50">
        <f>448000000*(1/48000000)</f>
        <v>9.3333333333333339</v>
      </c>
      <c r="S50" s="1">
        <v>6202</v>
      </c>
      <c r="T50" s="1">
        <v>3.0197150000000001</v>
      </c>
      <c r="U50">
        <f>543862000*(1/48000000)</f>
        <v>11.330458333333334</v>
      </c>
      <c r="V50" s="1">
        <v>8081</v>
      </c>
      <c r="W50" s="1">
        <v>1.0317190000000001</v>
      </c>
      <c r="X50">
        <f>700069000*(1/48000000)</f>
        <v>14.584770833333334</v>
      </c>
      <c r="Y50" s="1">
        <v>9878</v>
      </c>
      <c r="Z50" s="1">
        <v>0.63873100000000005</v>
      </c>
      <c r="AA50">
        <f>847407000*(1/48000000)</f>
        <v>17.6543125</v>
      </c>
      <c r="AB50" s="1">
        <v>19786</v>
      </c>
      <c r="AC50" s="1">
        <v>0.22568299999999999</v>
      </c>
      <c r="AD50" s="1">
        <f t="shared" si="0"/>
        <v>0.22568299999999999</v>
      </c>
      <c r="AE50">
        <f>1702595000*(1/48000000)</f>
        <v>35.470729166666672</v>
      </c>
      <c r="AF50">
        <v>29717</v>
      </c>
      <c r="AG50" s="1">
        <v>1.4187999999999999E-2</v>
      </c>
      <c r="AH50" s="1">
        <f t="shared" si="1"/>
        <v>1.4187999999999999E-2</v>
      </c>
      <c r="AI50">
        <f>2551559000*(1/48000000)</f>
        <v>53.157479166666668</v>
      </c>
      <c r="AJ50">
        <v>50382</v>
      </c>
      <c r="AK50" s="1">
        <v>-0.177727</v>
      </c>
      <c r="AL50">
        <f t="shared" si="2"/>
        <v>0.177727</v>
      </c>
      <c r="AM50">
        <f>(4309352*(1/48000000))*1000</f>
        <v>89.778166666666678</v>
      </c>
      <c r="AN50" s="1">
        <v>80506</v>
      </c>
      <c r="AO50" s="1">
        <v>-0.24477299999999999</v>
      </c>
      <c r="AP50" s="1">
        <f t="shared" si="3"/>
        <v>0.24477299999999999</v>
      </c>
      <c r="AQ50">
        <f>(6882730*(1/48000000))*1000</f>
        <v>143.39020833333336</v>
      </c>
      <c r="AR50" s="1">
        <v>99668</v>
      </c>
      <c r="AS50" s="1">
        <v>0.52606200000000003</v>
      </c>
      <c r="AT50" s="1">
        <f t="shared" si="4"/>
        <v>0.52606200000000003</v>
      </c>
      <c r="AU50">
        <f>(8537293*(1/48000000))*1000</f>
        <v>177.86027083333335</v>
      </c>
    </row>
    <row r="51" spans="1:47" x14ac:dyDescent="0.2">
      <c r="A51">
        <v>989.3</v>
      </c>
      <c r="B51" s="1">
        <v>16.178702000000001</v>
      </c>
      <c r="C51">
        <f>98895000*(1/48000000)</f>
        <v>2.0603125000000002</v>
      </c>
      <c r="D51">
        <v>1193</v>
      </c>
      <c r="E51" s="1">
        <v>16.369996</v>
      </c>
      <c r="F51">
        <f>112561000*(1/48000000)</f>
        <v>2.3450208333333333</v>
      </c>
      <c r="I51">
        <f>138249000*(1/48000000)</f>
        <v>2.8801875000000003</v>
      </c>
      <c r="J51">
        <v>1964.5</v>
      </c>
      <c r="K51" s="1">
        <v>6.902965</v>
      </c>
      <c r="L51" s="3">
        <f>180362000*(1/48000000)</f>
        <v>3.757541666666667</v>
      </c>
      <c r="M51" s="1">
        <v>2933</v>
      </c>
      <c r="N51" s="1">
        <v>5.3628039999999997</v>
      </c>
      <c r="O51">
        <f>263961000*(1/48000000)</f>
        <v>5.4991875000000006</v>
      </c>
      <c r="P51" s="1">
        <v>5059</v>
      </c>
      <c r="Q51" s="1">
        <v>3.1195379999999999</v>
      </c>
      <c r="R51">
        <f>449549000*(1/48000000)</f>
        <v>9.3656041666666674</v>
      </c>
      <c r="S51" s="1">
        <v>6202</v>
      </c>
      <c r="T51" s="1">
        <v>3.134897</v>
      </c>
      <c r="U51">
        <f>541284000*(1/48000000)</f>
        <v>11.27675</v>
      </c>
      <c r="V51" s="1">
        <v>8081</v>
      </c>
      <c r="W51" s="1">
        <v>0.93034099999999997</v>
      </c>
      <c r="X51">
        <f>704060000*(1/48000000)</f>
        <v>14.667916666666667</v>
      </c>
      <c r="Y51" s="1">
        <v>9878</v>
      </c>
      <c r="Z51" s="1">
        <v>0.88403100000000001</v>
      </c>
      <c r="AA51">
        <f>849710000*(1/48000000)</f>
        <v>17.702291666666667</v>
      </c>
      <c r="AB51" s="1">
        <v>19786</v>
      </c>
      <c r="AC51" s="1">
        <v>0.25758999999999999</v>
      </c>
      <c r="AD51" s="1">
        <f t="shared" si="0"/>
        <v>0.25758999999999999</v>
      </c>
      <c r="AE51">
        <f>1696641000*(1/48000000)</f>
        <v>35.346687500000002</v>
      </c>
      <c r="AF51">
        <v>29717</v>
      </c>
      <c r="AG51" s="1">
        <v>-0.26506099999999999</v>
      </c>
      <c r="AH51" s="1">
        <f t="shared" si="1"/>
        <v>0.26506099999999999</v>
      </c>
      <c r="AI51">
        <f>2550697000*(1/48000000)</f>
        <v>53.139520833333336</v>
      </c>
      <c r="AJ51">
        <v>50382</v>
      </c>
      <c r="AK51" s="1">
        <v>-0.17896200000000001</v>
      </c>
      <c r="AL51">
        <f t="shared" si="2"/>
        <v>0.17896200000000001</v>
      </c>
      <c r="AM51">
        <f>(4310295*(1/48000000))*1000</f>
        <v>89.797812500000006</v>
      </c>
      <c r="AN51" s="1">
        <v>80506</v>
      </c>
      <c r="AO51" s="1">
        <v>-0.22173000000000001</v>
      </c>
      <c r="AP51" s="1">
        <f t="shared" si="3"/>
        <v>0.22173000000000001</v>
      </c>
      <c r="AQ51">
        <f>(6889450*(1/48000000))*1000</f>
        <v>143.53020833333335</v>
      </c>
      <c r="AR51" s="1">
        <v>99668</v>
      </c>
      <c r="AS51" s="1">
        <v>-0.40344600000000003</v>
      </c>
      <c r="AT51" s="1">
        <f t="shared" si="4"/>
        <v>0.40344600000000003</v>
      </c>
      <c r="AU51">
        <f>(8531370*(1/48000000))*1000</f>
        <v>177.73687500000003</v>
      </c>
    </row>
    <row r="52" spans="1:47" x14ac:dyDescent="0.2">
      <c r="A52">
        <v>989.3</v>
      </c>
      <c r="B52" s="1">
        <v>16.324860000000001</v>
      </c>
      <c r="C52">
        <f>98345000*(1/48000000)</f>
        <v>2.0488541666666666</v>
      </c>
      <c r="D52">
        <v>1193</v>
      </c>
      <c r="E52" s="1">
        <v>15.388223</v>
      </c>
      <c r="F52">
        <f>112287000*(1/48000000)</f>
        <v>2.3393125000000001</v>
      </c>
      <c r="I52">
        <f>138940000*(1/48000000)</f>
        <v>2.8945833333333337</v>
      </c>
      <c r="J52">
        <v>1964.5</v>
      </c>
      <c r="K52" s="1">
        <v>7.1135659999999996</v>
      </c>
      <c r="L52" s="3">
        <f>180771000*(1/48000000)</f>
        <v>3.7660625000000003</v>
      </c>
      <c r="M52" s="1">
        <v>2933</v>
      </c>
      <c r="N52" s="1">
        <v>5.9517379999999998</v>
      </c>
      <c r="O52">
        <f>262924000*(1/48000000)</f>
        <v>5.4775833333333335</v>
      </c>
      <c r="P52" s="1">
        <v>5059</v>
      </c>
      <c r="Q52" s="1">
        <v>3.5482900000000002</v>
      </c>
      <c r="R52">
        <f>446692000*(1/48000000)</f>
        <v>9.3060833333333335</v>
      </c>
      <c r="S52" s="1">
        <v>6202</v>
      </c>
      <c r="T52" s="1">
        <v>2.7758470000000002</v>
      </c>
      <c r="U52">
        <f>541176000*(1/48000000)</f>
        <v>11.274500000000002</v>
      </c>
      <c r="V52" s="1">
        <v>8081</v>
      </c>
      <c r="W52" s="1">
        <v>1.429065</v>
      </c>
      <c r="X52">
        <f>703104000*(1/48000000)</f>
        <v>14.648000000000001</v>
      </c>
      <c r="Y52" s="1">
        <v>9878</v>
      </c>
      <c r="Z52" s="1">
        <v>0.86940799999999996</v>
      </c>
      <c r="AA52">
        <f>851093000*(1/48000000)</f>
        <v>17.731104166666668</v>
      </c>
      <c r="AB52" s="1">
        <v>19786</v>
      </c>
      <c r="AC52" s="1">
        <v>0.27389999999999998</v>
      </c>
      <c r="AD52" s="1">
        <f t="shared" si="0"/>
        <v>0.27389999999999998</v>
      </c>
      <c r="AE52">
        <f>1702320000*(1/48000000)</f>
        <v>35.465000000000003</v>
      </c>
      <c r="AF52">
        <v>29717</v>
      </c>
      <c r="AG52" s="1">
        <v>6.0622000000000002E-2</v>
      </c>
      <c r="AH52" s="1">
        <f t="shared" si="1"/>
        <v>6.0622000000000002E-2</v>
      </c>
      <c r="AI52">
        <f>2553755000*(1/48000000)</f>
        <v>53.203229166666667</v>
      </c>
      <c r="AJ52">
        <v>50382</v>
      </c>
      <c r="AK52" s="1">
        <v>-0.18759500000000001</v>
      </c>
      <c r="AL52">
        <f t="shared" si="2"/>
        <v>0.18759500000000001</v>
      </c>
      <c r="AM52">
        <f>(4311313*(1/48000000))*1000</f>
        <v>89.819020833333326</v>
      </c>
      <c r="AN52" s="1">
        <v>80506</v>
      </c>
      <c r="AO52" s="1">
        <v>7.0349999999999996E-3</v>
      </c>
      <c r="AP52" s="1">
        <f t="shared" si="3"/>
        <v>7.0349999999999996E-3</v>
      </c>
      <c r="AQ52">
        <f>(6894848*(1/48000000))*1000</f>
        <v>143.64266666666666</v>
      </c>
      <c r="AR52" s="1">
        <v>99668</v>
      </c>
      <c r="AS52" s="1">
        <v>-0.35410999999999998</v>
      </c>
      <c r="AT52" s="1">
        <f t="shared" si="4"/>
        <v>0.35410999999999998</v>
      </c>
      <c r="AU52">
        <f>(8514810*(1/48000000))*1000</f>
        <v>177.391875</v>
      </c>
    </row>
    <row r="53" spans="1:47" x14ac:dyDescent="0.2">
      <c r="A53">
        <v>989.3</v>
      </c>
      <c r="B53" s="1">
        <v>16.647057</v>
      </c>
      <c r="C53">
        <f>97854000*(1/48000000)</f>
        <v>2.0386250000000001</v>
      </c>
      <c r="D53">
        <v>1193</v>
      </c>
      <c r="E53" s="1">
        <v>16.310811000000001</v>
      </c>
      <c r="F53">
        <f>112380000*(1/48000000)</f>
        <v>2.3412500000000001</v>
      </c>
      <c r="I53">
        <f>137409000*(1/48000000)</f>
        <v>2.8626875000000003</v>
      </c>
      <c r="J53">
        <v>1964.5</v>
      </c>
      <c r="K53" s="1">
        <v>7.4359549999999999</v>
      </c>
      <c r="L53" s="3">
        <f>180293000*(1/48000000)</f>
        <v>3.7561041666666668</v>
      </c>
      <c r="M53" s="1">
        <v>2933</v>
      </c>
      <c r="N53" s="1">
        <v>5.8252090000000001</v>
      </c>
      <c r="O53">
        <f>264447000*(1/48000000)</f>
        <v>5.5093125000000001</v>
      </c>
      <c r="P53" s="1">
        <v>5059</v>
      </c>
      <c r="Q53" s="1">
        <v>3.916137</v>
      </c>
      <c r="R53">
        <f>448702000*(1/48000000)</f>
        <v>9.3479583333333345</v>
      </c>
      <c r="S53" s="1">
        <v>6202</v>
      </c>
      <c r="T53" s="1">
        <v>2.5607570000000002</v>
      </c>
      <c r="U53">
        <f>541572000*(1/48000000)</f>
        <v>11.28275</v>
      </c>
      <c r="V53" s="1">
        <v>8081</v>
      </c>
      <c r="W53" s="1">
        <v>1.1360220000000001</v>
      </c>
      <c r="X53">
        <f>703495000*(1/48000000)</f>
        <v>14.656145833333333</v>
      </c>
      <c r="Y53" s="1">
        <v>9878</v>
      </c>
      <c r="Z53" s="1">
        <v>0.67740400000000001</v>
      </c>
      <c r="AA53">
        <f>852101000*(1/48000000)</f>
        <v>17.752104166666669</v>
      </c>
      <c r="AB53" s="1">
        <v>19786</v>
      </c>
      <c r="AC53" s="1">
        <v>0.26564599999999999</v>
      </c>
      <c r="AD53" s="1">
        <f t="shared" si="0"/>
        <v>0.26564599999999999</v>
      </c>
      <c r="AE53">
        <f>1701633000*(1/48000000)</f>
        <v>35.450687500000001</v>
      </c>
      <c r="AF53">
        <v>29717</v>
      </c>
      <c r="AG53" s="1">
        <v>-0.32731700000000002</v>
      </c>
      <c r="AH53" s="1">
        <f t="shared" si="1"/>
        <v>0.32731700000000002</v>
      </c>
      <c r="AI53">
        <f>2552316000*(1/48000000)</f>
        <v>53.173250000000003</v>
      </c>
      <c r="AJ53">
        <v>50382</v>
      </c>
      <c r="AK53" s="1">
        <v>-0.82572199999999996</v>
      </c>
      <c r="AL53">
        <f t="shared" si="2"/>
        <v>0.82572199999999996</v>
      </c>
      <c r="AM53">
        <f>(4308897*(1/48000000))*1000</f>
        <v>89.768687499999999</v>
      </c>
      <c r="AN53" s="1">
        <v>80506</v>
      </c>
      <c r="AO53" s="1">
        <v>-0.16533600000000001</v>
      </c>
      <c r="AP53" s="1">
        <f t="shared" si="3"/>
        <v>0.16533600000000001</v>
      </c>
      <c r="AQ53">
        <f>(6891858*(1/48000000))*1000</f>
        <v>143.580375</v>
      </c>
      <c r="AR53" s="1">
        <v>99668</v>
      </c>
      <c r="AS53" s="1">
        <v>0.109572</v>
      </c>
      <c r="AT53" s="1">
        <f t="shared" si="4"/>
        <v>0.109572</v>
      </c>
      <c r="AU53">
        <f>(8520811*(1/48000000))*1000</f>
        <v>177.51689583333336</v>
      </c>
    </row>
    <row r="54" spans="1:47" x14ac:dyDescent="0.2">
      <c r="A54">
        <v>989.3</v>
      </c>
      <c r="B54" s="1">
        <v>16.854354000000001</v>
      </c>
      <c r="C54">
        <f>98438000*(1/48000000)</f>
        <v>2.050791666666667</v>
      </c>
      <c r="D54">
        <v>1193</v>
      </c>
      <c r="E54" s="1">
        <v>16.165037000000002</v>
      </c>
      <c r="F54">
        <f>112509000*(1/48000000)</f>
        <v>2.3439375</v>
      </c>
      <c r="I54">
        <f>138256000*(1/48000000)</f>
        <v>2.8803333333333336</v>
      </c>
      <c r="J54">
        <v>1964.5</v>
      </c>
      <c r="K54" s="1">
        <v>7.4387129999999999</v>
      </c>
      <c r="L54" s="3">
        <f>180698000*(1/48000000)</f>
        <v>3.7645416666666667</v>
      </c>
      <c r="M54" s="1">
        <v>2933</v>
      </c>
      <c r="N54" s="1">
        <v>5.5153530000000002</v>
      </c>
      <c r="O54">
        <f>261801000*(1/48000000)</f>
        <v>5.4541875000000006</v>
      </c>
      <c r="P54" s="1">
        <v>5059</v>
      </c>
      <c r="Q54" s="1">
        <v>3.620155</v>
      </c>
      <c r="R54">
        <f>449008000*(1/48000000)</f>
        <v>9.3543333333333347</v>
      </c>
      <c r="S54" s="1">
        <v>6202</v>
      </c>
      <c r="T54" s="1">
        <v>2.18967</v>
      </c>
      <c r="U54">
        <f>543185000*(1/48000000)</f>
        <v>11.316354166666667</v>
      </c>
      <c r="V54" s="1">
        <v>8081</v>
      </c>
      <c r="W54" s="1">
        <v>0.71933499999999995</v>
      </c>
      <c r="X54">
        <f>701212000*(1/48000000)</f>
        <v>14.608583333333334</v>
      </c>
      <c r="Y54" s="1">
        <v>9878</v>
      </c>
      <c r="Z54" s="1">
        <v>1.0111939999999999</v>
      </c>
      <c r="AA54">
        <f>853828000*(1/48000000)</f>
        <v>17.788083333333333</v>
      </c>
      <c r="AB54" s="1">
        <v>19786</v>
      </c>
      <c r="AC54" s="1">
        <v>0.45352700000000001</v>
      </c>
      <c r="AD54" s="1">
        <f t="shared" si="0"/>
        <v>0.45352700000000001</v>
      </c>
      <c r="AE54">
        <f>1706731000*(1/48000000)</f>
        <v>35.556895833333336</v>
      </c>
      <c r="AF54">
        <v>29717</v>
      </c>
      <c r="AG54" s="1">
        <v>-0.17611199999999999</v>
      </c>
      <c r="AH54" s="1">
        <f t="shared" si="1"/>
        <v>0.17611199999999999</v>
      </c>
      <c r="AI54">
        <f>2550913000*(1/48000000)</f>
        <v>53.144020833333336</v>
      </c>
      <c r="AJ54">
        <v>50382</v>
      </c>
      <c r="AK54" s="1">
        <v>-4.5168E-2</v>
      </c>
      <c r="AL54">
        <f t="shared" si="2"/>
        <v>4.5168E-2</v>
      </c>
      <c r="AM54">
        <f>(4310093*(1/48000000))*1000</f>
        <v>89.793604166666668</v>
      </c>
      <c r="AN54" s="1">
        <v>80506</v>
      </c>
      <c r="AO54" s="1">
        <v>-0.12556600000000001</v>
      </c>
      <c r="AP54" s="1">
        <f t="shared" si="3"/>
        <v>0.12556600000000001</v>
      </c>
      <c r="AQ54">
        <f>(6889830*(1/48000000))*1000</f>
        <v>143.53812500000001</v>
      </c>
      <c r="AR54" s="1">
        <v>99668</v>
      </c>
      <c r="AS54" s="1">
        <v>-0.25186799999999998</v>
      </c>
      <c r="AT54" s="1">
        <f t="shared" si="4"/>
        <v>0.25186799999999998</v>
      </c>
      <c r="AU54">
        <f>(8492452*(1/48000000))*1000</f>
        <v>176.92608333333334</v>
      </c>
    </row>
    <row r="55" spans="1:47" x14ac:dyDescent="0.2">
      <c r="A55">
        <v>989.3</v>
      </c>
      <c r="B55" s="1">
        <v>16.307016999999998</v>
      </c>
      <c r="C55">
        <f>99125000*(1/48000000)</f>
        <v>2.065104166666667</v>
      </c>
      <c r="D55">
        <v>1193</v>
      </c>
      <c r="E55" s="1">
        <v>15.789944</v>
      </c>
      <c r="F55">
        <f>111888000*(1/48000000)</f>
        <v>2.331</v>
      </c>
      <c r="I55">
        <f>137891000*(1/48000000)</f>
        <v>2.8727291666666668</v>
      </c>
      <c r="J55">
        <v>1964.5</v>
      </c>
      <c r="K55" s="1">
        <v>8.5828579999999999</v>
      </c>
      <c r="L55" s="3">
        <f>180751000*(1/48000000)</f>
        <v>3.7656458333333336</v>
      </c>
      <c r="M55" s="1">
        <v>2933</v>
      </c>
      <c r="N55" s="1">
        <v>5.7702099999999996</v>
      </c>
      <c r="O55">
        <f>263930000*(1/48000000)</f>
        <v>5.4985416666666671</v>
      </c>
      <c r="P55" s="1">
        <v>5059</v>
      </c>
      <c r="Q55" s="1">
        <v>2.8949150000000001</v>
      </c>
      <c r="R55">
        <f>447438000*(1/48000000)</f>
        <v>9.3216250000000009</v>
      </c>
      <c r="S55" s="1">
        <v>6202</v>
      </c>
      <c r="T55" s="1">
        <v>2.8829259999999999</v>
      </c>
      <c r="U55">
        <f>542633000*(1/48000000)</f>
        <v>11.304854166666667</v>
      </c>
      <c r="V55" s="1">
        <v>8081</v>
      </c>
      <c r="W55" s="1">
        <v>1.6577770000000001</v>
      </c>
      <c r="X55">
        <f>703403000*(1/48000000)</f>
        <v>14.654229166666667</v>
      </c>
      <c r="Y55" s="1">
        <v>9878</v>
      </c>
      <c r="Z55" s="1">
        <v>0.75896799999999998</v>
      </c>
      <c r="AA55">
        <f>851522000*(1/48000000)</f>
        <v>17.740041666666666</v>
      </c>
      <c r="AB55" s="1">
        <v>19786</v>
      </c>
      <c r="AC55" s="1">
        <v>-0.41788399999999998</v>
      </c>
      <c r="AD55" s="1">
        <f t="shared" si="0"/>
        <v>0.41788399999999998</v>
      </c>
      <c r="AE55">
        <f>1699823000*(1/48000000)</f>
        <v>35.412979166666666</v>
      </c>
      <c r="AF55">
        <v>29717</v>
      </c>
      <c r="AG55" s="1">
        <v>0.11246</v>
      </c>
      <c r="AH55" s="1">
        <f t="shared" si="1"/>
        <v>0.11246</v>
      </c>
      <c r="AI55">
        <f>2537761000*(1/48000000)</f>
        <v>52.870020833333335</v>
      </c>
      <c r="AJ55">
        <v>50382</v>
      </c>
      <c r="AK55" s="1">
        <v>-0.206785</v>
      </c>
      <c r="AL55">
        <f t="shared" si="2"/>
        <v>0.206785</v>
      </c>
      <c r="AM55">
        <f>(4309839*(1/48000000))*1000</f>
        <v>89.788312500000004</v>
      </c>
      <c r="AN55" s="1">
        <v>80506</v>
      </c>
      <c r="AO55" s="1">
        <v>-0.64654500000000004</v>
      </c>
      <c r="AP55" s="1">
        <f t="shared" si="3"/>
        <v>0.64654500000000004</v>
      </c>
      <c r="AQ55">
        <f>(6893178*(1/48000000))*1000</f>
        <v>143.60787500000001</v>
      </c>
      <c r="AR55" s="1">
        <v>99668</v>
      </c>
      <c r="AS55" s="1">
        <v>-0.547095</v>
      </c>
      <c r="AT55" s="1">
        <f t="shared" si="4"/>
        <v>0.547095</v>
      </c>
      <c r="AU55">
        <f>(8535340*(1/48000000))*1000</f>
        <v>177.81958333333333</v>
      </c>
    </row>
    <row r="56" spans="1:47" x14ac:dyDescent="0.2">
      <c r="A56">
        <v>989.3</v>
      </c>
      <c r="B56" s="1">
        <v>16.567753</v>
      </c>
      <c r="C56">
        <f>98350000*(1/48000000)</f>
        <v>2.0489583333333337</v>
      </c>
      <c r="D56">
        <v>1193</v>
      </c>
      <c r="E56" s="1">
        <v>15.657031999999999</v>
      </c>
      <c r="F56">
        <f>112361000*(1/48000000)</f>
        <v>2.3408541666666669</v>
      </c>
      <c r="I56">
        <f>138715000*(1/48000000)</f>
        <v>2.8898958333333336</v>
      </c>
      <c r="J56">
        <v>1964.5</v>
      </c>
      <c r="K56" s="1">
        <v>7.0278400000000003</v>
      </c>
      <c r="L56" s="3">
        <f>180980000*(1/48000000)</f>
        <v>3.7704166666666667</v>
      </c>
      <c r="M56" s="1">
        <v>2933</v>
      </c>
      <c r="N56" s="1">
        <v>5.1814470000000004</v>
      </c>
      <c r="O56">
        <f>262562000*(1/48000000)</f>
        <v>5.4700416666666669</v>
      </c>
      <c r="P56" s="1">
        <v>5059</v>
      </c>
      <c r="Q56" s="1">
        <v>3.624736</v>
      </c>
      <c r="R56">
        <f>447833000*(1/48000000)</f>
        <v>9.3298541666666672</v>
      </c>
      <c r="S56" s="1">
        <v>6202</v>
      </c>
      <c r="T56" s="1">
        <v>3.0225599999999999</v>
      </c>
      <c r="U56">
        <f>541054000*(1/48000000)</f>
        <v>11.271958333333334</v>
      </c>
      <c r="V56" s="1">
        <v>8081</v>
      </c>
      <c r="W56" s="1">
        <v>0.91334300000000002</v>
      </c>
      <c r="X56">
        <f>704102000*(1/48000000)</f>
        <v>14.668791666666667</v>
      </c>
      <c r="Y56" s="1">
        <v>9878</v>
      </c>
      <c r="Z56" s="1">
        <v>0.56171400000000005</v>
      </c>
      <c r="AA56">
        <f>852680000*(1/48000000)</f>
        <v>17.764166666666668</v>
      </c>
      <c r="AB56" s="1">
        <v>19786</v>
      </c>
      <c r="AC56" s="1">
        <v>6.9196999999999995E-2</v>
      </c>
      <c r="AD56" s="1">
        <f t="shared" si="0"/>
        <v>6.9196999999999995E-2</v>
      </c>
      <c r="AE56">
        <f>1699163000*(1/48000000)</f>
        <v>35.399229166666672</v>
      </c>
      <c r="AF56">
        <v>29717</v>
      </c>
      <c r="AG56" s="1">
        <v>0.27961000000000003</v>
      </c>
      <c r="AH56" s="1">
        <f t="shared" si="1"/>
        <v>0.27961000000000003</v>
      </c>
      <c r="AI56">
        <f>2550861000*(1/48000000)</f>
        <v>53.142937500000002</v>
      </c>
      <c r="AJ56">
        <v>50382</v>
      </c>
      <c r="AK56" s="1">
        <v>-0.52456400000000003</v>
      </c>
      <c r="AL56">
        <f t="shared" si="2"/>
        <v>0.52456400000000003</v>
      </c>
      <c r="AM56">
        <f>(4300396*(1/48000000))*1000</f>
        <v>89.591583333333332</v>
      </c>
      <c r="AN56" s="1">
        <v>80506</v>
      </c>
      <c r="AO56" s="1">
        <v>3.0707999999999999E-2</v>
      </c>
      <c r="AP56" s="1">
        <f t="shared" si="3"/>
        <v>3.0707999999999999E-2</v>
      </c>
      <c r="AQ56">
        <f>(6858520*(1/48000000))*1000</f>
        <v>142.88583333333335</v>
      </c>
      <c r="AR56" s="1">
        <v>99668</v>
      </c>
      <c r="AS56" s="1">
        <v>-0.59404800000000002</v>
      </c>
      <c r="AT56" s="1">
        <f t="shared" si="4"/>
        <v>0.59404800000000002</v>
      </c>
      <c r="AU56">
        <f>(8539885*(1/48000000))*1000</f>
        <v>177.91427083333332</v>
      </c>
    </row>
    <row r="57" spans="1:47" x14ac:dyDescent="0.2">
      <c r="A57">
        <v>989.3</v>
      </c>
      <c r="B57" s="1">
        <v>18.280829000000001</v>
      </c>
      <c r="C57">
        <f>97709000*(1/48000000)</f>
        <v>2.0356041666666669</v>
      </c>
      <c r="D57">
        <v>1193</v>
      </c>
      <c r="E57" s="1">
        <v>15.999741999999999</v>
      </c>
      <c r="F57">
        <f>111688000*(1/48000000)</f>
        <v>2.3268333333333335</v>
      </c>
      <c r="I57">
        <f>138517000*(1/48000000)</f>
        <v>2.8857708333333334</v>
      </c>
      <c r="J57">
        <v>1964.5</v>
      </c>
      <c r="K57" s="1">
        <v>7.4716950000000004</v>
      </c>
      <c r="L57" s="3">
        <f>180305000*(1/48000000)</f>
        <v>3.7563541666666671</v>
      </c>
      <c r="M57" s="1">
        <v>2933</v>
      </c>
      <c r="N57" s="1">
        <v>5.7470400000000001</v>
      </c>
      <c r="O57">
        <f>264574000*(1/48000000)</f>
        <v>5.5119583333333333</v>
      </c>
      <c r="P57" s="1">
        <v>5059</v>
      </c>
      <c r="Q57" s="1">
        <v>3.334959</v>
      </c>
      <c r="R57">
        <f>446522000*(1/48000000)</f>
        <v>9.3025416666666665</v>
      </c>
      <c r="S57" s="1">
        <v>6202</v>
      </c>
      <c r="T57" s="1">
        <v>2.4633440000000002</v>
      </c>
      <c r="U57">
        <f>542738000*(1/48000000)</f>
        <v>11.307041666666667</v>
      </c>
      <c r="V57" s="1">
        <v>8081</v>
      </c>
      <c r="W57" s="1">
        <v>0.86656500000000003</v>
      </c>
      <c r="X57">
        <f>703205000*(1/48000000)</f>
        <v>14.650104166666667</v>
      </c>
      <c r="Y57" s="1">
        <v>9878</v>
      </c>
      <c r="Z57" s="1">
        <v>0.184054</v>
      </c>
      <c r="AA57">
        <f>853981000*(1/48000000)</f>
        <v>17.791270833333336</v>
      </c>
      <c r="AB57" s="1">
        <v>19786</v>
      </c>
      <c r="AC57" s="1">
        <v>0.20293600000000001</v>
      </c>
      <c r="AD57" s="1">
        <f t="shared" si="0"/>
        <v>0.20293600000000001</v>
      </c>
      <c r="AE57">
        <f>1702336000*(1/48000000)</f>
        <v>35.465333333333334</v>
      </c>
      <c r="AF57">
        <v>29717</v>
      </c>
      <c r="AG57" s="1">
        <v>-0.42891499999999999</v>
      </c>
      <c r="AH57" s="1">
        <f t="shared" si="1"/>
        <v>0.42891499999999999</v>
      </c>
      <c r="AI57">
        <f>2551043000*(1/48000000)</f>
        <v>53.146729166666667</v>
      </c>
      <c r="AJ57">
        <v>50382</v>
      </c>
      <c r="AK57" s="1">
        <v>-0.61127500000000001</v>
      </c>
      <c r="AL57">
        <f t="shared" si="2"/>
        <v>0.61127500000000001</v>
      </c>
      <c r="AM57">
        <f>(4310558*(1/48000000))*1000</f>
        <v>89.803291666666667</v>
      </c>
      <c r="AN57" s="1">
        <v>80506</v>
      </c>
      <c r="AO57" s="1">
        <v>-0.10088900000000001</v>
      </c>
      <c r="AP57" s="1">
        <f t="shared" si="3"/>
        <v>0.10088900000000001</v>
      </c>
      <c r="AQ57">
        <f>(6881696*(1/48000000))*1000</f>
        <v>143.36866666666668</v>
      </c>
      <c r="AR57" s="1">
        <v>99668</v>
      </c>
      <c r="AS57" s="1">
        <v>-0.39302900000000002</v>
      </c>
      <c r="AT57" s="1">
        <f t="shared" si="4"/>
        <v>0.39302900000000002</v>
      </c>
      <c r="AU57">
        <f>(8530477*(1/48000000))*1000</f>
        <v>177.71827083333332</v>
      </c>
    </row>
    <row r="58" spans="1:47" x14ac:dyDescent="0.2">
      <c r="A58">
        <v>989.3</v>
      </c>
      <c r="B58" s="1">
        <v>17.647884999999999</v>
      </c>
      <c r="C58">
        <f>97670000*(1/48000000)</f>
        <v>2.034791666666667</v>
      </c>
      <c r="D58">
        <v>1193</v>
      </c>
      <c r="E58" s="1">
        <v>17.365898000000001</v>
      </c>
      <c r="F58">
        <f>112151000*(1/48000000)</f>
        <v>2.3364791666666669</v>
      </c>
      <c r="I58">
        <f>137422000*(1/48000000)</f>
        <v>2.8629583333333337</v>
      </c>
      <c r="J58">
        <v>1964.5</v>
      </c>
      <c r="K58" s="1">
        <v>6.5137299999999998</v>
      </c>
      <c r="L58" s="3">
        <f>181047000*(1/48000000)</f>
        <v>3.7718125000000002</v>
      </c>
      <c r="M58" s="1">
        <v>2933</v>
      </c>
      <c r="N58" s="1">
        <v>5.7545570000000001</v>
      </c>
      <c r="O58">
        <f>263673000*(1/48000000)</f>
        <v>5.4931875000000003</v>
      </c>
      <c r="P58" s="1">
        <v>5059</v>
      </c>
      <c r="Q58" s="1">
        <v>3.7350789999999998</v>
      </c>
      <c r="R58">
        <f>447109000*(1/48000000)</f>
        <v>9.3147708333333341</v>
      </c>
      <c r="S58" s="1">
        <v>6202</v>
      </c>
      <c r="T58" s="1">
        <v>2.9341750000000002</v>
      </c>
      <c r="U58">
        <f>540794000*(1/48000000)</f>
        <v>11.266541666666667</v>
      </c>
      <c r="V58" s="1">
        <v>8081</v>
      </c>
      <c r="W58" s="1">
        <v>0.82038800000000001</v>
      </c>
      <c r="X58">
        <f>701457000*(1/48000000)</f>
        <v>14.613687500000001</v>
      </c>
      <c r="Y58" s="1">
        <v>9878</v>
      </c>
      <c r="Z58" s="1">
        <v>0.87118200000000001</v>
      </c>
      <c r="AA58">
        <f>852866000*(1/48000000)</f>
        <v>17.768041666666669</v>
      </c>
      <c r="AB58" s="1">
        <v>19786</v>
      </c>
      <c r="AC58" s="1">
        <v>0.14331099999999999</v>
      </c>
      <c r="AD58" s="1">
        <f t="shared" si="0"/>
        <v>0.14331099999999999</v>
      </c>
      <c r="AE58">
        <f>1702064000*(1/48000000)</f>
        <v>35.459666666666671</v>
      </c>
      <c r="AF58">
        <v>29717</v>
      </c>
      <c r="AG58" s="1">
        <v>7.6071E-2</v>
      </c>
      <c r="AH58" s="1">
        <f t="shared" si="1"/>
        <v>7.6071E-2</v>
      </c>
      <c r="AI58">
        <f>2543375000*(1/48000000)</f>
        <v>52.986979166666671</v>
      </c>
      <c r="AJ58">
        <v>50382</v>
      </c>
      <c r="AK58" s="1">
        <v>-0.19798199999999999</v>
      </c>
      <c r="AL58">
        <f t="shared" si="2"/>
        <v>0.19798199999999999</v>
      </c>
      <c r="AM58">
        <f>(4313841*(1/48000000))*1000</f>
        <v>89.871687500000007</v>
      </c>
      <c r="AN58" s="1">
        <v>80506</v>
      </c>
      <c r="AO58" s="1">
        <v>-0.43180800000000003</v>
      </c>
      <c r="AP58" s="1">
        <f t="shared" si="3"/>
        <v>0.43180800000000003</v>
      </c>
      <c r="AQ58">
        <f>(6896163*(1/48000000))*1000</f>
        <v>143.6700625</v>
      </c>
      <c r="AR58" s="1">
        <v>99668</v>
      </c>
      <c r="AS58" s="1">
        <v>-0.14186199999999999</v>
      </c>
      <c r="AT58" s="1">
        <f t="shared" si="4"/>
        <v>0.14186199999999999</v>
      </c>
      <c r="AU58">
        <f>(8535878*(1/48000000))*1000</f>
        <v>177.83079166666667</v>
      </c>
    </row>
    <row r="59" spans="1:47" x14ac:dyDescent="0.2">
      <c r="A59">
        <v>989.3</v>
      </c>
      <c r="B59" s="1">
        <v>16.723697000000001</v>
      </c>
      <c r="C59">
        <f>98621000*(1/48000000)</f>
        <v>2.054604166666667</v>
      </c>
      <c r="D59">
        <v>1193</v>
      </c>
      <c r="E59" s="1">
        <v>16.266335999999999</v>
      </c>
      <c r="F59">
        <f>111656000*(1/48000000)</f>
        <v>2.3261666666666669</v>
      </c>
      <c r="I59">
        <f>137490000*(1/48000000)</f>
        <v>2.8643750000000003</v>
      </c>
      <c r="J59">
        <v>1964.5</v>
      </c>
      <c r="K59" s="1">
        <v>6.4504169999999998</v>
      </c>
      <c r="L59" s="3">
        <f>180838000*(1/48000000)</f>
        <v>3.7674583333333334</v>
      </c>
      <c r="M59" s="1">
        <v>2933</v>
      </c>
      <c r="N59" s="1">
        <v>5.7269670000000001</v>
      </c>
      <c r="O59">
        <f>262892000*(1/48000000)</f>
        <v>5.4769166666666669</v>
      </c>
      <c r="P59" s="1">
        <v>5059</v>
      </c>
      <c r="Q59" s="1">
        <v>3.5579390000000002</v>
      </c>
      <c r="R59">
        <f>448171000*(1/48000000)</f>
        <v>9.3368958333333332</v>
      </c>
      <c r="S59" s="1">
        <v>6202</v>
      </c>
      <c r="T59" s="1">
        <v>2.9360560000000002</v>
      </c>
      <c r="U59">
        <f>541964000*(1/48000000)</f>
        <v>11.290916666666668</v>
      </c>
      <c r="V59" s="1">
        <v>8081</v>
      </c>
      <c r="W59" s="1">
        <v>1.8327880000000001</v>
      </c>
      <c r="X59">
        <f>701780000*(1/48000000)</f>
        <v>14.620416666666667</v>
      </c>
      <c r="Y59" s="1">
        <v>9878</v>
      </c>
      <c r="Z59" s="1">
        <v>1.4543060000000001</v>
      </c>
      <c r="AA59">
        <f>851094000*(1/48000000)</f>
        <v>17.731125000000002</v>
      </c>
      <c r="AB59" s="1">
        <v>19786</v>
      </c>
      <c r="AC59" s="1">
        <v>0.74016499999999996</v>
      </c>
      <c r="AD59" s="1">
        <f t="shared" si="0"/>
        <v>0.74016499999999996</v>
      </c>
      <c r="AE59">
        <f>1689580000*(1/48000000)</f>
        <v>35.199583333333337</v>
      </c>
      <c r="AF59">
        <v>29717</v>
      </c>
      <c r="AG59" s="1">
        <v>0.31647500000000001</v>
      </c>
      <c r="AH59" s="1">
        <f t="shared" si="1"/>
        <v>0.31647500000000001</v>
      </c>
      <c r="AI59">
        <f>2539085000*(1/48000000)</f>
        <v>52.897604166666667</v>
      </c>
      <c r="AJ59">
        <v>50382</v>
      </c>
      <c r="AK59" s="1">
        <v>3.5825000000000003E-2</v>
      </c>
      <c r="AL59">
        <f t="shared" si="2"/>
        <v>3.5825000000000003E-2</v>
      </c>
      <c r="AM59">
        <f>(4311932*(1/48000000))*1000</f>
        <v>89.831916666666672</v>
      </c>
      <c r="AN59" s="1">
        <v>80506</v>
      </c>
      <c r="AO59" s="1">
        <v>-0.17596600000000001</v>
      </c>
      <c r="AP59" s="1">
        <f t="shared" si="3"/>
        <v>0.17596600000000001</v>
      </c>
      <c r="AQ59">
        <f>(6899056*(1/48000000))*1000</f>
        <v>143.73033333333336</v>
      </c>
      <c r="AR59" s="1">
        <v>99668</v>
      </c>
      <c r="AS59" s="1">
        <v>4.6065000000000002E-2</v>
      </c>
      <c r="AT59" s="1">
        <f t="shared" si="4"/>
        <v>4.6065000000000002E-2</v>
      </c>
      <c r="AU59">
        <f>(8512758*(1/48000000))*1000</f>
        <v>177.34912500000002</v>
      </c>
    </row>
    <row r="60" spans="1:47" x14ac:dyDescent="0.2">
      <c r="A60">
        <v>989.3</v>
      </c>
      <c r="B60" s="1">
        <v>17.039721</v>
      </c>
      <c r="C60">
        <f>98635000*(1/48000000)</f>
        <v>2.0548958333333336</v>
      </c>
      <c r="D60">
        <v>1193</v>
      </c>
      <c r="E60" s="1">
        <v>16.292808000000001</v>
      </c>
      <c r="F60">
        <f>112232000*(1/48000000)</f>
        <v>2.3381666666666669</v>
      </c>
      <c r="I60">
        <f>138793000*(1/48000000)</f>
        <v>2.8915208333333333</v>
      </c>
      <c r="J60">
        <v>1964.5</v>
      </c>
      <c r="K60" s="1">
        <v>6.5718040000000002</v>
      </c>
      <c r="L60" s="3">
        <f>180048000*(1/48000000)</f>
        <v>3.7510000000000003</v>
      </c>
      <c r="M60" s="1">
        <v>2933</v>
      </c>
      <c r="N60" s="1">
        <v>5.4448949999999998</v>
      </c>
      <c r="O60">
        <f>263679000*(1/48000000)</f>
        <v>5.4933125</v>
      </c>
      <c r="P60" s="1">
        <v>5059</v>
      </c>
      <c r="Q60" s="1">
        <v>3.590595</v>
      </c>
      <c r="R60">
        <f>447810000*(1/48000000)</f>
        <v>9.3293750000000006</v>
      </c>
      <c r="S60" s="1">
        <v>6202</v>
      </c>
      <c r="T60" s="1">
        <v>2.3751380000000002</v>
      </c>
      <c r="U60">
        <f>544336000*(1/48000000)</f>
        <v>11.340333333333334</v>
      </c>
      <c r="V60" s="1">
        <v>8081</v>
      </c>
      <c r="W60" s="1">
        <v>0.78262500000000002</v>
      </c>
      <c r="X60">
        <f>701835000*(1/48000000)</f>
        <v>14.621562500000001</v>
      </c>
      <c r="Y60" s="1">
        <v>9878</v>
      </c>
      <c r="Z60" s="1">
        <v>0.73761399999999999</v>
      </c>
      <c r="AA60">
        <f>850655000*(1/48000000)</f>
        <v>17.721979166666667</v>
      </c>
      <c r="AB60" s="1">
        <v>19786</v>
      </c>
      <c r="AC60" s="1">
        <v>0.34854299999999999</v>
      </c>
      <c r="AD60" s="1">
        <f t="shared" si="0"/>
        <v>0.34854299999999999</v>
      </c>
      <c r="AE60">
        <f>1703141000*(1/48000000)</f>
        <v>35.482104166666666</v>
      </c>
      <c r="AF60">
        <v>29717</v>
      </c>
      <c r="AG60" s="1">
        <v>-0.144732</v>
      </c>
      <c r="AH60" s="1">
        <f t="shared" si="1"/>
        <v>0.144732</v>
      </c>
      <c r="AI60">
        <f>2549669000*(1/48000000)</f>
        <v>53.118104166666669</v>
      </c>
      <c r="AJ60">
        <v>50382</v>
      </c>
      <c r="AK60" s="1">
        <v>-3.8191999999999997E-2</v>
      </c>
      <c r="AL60">
        <f t="shared" si="2"/>
        <v>3.8191999999999997E-2</v>
      </c>
      <c r="AM60">
        <f>(4296663*(1/48000000))*1000</f>
        <v>89.513812500000014</v>
      </c>
      <c r="AN60" s="1">
        <v>80506</v>
      </c>
      <c r="AO60" s="1">
        <v>0.42242299999999999</v>
      </c>
      <c r="AP60" s="1">
        <f t="shared" si="3"/>
        <v>0.42242299999999999</v>
      </c>
      <c r="AQ60">
        <f>(6892927*(1/48000000))*1000</f>
        <v>143.60264583333336</v>
      </c>
      <c r="AR60" s="1">
        <v>99668</v>
      </c>
      <c r="AS60" s="1">
        <v>-0.234765</v>
      </c>
      <c r="AT60" s="1">
        <f t="shared" si="4"/>
        <v>0.234765</v>
      </c>
      <c r="AU60">
        <f>(8537082*(1/48000000))*1000</f>
        <v>177.85587500000003</v>
      </c>
    </row>
    <row r="61" spans="1:47" x14ac:dyDescent="0.2">
      <c r="A61">
        <v>989.3</v>
      </c>
      <c r="B61" s="1">
        <v>16.551314999999999</v>
      </c>
      <c r="C61">
        <f>97822000*(1/48000000)</f>
        <v>2.0379583333333335</v>
      </c>
      <c r="D61">
        <v>1193</v>
      </c>
      <c r="E61" s="1">
        <v>15.560254</v>
      </c>
      <c r="F61">
        <f>112876000*(1/48000000)</f>
        <v>2.3515833333333336</v>
      </c>
      <c r="I61">
        <f>138276000*(1/48000000)</f>
        <v>2.8807500000000004</v>
      </c>
      <c r="J61">
        <v>1964.5</v>
      </c>
      <c r="K61" s="1">
        <v>7.2168020000000004</v>
      </c>
      <c r="L61" s="3">
        <f>180006000*(1/48000000)</f>
        <v>3.7501250000000002</v>
      </c>
      <c r="M61" s="1">
        <v>2933</v>
      </c>
      <c r="N61" s="1">
        <v>5.9721909999999996</v>
      </c>
      <c r="O61">
        <f>263269000*(1/48000000)</f>
        <v>5.484770833333334</v>
      </c>
      <c r="P61" s="1">
        <v>5059</v>
      </c>
      <c r="Q61" s="1">
        <v>3.7480959999999999</v>
      </c>
      <c r="R61">
        <f>445911000*(1/48000000)</f>
        <v>9.2898125</v>
      </c>
      <c r="S61" s="1">
        <v>6202</v>
      </c>
      <c r="T61" s="1">
        <v>2.6203660000000002</v>
      </c>
      <c r="U61">
        <f>542384000*(1/48000000)</f>
        <v>11.299666666666667</v>
      </c>
      <c r="V61" s="1">
        <v>8081</v>
      </c>
      <c r="W61" s="1">
        <v>1.092795</v>
      </c>
      <c r="X61">
        <f>703630000*(1/48000000)</f>
        <v>14.658958333333334</v>
      </c>
      <c r="Y61" s="1">
        <v>9878</v>
      </c>
      <c r="Z61" s="1">
        <v>0.58284000000000002</v>
      </c>
      <c r="AA61">
        <f>851840000*(1/48000000)</f>
        <v>17.746666666666666</v>
      </c>
      <c r="AB61" s="1">
        <v>19786</v>
      </c>
      <c r="AC61" s="1">
        <v>9.6779000000000004E-2</v>
      </c>
      <c r="AD61" s="1">
        <f t="shared" si="0"/>
        <v>9.6779000000000004E-2</v>
      </c>
      <c r="AE61">
        <f>1700623000*(1/48000000)</f>
        <v>35.429645833333332</v>
      </c>
      <c r="AF61">
        <v>29717</v>
      </c>
      <c r="AG61" s="1">
        <v>-0.10568900000000001</v>
      </c>
      <c r="AH61" s="1">
        <f t="shared" si="1"/>
        <v>0.10568900000000001</v>
      </c>
      <c r="AI61">
        <f>2550512000*(1/48000000)</f>
        <v>53.135666666666673</v>
      </c>
      <c r="AJ61">
        <v>50382</v>
      </c>
      <c r="AK61" s="1">
        <v>-0.40958600000000001</v>
      </c>
      <c r="AL61">
        <f t="shared" si="2"/>
        <v>0.40958600000000001</v>
      </c>
      <c r="AM61">
        <f>(4285042*(1/48000000))*1000</f>
        <v>89.271708333333336</v>
      </c>
      <c r="AN61" s="1">
        <v>80506</v>
      </c>
      <c r="AO61" s="1">
        <v>-0.43673400000000001</v>
      </c>
      <c r="AP61" s="1">
        <f t="shared" si="3"/>
        <v>0.43673400000000001</v>
      </c>
      <c r="AQ61">
        <f>(6898333*(1/48000000))*1000</f>
        <v>143.71527083333336</v>
      </c>
      <c r="AR61" s="1">
        <v>99668</v>
      </c>
      <c r="AS61" s="1">
        <v>-5.8637000000000002E-2</v>
      </c>
      <c r="AT61" s="1">
        <f t="shared" si="4"/>
        <v>5.8637000000000002E-2</v>
      </c>
      <c r="AU61">
        <f>(8520683*(1/48000000))*1000</f>
        <v>177.51422916666667</v>
      </c>
    </row>
    <row r="62" spans="1:47" x14ac:dyDescent="0.2">
      <c r="A62">
        <v>989.3</v>
      </c>
      <c r="B62" s="1">
        <v>15.754638</v>
      </c>
      <c r="C62">
        <f>98817000*(1/48000000)</f>
        <v>2.0586875</v>
      </c>
      <c r="D62">
        <v>1193</v>
      </c>
      <c r="E62" s="1">
        <v>17.028666999999999</v>
      </c>
      <c r="F62">
        <f>112548000*(1/48000000)</f>
        <v>2.3447500000000003</v>
      </c>
      <c r="I62">
        <f>138365000*(1/48000000)</f>
        <v>2.8826041666666669</v>
      </c>
      <c r="J62">
        <v>1964.5</v>
      </c>
      <c r="K62" s="1">
        <v>6.896903</v>
      </c>
      <c r="L62" s="3">
        <f>180351000*(1/48000000)</f>
        <v>3.7573125000000003</v>
      </c>
      <c r="M62" s="1">
        <v>2933</v>
      </c>
      <c r="N62" s="1">
        <v>6.0929820000000001</v>
      </c>
      <c r="O62">
        <f>263428000*(1/48000000)</f>
        <v>5.4880833333333339</v>
      </c>
      <c r="P62" s="1">
        <v>5059</v>
      </c>
      <c r="Q62" s="1">
        <v>3.4892029999999998</v>
      </c>
      <c r="R62">
        <f>446998000*(1/48000000)</f>
        <v>9.3124583333333337</v>
      </c>
      <c r="S62" s="1">
        <v>6202</v>
      </c>
      <c r="T62" s="1">
        <v>2.8516010000000001</v>
      </c>
      <c r="U62">
        <f>542284000*(1/48000000)</f>
        <v>11.297583333333334</v>
      </c>
      <c r="V62" s="1">
        <v>8081</v>
      </c>
      <c r="W62" s="1">
        <v>1.5478019999999999</v>
      </c>
      <c r="X62">
        <f>701978000*(1/48000000)</f>
        <v>14.624541666666667</v>
      </c>
      <c r="Y62" s="1">
        <v>9878</v>
      </c>
      <c r="Z62" s="1">
        <v>1.038843</v>
      </c>
      <c r="AA62">
        <f>851188000*(1/48000000)</f>
        <v>17.733083333333333</v>
      </c>
      <c r="AB62" s="1">
        <v>19786</v>
      </c>
      <c r="AC62" s="1">
        <v>0.23536000000000001</v>
      </c>
      <c r="AD62" s="1">
        <f t="shared" si="0"/>
        <v>0.23536000000000001</v>
      </c>
      <c r="AE62">
        <f>1703407000*(1/48000000)</f>
        <v>35.487645833333339</v>
      </c>
      <c r="AF62">
        <v>29717</v>
      </c>
      <c r="AG62" s="1">
        <v>-4.1902000000000002E-2</v>
      </c>
      <c r="AH62" s="1">
        <f t="shared" si="1"/>
        <v>4.1902000000000002E-2</v>
      </c>
      <c r="AI62">
        <f>2550807000*(1/48000000)</f>
        <v>53.1418125</v>
      </c>
      <c r="AJ62">
        <v>50382</v>
      </c>
      <c r="AK62" s="1">
        <v>-1.0341990000000001</v>
      </c>
      <c r="AL62">
        <f t="shared" si="2"/>
        <v>1.0341990000000001</v>
      </c>
      <c r="AM62">
        <f>(4312101*(1/48000000))*1000</f>
        <v>89.835437499999998</v>
      </c>
      <c r="AN62" s="1">
        <v>80506</v>
      </c>
      <c r="AO62" s="1">
        <v>-4.8624000000000001E-2</v>
      </c>
      <c r="AP62" s="1">
        <f t="shared" si="3"/>
        <v>4.8624000000000001E-2</v>
      </c>
      <c r="AQ62">
        <f>(6889757*(1/48000000))*1000</f>
        <v>143.53660416666668</v>
      </c>
      <c r="AR62" s="1">
        <v>99668</v>
      </c>
      <c r="AS62" s="1">
        <v>-0.44786799999999999</v>
      </c>
      <c r="AT62" s="1">
        <f t="shared" si="4"/>
        <v>0.44786799999999999</v>
      </c>
      <c r="AU62">
        <f>(8515993*(1/48000000))*1000</f>
        <v>177.41652083333335</v>
      </c>
    </row>
    <row r="63" spans="1:47" x14ac:dyDescent="0.2">
      <c r="A63">
        <v>989.3</v>
      </c>
      <c r="B63" s="1">
        <v>16.284047999999999</v>
      </c>
      <c r="C63">
        <f>98859000*(1/48000000)</f>
        <v>2.0595625000000002</v>
      </c>
      <c r="D63">
        <v>1193</v>
      </c>
      <c r="E63" s="1">
        <v>16.941030999999999</v>
      </c>
      <c r="F63">
        <f>112113000*(1/48000000)</f>
        <v>2.3356875000000001</v>
      </c>
      <c r="I63">
        <f>137961000*(1/48000000)</f>
        <v>2.8741875000000001</v>
      </c>
      <c r="J63">
        <v>1964.5</v>
      </c>
      <c r="K63" s="1">
        <v>7.2950410000000003</v>
      </c>
      <c r="L63" s="3">
        <f>180197000*(1/48000000)</f>
        <v>3.754104166666667</v>
      </c>
      <c r="M63" s="1">
        <v>2933</v>
      </c>
      <c r="N63" s="1">
        <v>5.3655600000000003</v>
      </c>
      <c r="O63">
        <f>263995000*(1/48000000)</f>
        <v>5.4998958333333334</v>
      </c>
      <c r="P63" s="1">
        <v>5059</v>
      </c>
      <c r="Q63" s="1">
        <v>3.891283</v>
      </c>
      <c r="R63">
        <f>446079000*(1/48000000)</f>
        <v>9.2933125000000008</v>
      </c>
      <c r="S63" s="1">
        <v>6202</v>
      </c>
      <c r="T63" s="1">
        <v>2.7993869999999998</v>
      </c>
      <c r="U63">
        <f>541928000*(1/48000000)</f>
        <v>11.290166666666668</v>
      </c>
      <c r="V63" s="1">
        <v>8081</v>
      </c>
      <c r="W63" s="1">
        <v>0.82344899999999999</v>
      </c>
      <c r="X63">
        <f>704530000*(1/48000000)</f>
        <v>14.677708333333333</v>
      </c>
      <c r="Y63" s="1">
        <v>9878</v>
      </c>
      <c r="Z63" s="1">
        <v>1.0323469999999999</v>
      </c>
      <c r="AA63">
        <f>852256000*(1/48000000)</f>
        <v>17.755333333333333</v>
      </c>
      <c r="AB63" s="1">
        <v>19786</v>
      </c>
      <c r="AC63" s="1">
        <v>0.40471000000000001</v>
      </c>
      <c r="AD63" s="1">
        <f t="shared" si="0"/>
        <v>0.40471000000000001</v>
      </c>
      <c r="AE63">
        <f>1698707000*(1/48000000)</f>
        <v>35.389729166666669</v>
      </c>
      <c r="AF63">
        <v>29717</v>
      </c>
      <c r="AG63" s="1">
        <v>0.162467</v>
      </c>
      <c r="AH63" s="1">
        <f t="shared" si="1"/>
        <v>0.162467</v>
      </c>
      <c r="AI63">
        <f>2551024000*(1/48000000)</f>
        <v>53.146333333333338</v>
      </c>
      <c r="AJ63">
        <v>50382</v>
      </c>
      <c r="AK63" s="1">
        <v>-0.59438299999999999</v>
      </c>
      <c r="AL63">
        <f t="shared" si="2"/>
        <v>0.59438299999999999</v>
      </c>
      <c r="AM63">
        <f>(4289601*(1/48000000))*1000</f>
        <v>89.366687499999998</v>
      </c>
      <c r="AN63" s="1">
        <v>80506</v>
      </c>
      <c r="AO63" s="1">
        <v>-0.126443</v>
      </c>
      <c r="AP63" s="1">
        <f t="shared" si="3"/>
        <v>0.126443</v>
      </c>
      <c r="AQ63">
        <f>(6879214*(1/48000000))*1000</f>
        <v>143.31695833333336</v>
      </c>
      <c r="AR63" s="1">
        <v>99668</v>
      </c>
      <c r="AS63" s="1">
        <v>-0.65653399999999995</v>
      </c>
      <c r="AT63" s="1">
        <f t="shared" si="4"/>
        <v>0.65653399999999995</v>
      </c>
      <c r="AU63">
        <f>(8536113*(1/48000000))*1000</f>
        <v>177.83568750000001</v>
      </c>
    </row>
    <row r="64" spans="1:47" x14ac:dyDescent="0.2">
      <c r="A64">
        <v>989.3</v>
      </c>
      <c r="B64" s="1">
        <v>17.345039</v>
      </c>
      <c r="C64">
        <f>99055000*(1/48000000)</f>
        <v>2.0636458333333336</v>
      </c>
      <c r="D64">
        <v>1193</v>
      </c>
      <c r="E64" s="1">
        <v>16.773879000000001</v>
      </c>
      <c r="F64">
        <f>112669000*(1/48000000)</f>
        <v>2.3472708333333334</v>
      </c>
      <c r="I64">
        <f>138709000*(1/48000000)</f>
        <v>2.8897708333333334</v>
      </c>
      <c r="J64">
        <v>1964.5</v>
      </c>
      <c r="K64" s="1">
        <v>7.4922219999999999</v>
      </c>
      <c r="L64" s="3">
        <f>180760000*(1/48000000)</f>
        <v>3.7658333333333336</v>
      </c>
      <c r="M64" s="1">
        <v>2933</v>
      </c>
      <c r="N64" s="1">
        <v>5.5481930000000004</v>
      </c>
      <c r="O64">
        <f>263704000*(1/48000000)</f>
        <v>5.4938333333333338</v>
      </c>
      <c r="P64" s="1">
        <v>5059</v>
      </c>
      <c r="Q64" s="1">
        <v>3.4961410000000002</v>
      </c>
      <c r="R64">
        <f>446794000*(1/48000000)</f>
        <v>9.3082083333333347</v>
      </c>
      <c r="S64" s="1">
        <v>6202</v>
      </c>
      <c r="T64" s="1">
        <v>2.5259830000000001</v>
      </c>
      <c r="U64">
        <f>545582000*(1/48000000)</f>
        <v>11.366291666666667</v>
      </c>
      <c r="V64" s="1">
        <v>8081</v>
      </c>
      <c r="W64" s="1">
        <v>1.116163</v>
      </c>
      <c r="X64">
        <f>701015000*(1/48000000)</f>
        <v>14.604479166666668</v>
      </c>
      <c r="Y64" s="1">
        <v>9878</v>
      </c>
      <c r="Z64" s="1">
        <v>1.2185779999999999</v>
      </c>
      <c r="AA64">
        <f>851542000*(1/48000000)</f>
        <v>17.740458333333333</v>
      </c>
      <c r="AB64" s="1">
        <v>19786</v>
      </c>
      <c r="AC64" s="1">
        <v>-0.36490699999999998</v>
      </c>
      <c r="AD64" s="1">
        <f t="shared" si="0"/>
        <v>0.36490699999999998</v>
      </c>
      <c r="AE64">
        <f>1700143000*(1/48000000)</f>
        <v>35.419645833333334</v>
      </c>
      <c r="AF64">
        <v>29717</v>
      </c>
      <c r="AG64" s="1">
        <v>-9.0125999999999998E-2</v>
      </c>
      <c r="AH64" s="1">
        <f t="shared" si="1"/>
        <v>9.0125999999999998E-2</v>
      </c>
      <c r="AI64">
        <f>2552852000*(1/48000000)</f>
        <v>53.184416666666671</v>
      </c>
      <c r="AJ64">
        <v>50382</v>
      </c>
      <c r="AK64" s="1">
        <v>0.47005400000000003</v>
      </c>
      <c r="AL64">
        <f t="shared" si="2"/>
        <v>0.47005400000000003</v>
      </c>
      <c r="AM64">
        <f>(4297016*(1/48000000))*1000</f>
        <v>89.521166666666659</v>
      </c>
      <c r="AN64" s="1">
        <v>80506</v>
      </c>
      <c r="AO64" s="1">
        <v>9.6995999999999999E-2</v>
      </c>
      <c r="AP64" s="1">
        <f t="shared" si="3"/>
        <v>9.6995999999999999E-2</v>
      </c>
      <c r="AQ64">
        <f>(6894551*(1/48000000))*1000</f>
        <v>143.63647916666667</v>
      </c>
      <c r="AR64" s="1">
        <v>99668</v>
      </c>
      <c r="AS64" s="1">
        <v>-0.62453999999999998</v>
      </c>
      <c r="AT64" s="1">
        <f t="shared" si="4"/>
        <v>0.62453999999999998</v>
      </c>
      <c r="AU64">
        <f>(8531381*(1/48000000))*1000</f>
        <v>177.73710416666668</v>
      </c>
    </row>
    <row r="65" spans="1:47" x14ac:dyDescent="0.2">
      <c r="A65">
        <v>989.3</v>
      </c>
      <c r="B65" s="1">
        <v>16.604942000000001</v>
      </c>
      <c r="C65">
        <f>97734000*(1/48000000)</f>
        <v>2.0361250000000002</v>
      </c>
      <c r="D65">
        <v>1193</v>
      </c>
      <c r="E65" s="1">
        <v>16.564935999999999</v>
      </c>
      <c r="F65">
        <f>112497000*(1/48000000)</f>
        <v>2.3436875000000001</v>
      </c>
      <c r="I65">
        <f>138355000*(1/48000000)</f>
        <v>2.8823958333333337</v>
      </c>
      <c r="J65">
        <v>1964.5</v>
      </c>
      <c r="K65" s="1">
        <v>6.988982</v>
      </c>
      <c r="L65" s="3">
        <f>180614000*(1/48000000)</f>
        <v>3.7627916666666668</v>
      </c>
      <c r="M65" s="1">
        <v>2933</v>
      </c>
      <c r="N65" s="1">
        <v>6.0189329999999996</v>
      </c>
      <c r="O65">
        <f>263191000*(1/48000000)</f>
        <v>5.4831458333333334</v>
      </c>
      <c r="P65" s="1">
        <v>5059</v>
      </c>
      <c r="Q65" s="1">
        <v>4.0522099999999996</v>
      </c>
      <c r="R65">
        <f>449102000*(1/48000000)</f>
        <v>9.3562916666666673</v>
      </c>
      <c r="S65" s="1">
        <v>6202</v>
      </c>
      <c r="T65" s="1">
        <v>2.4870350000000001</v>
      </c>
      <c r="U65">
        <f>541200000*(1/48000000)</f>
        <v>11.275</v>
      </c>
      <c r="V65" s="1">
        <v>8081</v>
      </c>
      <c r="W65" s="1">
        <v>0.99049299999999996</v>
      </c>
      <c r="X65">
        <f>700211000*(1/48000000)</f>
        <v>14.587729166666668</v>
      </c>
      <c r="Y65" s="1">
        <v>9878</v>
      </c>
      <c r="Z65" s="1">
        <v>0.73718899999999998</v>
      </c>
      <c r="AA65">
        <f>851461000*(1/48000000)</f>
        <v>17.738770833333334</v>
      </c>
      <c r="AB65" s="1">
        <v>19786</v>
      </c>
      <c r="AC65" s="1">
        <v>0.188418</v>
      </c>
      <c r="AD65" s="1">
        <f t="shared" si="0"/>
        <v>0.188418</v>
      </c>
      <c r="AE65">
        <f>1699655000*(1/48000000)</f>
        <v>35.409479166666671</v>
      </c>
      <c r="AF65">
        <v>29717</v>
      </c>
      <c r="AG65" s="1">
        <v>-0.744452</v>
      </c>
      <c r="AH65" s="1">
        <f t="shared" si="1"/>
        <v>0.744452</v>
      </c>
      <c r="AI65">
        <f>2551285000*(1/48000000)</f>
        <v>53.151770833333337</v>
      </c>
      <c r="AJ65">
        <v>50382</v>
      </c>
      <c r="AK65" s="1">
        <v>5.2789999999999998E-3</v>
      </c>
      <c r="AL65">
        <f t="shared" si="2"/>
        <v>5.2789999999999998E-3</v>
      </c>
      <c r="AM65">
        <f>(4309390*(1/48000000))*1000</f>
        <v>89.778958333333335</v>
      </c>
      <c r="AN65" s="1">
        <v>80506</v>
      </c>
      <c r="AO65" s="1">
        <v>-0.11559899999999999</v>
      </c>
      <c r="AP65" s="1">
        <f t="shared" si="3"/>
        <v>0.11559899999999999</v>
      </c>
      <c r="AQ65">
        <f>(6876776*(1/48000000))*1000</f>
        <v>143.26616666666666</v>
      </c>
      <c r="AR65" s="1">
        <v>99668</v>
      </c>
      <c r="AS65" s="1">
        <v>-0.74279799999999996</v>
      </c>
      <c r="AT65" s="1">
        <f t="shared" si="4"/>
        <v>0.74279799999999996</v>
      </c>
      <c r="AU65">
        <f>(8534033*(1/48000000))*1000</f>
        <v>177.79235416666666</v>
      </c>
    </row>
    <row r="66" spans="1:47" x14ac:dyDescent="0.2">
      <c r="A66">
        <v>989.3</v>
      </c>
      <c r="B66" s="1">
        <v>17.177752000000002</v>
      </c>
      <c r="C66">
        <f>98044000*(1/48000000)</f>
        <v>2.0425833333333334</v>
      </c>
      <c r="D66">
        <v>1193</v>
      </c>
      <c r="E66" s="1">
        <v>16.951720999999999</v>
      </c>
      <c r="F66">
        <f>111828000*(1/48000000)</f>
        <v>2.3297500000000002</v>
      </c>
      <c r="I66">
        <f>138342000*(1/48000000)</f>
        <v>2.8821250000000003</v>
      </c>
      <c r="J66">
        <v>1964.5</v>
      </c>
      <c r="K66" s="1">
        <v>7.4610659999999998</v>
      </c>
      <c r="L66" s="3">
        <f>180108000*(1/48000000)</f>
        <v>3.7522500000000001</v>
      </c>
      <c r="M66" s="1">
        <v>2933</v>
      </c>
      <c r="N66" s="1">
        <v>5.2442339999999996</v>
      </c>
      <c r="O66">
        <f>263976000*(1/48000000)</f>
        <v>5.4995000000000003</v>
      </c>
      <c r="P66" s="1">
        <v>5059</v>
      </c>
      <c r="Q66" s="1">
        <v>3.7031160000000001</v>
      </c>
      <c r="R66">
        <f>447498000*(1/48000000)</f>
        <v>9.3228749999999998</v>
      </c>
      <c r="S66" s="1">
        <v>6202</v>
      </c>
      <c r="T66" s="1">
        <v>2.6367989999999999</v>
      </c>
      <c r="U66">
        <f>545293000*(1/48000000)</f>
        <v>11.360270833333335</v>
      </c>
      <c r="V66" s="1">
        <v>8081</v>
      </c>
      <c r="W66" s="1">
        <v>1.551831</v>
      </c>
      <c r="X66">
        <f>700255000*(1/48000000)</f>
        <v>14.588645833333334</v>
      </c>
      <c r="Y66" s="1">
        <v>9878</v>
      </c>
      <c r="Z66" s="1">
        <v>0.38500899999999999</v>
      </c>
      <c r="AA66">
        <f>854096000*(1/48000000)</f>
        <v>17.793666666666667</v>
      </c>
      <c r="AB66" s="1">
        <v>19786</v>
      </c>
      <c r="AC66" s="1">
        <v>-0.44472600000000001</v>
      </c>
      <c r="AD66" s="1">
        <f t="shared" si="0"/>
        <v>0.44472600000000001</v>
      </c>
      <c r="AE66">
        <f>1700361000*(1/48000000)</f>
        <v>35.424187500000002</v>
      </c>
      <c r="AF66">
        <v>29717</v>
      </c>
      <c r="AG66" s="1">
        <v>-6.6257999999999997E-2</v>
      </c>
      <c r="AH66" s="1">
        <f t="shared" si="1"/>
        <v>6.6257999999999997E-2</v>
      </c>
      <c r="AI66">
        <f>2549291000*(1/48000000)</f>
        <v>53.11022916666667</v>
      </c>
      <c r="AJ66">
        <v>50382</v>
      </c>
      <c r="AK66" s="1">
        <v>-0.31440000000000001</v>
      </c>
      <c r="AL66">
        <f t="shared" si="2"/>
        <v>0.31440000000000001</v>
      </c>
      <c r="AM66">
        <f>(4311298*(1/48000000))*1000</f>
        <v>89.818708333333348</v>
      </c>
      <c r="AN66" s="1">
        <v>80506</v>
      </c>
      <c r="AO66" s="1">
        <v>-0.393293</v>
      </c>
      <c r="AP66" s="1">
        <f t="shared" si="3"/>
        <v>0.393293</v>
      </c>
      <c r="AQ66">
        <f>(6891210*(1/48000000))*1000</f>
        <v>143.56687500000001</v>
      </c>
      <c r="AR66" s="1">
        <v>99668</v>
      </c>
      <c r="AS66" s="1">
        <v>-0.71271200000000001</v>
      </c>
      <c r="AT66" s="1">
        <f t="shared" si="4"/>
        <v>0.71271200000000001</v>
      </c>
      <c r="AU66">
        <f>(8513244*(1/48000000))*1000</f>
        <v>177.35925000000003</v>
      </c>
    </row>
    <row r="67" spans="1:47" x14ac:dyDescent="0.2">
      <c r="A67">
        <v>989.3</v>
      </c>
      <c r="B67" s="1">
        <v>16.619263</v>
      </c>
      <c r="C67">
        <f>97744000*(1/48000000)</f>
        <v>2.0363333333333333</v>
      </c>
      <c r="D67">
        <v>1193</v>
      </c>
      <c r="E67" s="1">
        <v>16.044971</v>
      </c>
      <c r="F67">
        <f>112282000*(1/48000000)</f>
        <v>2.3392083333333336</v>
      </c>
      <c r="I67">
        <f>137923000*(1/48000000)</f>
        <v>2.8733958333333334</v>
      </c>
      <c r="J67">
        <v>1964.5</v>
      </c>
      <c r="K67" s="1">
        <v>7.427594</v>
      </c>
      <c r="L67" s="3">
        <f>180515000*(1/48000000)</f>
        <v>3.7607291666666667</v>
      </c>
      <c r="M67" s="1">
        <v>2933</v>
      </c>
      <c r="N67" s="1">
        <v>5.9671219999999998</v>
      </c>
      <c r="O67">
        <f>263111000*(1/48000000)</f>
        <v>5.4814791666666673</v>
      </c>
      <c r="P67" s="1">
        <v>5059</v>
      </c>
      <c r="Q67" s="1">
        <v>3.4058079999999999</v>
      </c>
      <c r="R67">
        <f>447565000*(1/48000000)</f>
        <v>9.3242708333333333</v>
      </c>
      <c r="S67" s="1">
        <v>6202</v>
      </c>
      <c r="T67" s="1">
        <v>2.8395579999999998</v>
      </c>
      <c r="U67">
        <f>543692000*(1/48000000)</f>
        <v>11.326916666666667</v>
      </c>
      <c r="V67" s="1">
        <v>8081</v>
      </c>
      <c r="W67" s="1">
        <v>1.333833</v>
      </c>
      <c r="X67">
        <f>701605000*(1/48000000)</f>
        <v>14.616770833333334</v>
      </c>
      <c r="Y67" s="1">
        <v>9878</v>
      </c>
      <c r="Z67" s="1">
        <v>1.0493980000000001</v>
      </c>
      <c r="AA67">
        <f>851345000*(1/48000000)</f>
        <v>17.736354166666668</v>
      </c>
      <c r="AB67" s="1">
        <v>19786</v>
      </c>
      <c r="AC67" s="1">
        <v>0.26231399999999999</v>
      </c>
      <c r="AD67" s="1">
        <f t="shared" ref="AD67:AD74" si="5">ABS(AC67:AC139)</f>
        <v>0.26231399999999999</v>
      </c>
      <c r="AE67">
        <f>1694194000*(1/48000000)</f>
        <v>35.295708333333337</v>
      </c>
      <c r="AF67">
        <v>29717</v>
      </c>
      <c r="AG67" s="1">
        <v>8.4457000000000004E-2</v>
      </c>
      <c r="AH67" s="1">
        <f t="shared" ref="AH67:AH72" si="6">ABS(AG67)</f>
        <v>8.4457000000000004E-2</v>
      </c>
      <c r="AI67">
        <f>2551303000*(1/48000000)</f>
        <v>53.152145833333336</v>
      </c>
      <c r="AJ67">
        <v>50382</v>
      </c>
      <c r="AK67" s="1">
        <v>-0.94980299999999995</v>
      </c>
      <c r="AL67">
        <f t="shared" ref="AL67:AL70" si="7">ABS(AK67)</f>
        <v>0.94980299999999995</v>
      </c>
      <c r="AM67">
        <f>(4312661*(1/48000000))*1000</f>
        <v>89.847104166666682</v>
      </c>
      <c r="AN67" s="1">
        <v>80506</v>
      </c>
      <c r="AO67" s="1">
        <v>-0.69624799999999998</v>
      </c>
      <c r="AP67" s="1">
        <f t="shared" ref="AP67:AP73" si="8">ABS(AO67)</f>
        <v>0.69624799999999998</v>
      </c>
      <c r="AQ67">
        <f>(6877259*(1/48000000))*1000</f>
        <v>143.2762291666667</v>
      </c>
      <c r="AR67" s="1">
        <v>99668</v>
      </c>
      <c r="AS67" s="1">
        <v>-0.16123399999999999</v>
      </c>
      <c r="AT67" s="1">
        <f t="shared" ref="AT67:AT73" si="9">ABS(AS67)</f>
        <v>0.16123399999999999</v>
      </c>
      <c r="AU67">
        <f>(8512328*(1/48000000))*1000</f>
        <v>177.34016666666668</v>
      </c>
    </row>
    <row r="68" spans="1:47" x14ac:dyDescent="0.2">
      <c r="A68">
        <v>989.3</v>
      </c>
      <c r="B68" s="1">
        <v>17.671392000000001</v>
      </c>
      <c r="C68">
        <f>98302000*(1/48000000)</f>
        <v>2.0479583333333333</v>
      </c>
      <c r="D68">
        <v>1193</v>
      </c>
      <c r="E68" s="1">
        <v>16.273520999999999</v>
      </c>
      <c r="F68">
        <f>112892000*(1/48000000)</f>
        <v>2.3519166666666669</v>
      </c>
      <c r="I68">
        <f>138659000*(1/48000000)</f>
        <v>2.8887291666666668</v>
      </c>
      <c r="J68">
        <v>1964.5</v>
      </c>
      <c r="K68" s="1">
        <v>7.5228700000000002</v>
      </c>
      <c r="L68" s="3">
        <f>179996000*(1/48000000)</f>
        <v>3.749916666666667</v>
      </c>
      <c r="M68" s="1">
        <v>2933</v>
      </c>
      <c r="N68" s="1">
        <v>5.4493520000000002</v>
      </c>
      <c r="O68">
        <f>263382000*(1/48000000)</f>
        <v>5.4871250000000007</v>
      </c>
      <c r="P68" s="1">
        <v>5059</v>
      </c>
      <c r="Q68" s="1">
        <v>3.0586419999999999</v>
      </c>
      <c r="R68">
        <f>449230000*(1/48000000)</f>
        <v>9.3589583333333337</v>
      </c>
      <c r="S68" s="1">
        <v>6202</v>
      </c>
      <c r="T68" s="1">
        <v>2.8382550000000002</v>
      </c>
      <c r="U68">
        <f>543070000*(1/48000000)</f>
        <v>11.313958333333334</v>
      </c>
      <c r="V68" s="1">
        <v>8081</v>
      </c>
      <c r="W68" s="1">
        <v>0.87975400000000004</v>
      </c>
      <c r="X68">
        <f>704882000*(1/48000000)</f>
        <v>14.685041666666667</v>
      </c>
      <c r="Y68" s="1">
        <v>9878</v>
      </c>
      <c r="Z68" s="1">
        <v>0.86419299999999999</v>
      </c>
      <c r="AA68">
        <f>854770000*(1/48000000)</f>
        <v>17.807708333333334</v>
      </c>
      <c r="AB68" s="1">
        <v>19786</v>
      </c>
      <c r="AC68" s="1">
        <v>0.33686100000000002</v>
      </c>
      <c r="AD68" s="1">
        <f t="shared" si="5"/>
        <v>0.33686100000000002</v>
      </c>
      <c r="AE68">
        <f>1700510000*(1/48000000)</f>
        <v>35.427291666666669</v>
      </c>
      <c r="AF68">
        <v>29717</v>
      </c>
      <c r="AG68" s="1">
        <v>-9.1469999999999996E-2</v>
      </c>
      <c r="AH68" s="1">
        <f t="shared" si="6"/>
        <v>9.1469999999999996E-2</v>
      </c>
      <c r="AI68">
        <f>2555302000*(1/48000000)</f>
        <v>53.235458333333334</v>
      </c>
      <c r="AJ68">
        <v>50382</v>
      </c>
      <c r="AK68" s="1">
        <v>-2.6457999999999999E-2</v>
      </c>
      <c r="AL68">
        <f t="shared" si="7"/>
        <v>2.6457999999999999E-2</v>
      </c>
      <c r="AM68">
        <f>(4309708*(1/48000000))*1000</f>
        <v>89.785583333333335</v>
      </c>
      <c r="AN68" s="1">
        <v>80506</v>
      </c>
      <c r="AO68" s="1">
        <v>-0.18684100000000001</v>
      </c>
      <c r="AP68" s="1">
        <f t="shared" si="8"/>
        <v>0.18684100000000001</v>
      </c>
      <c r="AQ68">
        <f>(6893461*(1/48000000))*1000</f>
        <v>143.61377083333335</v>
      </c>
      <c r="AR68" s="1">
        <v>99668</v>
      </c>
      <c r="AS68" s="1">
        <v>-0.23216000000000001</v>
      </c>
      <c r="AT68" s="1">
        <f t="shared" si="9"/>
        <v>0.23216000000000001</v>
      </c>
      <c r="AU68">
        <f>(8531206*(1/48000000))*1000</f>
        <v>177.73345833333335</v>
      </c>
    </row>
    <row r="69" spans="1:47" x14ac:dyDescent="0.2">
      <c r="A69">
        <v>989.3</v>
      </c>
      <c r="B69" s="1">
        <v>19.690266000000001</v>
      </c>
      <c r="C69">
        <f>98884000*(1/48000000)</f>
        <v>2.0600833333333335</v>
      </c>
      <c r="D69">
        <v>1193</v>
      </c>
      <c r="E69" s="1">
        <v>17.169696999999999</v>
      </c>
      <c r="F69">
        <f>112693000*(1/48000000)</f>
        <v>2.3477708333333336</v>
      </c>
      <c r="I69">
        <f>138295000*(1/48000000)</f>
        <v>2.8811458333333335</v>
      </c>
      <c r="J69">
        <v>1964.5</v>
      </c>
      <c r="K69" s="1">
        <v>7.3874510000000004</v>
      </c>
      <c r="L69" s="3">
        <f>180783000*(1/48000000)</f>
        <v>3.7663125000000002</v>
      </c>
      <c r="M69" s="1">
        <v>2933</v>
      </c>
      <c r="N69" s="1">
        <v>6.2929459999999997</v>
      </c>
      <c r="O69">
        <f>263604000*(1/48000000)</f>
        <v>5.4917500000000006</v>
      </c>
      <c r="P69" s="1">
        <v>5059</v>
      </c>
      <c r="Q69" s="1">
        <v>3.5735489999999999</v>
      </c>
      <c r="R69">
        <f>447737000*(1/48000000)</f>
        <v>9.3278541666666666</v>
      </c>
      <c r="S69" s="1">
        <v>6202</v>
      </c>
      <c r="T69" s="1">
        <v>2.7967050000000002</v>
      </c>
      <c r="U69">
        <f>544822000*(1/48000000)</f>
        <v>11.350458333333334</v>
      </c>
      <c r="V69" s="1">
        <v>8081</v>
      </c>
      <c r="W69" s="1">
        <v>1.3570230000000001</v>
      </c>
      <c r="X69">
        <f>704061000*(1/48000000)</f>
        <v>14.667937500000001</v>
      </c>
      <c r="Y69" s="1">
        <v>9878</v>
      </c>
      <c r="Z69" s="1">
        <v>0.59167800000000004</v>
      </c>
      <c r="AA69">
        <f>851680000*(1/48000000)</f>
        <v>17.743333333333336</v>
      </c>
      <c r="AB69" s="1">
        <v>19786</v>
      </c>
      <c r="AC69" s="1">
        <v>0.423101</v>
      </c>
      <c r="AD69" s="1">
        <f t="shared" si="5"/>
        <v>0.423101</v>
      </c>
      <c r="AE69">
        <f>1700264000*(1/48000000)</f>
        <v>35.422166666666669</v>
      </c>
      <c r="AF69">
        <v>29717</v>
      </c>
      <c r="AG69" s="1">
        <v>-0.202429</v>
      </c>
      <c r="AH69" s="1">
        <f t="shared" si="6"/>
        <v>0.202429</v>
      </c>
      <c r="AI69">
        <f>2547362000*(1/48000000)</f>
        <v>53.070041666666668</v>
      </c>
      <c r="AJ69">
        <v>50382</v>
      </c>
      <c r="AK69" s="1">
        <v>-0.190024</v>
      </c>
      <c r="AL69">
        <f t="shared" si="7"/>
        <v>0.190024</v>
      </c>
      <c r="AM69">
        <f>(4311570*(1/48000000))*1000</f>
        <v>89.824375000000018</v>
      </c>
      <c r="AN69" s="1">
        <v>80506</v>
      </c>
      <c r="AO69" s="1">
        <v>-0.45887699999999998</v>
      </c>
      <c r="AP69" s="1">
        <f t="shared" si="8"/>
        <v>0.45887699999999998</v>
      </c>
      <c r="AQ69">
        <f>(6902082*(1/48000000))*1000</f>
        <v>143.793375</v>
      </c>
      <c r="AR69" s="1">
        <v>99668</v>
      </c>
      <c r="AS69" s="1">
        <v>-0.349495</v>
      </c>
      <c r="AT69" s="1">
        <f t="shared" si="9"/>
        <v>0.349495</v>
      </c>
      <c r="AU69">
        <f>(8478022*(1/48000000))*1000</f>
        <v>176.62545833333334</v>
      </c>
    </row>
    <row r="70" spans="1:47" x14ac:dyDescent="0.2">
      <c r="A70">
        <v>989.3</v>
      </c>
      <c r="B70" s="1">
        <v>18.806166000000001</v>
      </c>
      <c r="C70">
        <f>97784000*(1/48000000)</f>
        <v>2.0371666666666668</v>
      </c>
      <c r="D70">
        <v>1193</v>
      </c>
      <c r="E70" s="1">
        <v>16.21095</v>
      </c>
      <c r="F70">
        <f>112747000*(1/48000000)</f>
        <v>2.3488958333333336</v>
      </c>
      <c r="I70">
        <f>139067000*(1/48000000)</f>
        <v>2.897229166666667</v>
      </c>
      <c r="J70">
        <v>1964.5</v>
      </c>
      <c r="K70" s="1">
        <v>7.2342779999999998</v>
      </c>
      <c r="L70" s="3">
        <f>181219000*(1/48000000)</f>
        <v>3.7753958333333335</v>
      </c>
      <c r="M70" s="1">
        <v>2933</v>
      </c>
      <c r="N70" s="1">
        <v>5.4122440000000003</v>
      </c>
      <c r="O70">
        <f>262937000*(1/48000000)</f>
        <v>5.4778541666666669</v>
      </c>
      <c r="P70" s="1">
        <v>5059</v>
      </c>
      <c r="Q70" s="1">
        <v>3.662998</v>
      </c>
      <c r="R70">
        <f>446264000*(1/48000000)</f>
        <v>9.2971666666666675</v>
      </c>
      <c r="S70" s="1">
        <v>6202</v>
      </c>
      <c r="T70" s="1">
        <v>2.722756</v>
      </c>
      <c r="U70">
        <f>541494000*(1/48000000)</f>
        <v>11.281125000000001</v>
      </c>
      <c r="V70" s="1">
        <v>8081</v>
      </c>
      <c r="W70" s="1">
        <v>2.0519240000000001</v>
      </c>
      <c r="X70">
        <f>701053000*(1/48000000)</f>
        <v>14.605270833333334</v>
      </c>
      <c r="Y70" s="1">
        <v>9878</v>
      </c>
      <c r="Z70" s="1">
        <v>0.64568999999999999</v>
      </c>
      <c r="AA70">
        <f>853315000*(1/48000000)</f>
        <v>17.777395833333333</v>
      </c>
      <c r="AB70" s="1">
        <v>19786</v>
      </c>
      <c r="AC70" s="1">
        <v>-0.35966599999999999</v>
      </c>
      <c r="AD70" s="1">
        <f t="shared" si="5"/>
        <v>0.35966599999999999</v>
      </c>
      <c r="AE70">
        <f>1698480000*(1/48000000)</f>
        <v>35.385000000000005</v>
      </c>
      <c r="AF70">
        <v>29717</v>
      </c>
      <c r="AG70" s="1">
        <v>-0.22031500000000001</v>
      </c>
      <c r="AH70" s="1">
        <f t="shared" si="6"/>
        <v>0.22031500000000001</v>
      </c>
      <c r="AI70">
        <f>2546827000*(1/48000000)</f>
        <v>53.058895833333338</v>
      </c>
      <c r="AJ70">
        <v>50382</v>
      </c>
      <c r="AK70" s="1">
        <v>-0.218168</v>
      </c>
      <c r="AL70">
        <f t="shared" si="7"/>
        <v>0.218168</v>
      </c>
      <c r="AM70">
        <f>(4288858*(1/48000000))*1000</f>
        <v>89.351208333333332</v>
      </c>
      <c r="AN70" s="1">
        <v>80506</v>
      </c>
      <c r="AO70" s="1">
        <v>-0.328287</v>
      </c>
      <c r="AP70" s="1">
        <f t="shared" si="8"/>
        <v>0.328287</v>
      </c>
      <c r="AQ70">
        <f>(6891671*(1/48000000))*1000</f>
        <v>143.5764791666667</v>
      </c>
      <c r="AR70" s="1">
        <v>99668</v>
      </c>
      <c r="AS70" s="1">
        <v>-0.14996200000000001</v>
      </c>
      <c r="AT70" s="1">
        <f t="shared" si="9"/>
        <v>0.14996200000000001</v>
      </c>
      <c r="AU70">
        <f>(8533745*(1/48000000))*1000</f>
        <v>177.78635416666668</v>
      </c>
    </row>
    <row r="71" spans="1:47" x14ac:dyDescent="0.2">
      <c r="A71">
        <v>989.3</v>
      </c>
      <c r="B71" s="1">
        <v>18.640398000000001</v>
      </c>
      <c r="C71">
        <f>97814000*(1/48000000)</f>
        <v>2.0377916666666667</v>
      </c>
      <c r="D71">
        <v>1193</v>
      </c>
      <c r="E71" s="1">
        <v>17.086583000000001</v>
      </c>
      <c r="F71">
        <f>112601000*(1/48000000)</f>
        <v>2.3458541666666668</v>
      </c>
      <c r="I71">
        <f>138547000*(1/48000000)</f>
        <v>2.8863958333333337</v>
      </c>
      <c r="J71">
        <v>1964.5</v>
      </c>
      <c r="K71" s="1">
        <v>6.8658380000000001</v>
      </c>
      <c r="L71" s="3">
        <f>180899000*(1/48000000)</f>
        <v>3.7687291666666667</v>
      </c>
      <c r="M71" s="1">
        <v>2933</v>
      </c>
      <c r="N71" s="1">
        <v>6.4566549999999996</v>
      </c>
      <c r="O71">
        <f>263758000*(1/48000000)</f>
        <v>5.4949583333333338</v>
      </c>
      <c r="P71" s="1">
        <v>5059</v>
      </c>
      <c r="Q71" s="1">
        <v>3.6197949999999999</v>
      </c>
      <c r="R71">
        <f>448730000*(1/48000000)</f>
        <v>9.3485416666666676</v>
      </c>
      <c r="S71" s="1">
        <v>6202</v>
      </c>
      <c r="T71" s="1">
        <v>2.2417259999999999</v>
      </c>
      <c r="U71">
        <f>543949000*(1/48000000)</f>
        <v>11.332270833333334</v>
      </c>
      <c r="V71" s="1">
        <v>8081</v>
      </c>
      <c r="W71" s="1">
        <v>0.69795200000000002</v>
      </c>
      <c r="X71">
        <f>703126000*(1/48000000)</f>
        <v>14.648458333333334</v>
      </c>
      <c r="Y71" s="1">
        <v>9878</v>
      </c>
      <c r="Z71" s="1">
        <v>0.81030000000000002</v>
      </c>
      <c r="AA71">
        <f>853128000*(1/48000000)</f>
        <v>17.773500000000002</v>
      </c>
      <c r="AB71" s="1">
        <v>19786</v>
      </c>
      <c r="AC71" s="1">
        <v>-0.30881599999999998</v>
      </c>
      <c r="AD71" s="1">
        <f t="shared" si="5"/>
        <v>0.30881599999999998</v>
      </c>
      <c r="AE71">
        <f>1703140000*(1/48000000)</f>
        <v>35.482083333333335</v>
      </c>
      <c r="AF71">
        <v>29717</v>
      </c>
      <c r="AG71" s="1">
        <v>-0.26724300000000001</v>
      </c>
      <c r="AH71" s="1">
        <f t="shared" si="6"/>
        <v>0.26724300000000001</v>
      </c>
      <c r="AM71">
        <f>(4311267*(1/48000000))*1000</f>
        <v>89.818062500000011</v>
      </c>
      <c r="AN71" s="1">
        <v>80506</v>
      </c>
      <c r="AO71" s="1">
        <v>-0.552288</v>
      </c>
      <c r="AP71" s="1">
        <f t="shared" si="8"/>
        <v>0.552288</v>
      </c>
      <c r="AQ71">
        <f>(6897647*(1/48000000))*1000</f>
        <v>143.70097916666668</v>
      </c>
      <c r="AR71" s="1">
        <v>99668</v>
      </c>
      <c r="AS71" s="1">
        <v>-0.42578899999999997</v>
      </c>
      <c r="AT71" s="1">
        <f t="shared" si="9"/>
        <v>0.42578899999999997</v>
      </c>
      <c r="AU71">
        <f>(8524384*(1/48000000))*1000</f>
        <v>177.59133333333335</v>
      </c>
    </row>
    <row r="72" spans="1:47" x14ac:dyDescent="0.2">
      <c r="A72">
        <v>989.3</v>
      </c>
      <c r="B72" s="1">
        <v>18.499354</v>
      </c>
      <c r="C72">
        <f>97809000*(1/48000000)</f>
        <v>2.0376875000000001</v>
      </c>
      <c r="D72">
        <v>1193</v>
      </c>
      <c r="E72" s="1">
        <v>16.694113000000002</v>
      </c>
      <c r="F72">
        <f>111670000*(1/48000000)</f>
        <v>2.3264583333333335</v>
      </c>
      <c r="I72">
        <f>137822000*(1/48000000)</f>
        <v>2.871291666666667</v>
      </c>
      <c r="J72">
        <v>1964.5</v>
      </c>
      <c r="K72" s="1">
        <v>6.8617650000000001</v>
      </c>
      <c r="L72" s="3">
        <f>180173000*(1/48000000)</f>
        <v>3.7536041666666669</v>
      </c>
      <c r="M72" s="1">
        <v>2933</v>
      </c>
      <c r="N72" s="1">
        <v>5.5760680000000002</v>
      </c>
      <c r="O72">
        <f>263460000*(1/48000000)</f>
        <v>5.4887500000000005</v>
      </c>
      <c r="Q72" s="1"/>
      <c r="R72">
        <f>446051000*(1/48000000)</f>
        <v>9.2927291666666676</v>
      </c>
      <c r="T72" s="1"/>
      <c r="W72" s="1"/>
      <c r="X72">
        <f>700457000*(1/48000000)</f>
        <v>14.592854166666667</v>
      </c>
      <c r="AA72">
        <f>853704000*(1/48000000)</f>
        <v>17.785500000000003</v>
      </c>
      <c r="AB72" s="1">
        <v>19786</v>
      </c>
      <c r="AC72" s="1">
        <v>0.105379</v>
      </c>
      <c r="AD72" s="1">
        <f t="shared" si="5"/>
        <v>0.105379</v>
      </c>
      <c r="AE72">
        <f>1694631000*(1/48000000)</f>
        <v>35.304812500000004</v>
      </c>
      <c r="AF72">
        <v>29717</v>
      </c>
      <c r="AG72" s="1">
        <v>-8.4057000000000007E-2</v>
      </c>
      <c r="AH72" s="1">
        <f t="shared" si="6"/>
        <v>8.4057000000000007E-2</v>
      </c>
      <c r="AM72">
        <f>(4310334*(1/48000000))*1000</f>
        <v>89.798625000000001</v>
      </c>
      <c r="AN72" s="1">
        <v>80506</v>
      </c>
      <c r="AO72" s="1">
        <v>-0.52045600000000003</v>
      </c>
      <c r="AP72" s="1">
        <f t="shared" si="8"/>
        <v>0.52045600000000003</v>
      </c>
      <c r="AQ72">
        <f>(6876821*(1/48000000))*1000</f>
        <v>143.26710416666668</v>
      </c>
      <c r="AR72" s="1">
        <v>99668</v>
      </c>
      <c r="AS72" s="1">
        <v>-0.19577</v>
      </c>
      <c r="AT72" s="1">
        <f t="shared" si="9"/>
        <v>0.19577</v>
      </c>
      <c r="AU72">
        <f>(8513135*(1/48000000))*1000</f>
        <v>177.35697916666669</v>
      </c>
    </row>
    <row r="73" spans="1:47" x14ac:dyDescent="0.2">
      <c r="B73" s="1"/>
      <c r="C73">
        <f>97815000*(1/48000000)</f>
        <v>2.0378125000000002</v>
      </c>
      <c r="F73" s="1"/>
      <c r="I73">
        <f>138739000*(1/48000000)</f>
        <v>2.8903958333333337</v>
      </c>
      <c r="K73" s="1"/>
      <c r="L73" s="3">
        <f>181203000*(1/48000000)</f>
        <v>3.7750625000000002</v>
      </c>
      <c r="N73" s="1"/>
      <c r="Q73" s="1"/>
      <c r="R73">
        <f>448619000*(1/48000000)</f>
        <v>9.3462291666666673</v>
      </c>
      <c r="T73" s="1"/>
      <c r="W73" s="1"/>
      <c r="X73">
        <f>702648000*(1/48000000)</f>
        <v>14.638500000000001</v>
      </c>
      <c r="AA73">
        <f>851379000*(1/48000000)</f>
        <v>17.7370625</v>
      </c>
      <c r="AB73" s="1">
        <v>19786</v>
      </c>
      <c r="AC73" s="1">
        <v>0.32153900000000002</v>
      </c>
      <c r="AD73" s="1">
        <f t="shared" si="5"/>
        <v>0.32153900000000002</v>
      </c>
      <c r="AE73">
        <f>1699735000*(1/48000000)</f>
        <v>35.411145833333336</v>
      </c>
      <c r="AM73">
        <f>(4312954*(1/48000000))*1000</f>
        <v>89.853208333333342</v>
      </c>
      <c r="AN73" s="1">
        <v>80506</v>
      </c>
      <c r="AO73" s="1">
        <v>-9.3342999999999995E-2</v>
      </c>
      <c r="AP73" s="1">
        <f t="shared" si="8"/>
        <v>9.3342999999999995E-2</v>
      </c>
      <c r="AQ73">
        <f>(6892855*(1/48000000))*1000</f>
        <v>143.60114583333333</v>
      </c>
      <c r="AR73" s="1">
        <v>99668</v>
      </c>
      <c r="AS73" s="1">
        <v>-0.279748</v>
      </c>
      <c r="AT73" s="1">
        <f t="shared" si="9"/>
        <v>0.279748</v>
      </c>
      <c r="AU73">
        <f>(8530132*(1/48000000))*1000</f>
        <v>177.71108333333336</v>
      </c>
    </row>
    <row r="74" spans="1:47" x14ac:dyDescent="0.2">
      <c r="B74" s="1"/>
      <c r="C74" s="1"/>
      <c r="F74" s="1"/>
      <c r="I74">
        <f>138680000*(1/48000000)</f>
        <v>2.8891666666666667</v>
      </c>
      <c r="K74" s="1"/>
      <c r="L74" s="3">
        <f>181403000*(1/48000000)</f>
        <v>3.7792291666666671</v>
      </c>
      <c r="N74" s="1"/>
      <c r="Q74" s="1"/>
      <c r="R74" s="1"/>
      <c r="T74" s="1"/>
      <c r="W74" s="1"/>
      <c r="X74">
        <f>702220000*(1/48000000)</f>
        <v>14.629583333333334</v>
      </c>
      <c r="AB74" s="1">
        <v>19786</v>
      </c>
      <c r="AC74" s="1">
        <v>0.30664999999999998</v>
      </c>
      <c r="AD74" s="1">
        <f t="shared" si="5"/>
        <v>0.30664999999999998</v>
      </c>
      <c r="AE74">
        <f>1693374000*(1/48000000)</f>
        <v>35.278625000000005</v>
      </c>
      <c r="AM74" s="1"/>
      <c r="AS74" s="1"/>
      <c r="AU74" s="1"/>
    </row>
    <row r="75" spans="1:47" x14ac:dyDescent="0.2">
      <c r="C75" s="1"/>
      <c r="I75" s="1"/>
      <c r="K75" s="1"/>
      <c r="L75" s="7"/>
      <c r="N75" s="1"/>
      <c r="R75" s="1"/>
      <c r="T75" s="1"/>
      <c r="W75" s="1"/>
      <c r="AC75" s="1"/>
      <c r="AE75" s="1"/>
      <c r="AM75" s="1"/>
      <c r="AS75" s="1"/>
      <c r="AU75" s="1"/>
    </row>
    <row r="76" spans="1:47" x14ac:dyDescent="0.2">
      <c r="A76" s="1">
        <f>AVERAGE(A2:A72)</f>
        <v>989.30000000000132</v>
      </c>
      <c r="B76" s="1">
        <f t="shared" ref="B76:AG76" si="10">AVERAGE(B2:B72)</f>
        <v>18.165839774647893</v>
      </c>
      <c r="AC76" s="1">
        <f t="shared" si="10"/>
        <v>0.17526776056338023</v>
      </c>
      <c r="AG76" s="1">
        <f t="shared" si="10"/>
        <v>-9.1469239436619748E-2</v>
      </c>
      <c r="AK76" s="1">
        <f>AVERAGE(AK2:AK72)</f>
        <v>-0.26950827536231886</v>
      </c>
    </row>
    <row r="77" spans="1:47" x14ac:dyDescent="0.2">
      <c r="I77" s="1"/>
      <c r="L77" s="1"/>
      <c r="N77" s="1"/>
      <c r="W77" s="1"/>
      <c r="AC77" s="1"/>
      <c r="AE77" s="1"/>
      <c r="AS77" s="1"/>
      <c r="AU77" s="1"/>
    </row>
    <row r="78" spans="1:47" x14ac:dyDescent="0.2">
      <c r="I78" s="1"/>
      <c r="L78" s="1"/>
      <c r="N78" s="1"/>
      <c r="W78" s="1"/>
      <c r="AC78" s="1"/>
      <c r="AE78" s="1"/>
      <c r="AS78" s="1"/>
      <c r="AU78" s="1"/>
    </row>
    <row r="79" spans="1:47" x14ac:dyDescent="0.2">
      <c r="L79" s="1"/>
      <c r="N79" s="1"/>
      <c r="W79" s="1"/>
      <c r="AB79" s="1">
        <f>AVERAGE(AB2:AB72)</f>
        <v>19786</v>
      </c>
      <c r="AC79" s="1">
        <f>AVERAGE(AD2:AD72)</f>
        <v>0.27123519718309846</v>
      </c>
      <c r="AD79" s="1">
        <f>AVERAGE(AE2:AE72)</f>
        <v>35.408482687793423</v>
      </c>
      <c r="AE79" s="1"/>
      <c r="AS79" s="1"/>
      <c r="AU79" s="1"/>
    </row>
    <row r="80" spans="1:47" x14ac:dyDescent="0.2">
      <c r="L80" s="1"/>
      <c r="N80" s="1"/>
      <c r="W80" s="1"/>
      <c r="AB80" s="1">
        <f>AVERAGE(AF2:AF72)</f>
        <v>29717</v>
      </c>
      <c r="AC80" s="1">
        <f>AVERAGE(AH2:AH72)</f>
        <v>0.20793281690140847</v>
      </c>
      <c r="AD80" s="1">
        <f>AVERAGE(AI2:AI72)</f>
        <v>53.109090277777767</v>
      </c>
      <c r="AE80" s="1"/>
      <c r="AS80" s="1"/>
      <c r="AU80" s="1"/>
    </row>
    <row r="81" spans="1:47" x14ac:dyDescent="0.2">
      <c r="A81">
        <v>989.30000000000132</v>
      </c>
      <c r="B81">
        <v>18.165839774647893</v>
      </c>
      <c r="C81" s="1">
        <f>AVERAGE(C2:C72)</f>
        <v>2.0519019953051645</v>
      </c>
      <c r="L81" s="1"/>
      <c r="N81" s="1"/>
      <c r="W81" s="1"/>
      <c r="AB81" s="1">
        <f>AVERAGE(AJ2:AJ72)</f>
        <v>50382</v>
      </c>
      <c r="AC81" s="1">
        <f>AVERAGE(AL2:AL72)</f>
        <v>0.30057560869565225</v>
      </c>
      <c r="AD81" s="1">
        <f>AVERAGE(AM2:AM72)</f>
        <v>89.704808098591585</v>
      </c>
      <c r="AE81" s="1"/>
      <c r="AS81" s="1"/>
      <c r="AU81" s="1"/>
    </row>
    <row r="82" spans="1:47" x14ac:dyDescent="0.2">
      <c r="A82" s="1">
        <f>AVERAGE(D2:D72)</f>
        <v>1193</v>
      </c>
      <c r="B82" s="1">
        <f>AVERAGE(E2:E72)</f>
        <v>16.076510507042254</v>
      </c>
      <c r="C82" s="1">
        <f>AVERAGE(F2:F72)</f>
        <v>2.3442992957746478</v>
      </c>
      <c r="L82" s="1"/>
      <c r="N82" s="1"/>
      <c r="W82" s="1"/>
      <c r="AB82" s="1">
        <f>AVERAGE(AN2:AN72)</f>
        <v>80506</v>
      </c>
      <c r="AC82" s="1">
        <f>AVERAGE(AP2:AP72)</f>
        <v>0.27523052112676061</v>
      </c>
      <c r="AD82" s="1">
        <f>AVERAGE(AQ2:AQ72)</f>
        <v>143.46511120892021</v>
      </c>
      <c r="AS82" s="1"/>
      <c r="AU82" s="1"/>
    </row>
    <row r="83" spans="1:47" x14ac:dyDescent="0.2">
      <c r="A83" s="1">
        <f>AVERAGE(G2:G72)</f>
        <v>1481</v>
      </c>
      <c r="B83" s="1">
        <f>AVERAGE(H2:H72)</f>
        <v>11.214029951219512</v>
      </c>
      <c r="C83" s="1">
        <f>AVERAGE(I2:I72)</f>
        <v>2.8784709507042265</v>
      </c>
      <c r="L83" s="1"/>
      <c r="N83" s="1"/>
      <c r="W83" s="1"/>
      <c r="AB83" s="1">
        <f>AVERAGE(AR2:AR72)</f>
        <v>99668</v>
      </c>
      <c r="AC83" s="1">
        <f>AVERAGE(AT2:AT72)</f>
        <v>0.28224376056338024</v>
      </c>
      <c r="AD83" s="1">
        <f>AVERAGE(AU2:AU73)</f>
        <v>177.67934403935192</v>
      </c>
      <c r="AU83" s="1"/>
    </row>
    <row r="84" spans="1:47" x14ac:dyDescent="0.2">
      <c r="A84" s="1">
        <f>AVERAGE(J2:J72)</f>
        <v>1964.5</v>
      </c>
      <c r="B84" s="1">
        <f>AVERAGE(K2:K72)</f>
        <v>7.1888337323943672</v>
      </c>
      <c r="C84" s="7">
        <f>AVERAGE(L2:L72)</f>
        <v>3.7685953638497658</v>
      </c>
      <c r="L84" s="1"/>
      <c r="N84" s="1"/>
      <c r="W84" s="1"/>
      <c r="AC84" s="1"/>
      <c r="AU84" s="1"/>
    </row>
    <row r="85" spans="1:47" x14ac:dyDescent="0.2">
      <c r="A85" s="1">
        <f>AVERAGE(M2:M72)</f>
        <v>2933</v>
      </c>
      <c r="B85" s="1">
        <f>AVERAGE(N2:N72)</f>
        <v>5.6757144647887321</v>
      </c>
      <c r="C85" s="1">
        <f>AVERAGE(O2:O72)</f>
        <v>5.4873007629107962</v>
      </c>
      <c r="W85" s="1"/>
      <c r="AC85" s="1"/>
    </row>
    <row r="86" spans="1:47" x14ac:dyDescent="0.2">
      <c r="A86" s="1">
        <f>AVERAGE(P2:P72)</f>
        <v>5059</v>
      </c>
      <c r="B86" s="1">
        <f>AVERAGE(Q2:Q72)</f>
        <v>3.6387503285714287</v>
      </c>
      <c r="C86" s="1">
        <f>AVERAGE(R2:R72)</f>
        <v>9.332505868544601</v>
      </c>
      <c r="L86" s="1"/>
      <c r="N86" s="1"/>
      <c r="W86" s="1"/>
      <c r="AC86" s="1"/>
    </row>
    <row r="87" spans="1:47" x14ac:dyDescent="0.2">
      <c r="A87" s="1">
        <f>AVERAGE(S2:S72)</f>
        <v>6202</v>
      </c>
      <c r="B87" s="1">
        <f>AVERAGE(T2:T72)</f>
        <v>2.868704471428571</v>
      </c>
      <c r="C87" s="1">
        <f>AVERAGE(U2:U72)</f>
        <v>11.313027083333335</v>
      </c>
      <c r="AC87" s="1"/>
    </row>
    <row r="88" spans="1:47" x14ac:dyDescent="0.2">
      <c r="A88" s="1">
        <f>AVERAGE(V2:V72)</f>
        <v>8081</v>
      </c>
      <c r="B88" s="1">
        <f>AVERAGE(W2:W72)</f>
        <v>1.1359101714285715</v>
      </c>
      <c r="C88" s="1">
        <f>AVERAGE(X2:X72)</f>
        <v>14.646956279342726</v>
      </c>
      <c r="L88" s="1"/>
      <c r="N88" s="1"/>
      <c r="W88" s="1"/>
      <c r="AC88" s="1"/>
    </row>
    <row r="89" spans="1:47" x14ac:dyDescent="0.2">
      <c r="A89" s="1">
        <f>AVERAGE(Y2:Y72)</f>
        <v>9878</v>
      </c>
      <c r="B89" s="1">
        <f>AVERAGE(Z2:Z72)</f>
        <v>0.78833685714285728</v>
      </c>
      <c r="C89" s="1">
        <f>AVERAGE(AA2:AA72)</f>
        <v>17.746521126760559</v>
      </c>
      <c r="L89" s="1"/>
      <c r="W89" s="1"/>
      <c r="AC89" s="1"/>
    </row>
    <row r="90" spans="1:47" x14ac:dyDescent="0.2">
      <c r="A90">
        <v>19786</v>
      </c>
      <c r="B90">
        <v>0.27123519718309846</v>
      </c>
      <c r="C90">
        <v>35.408482687793423</v>
      </c>
      <c r="L90" s="1"/>
      <c r="W90" s="1"/>
      <c r="AC90" s="1"/>
    </row>
    <row r="91" spans="1:47" x14ac:dyDescent="0.2">
      <c r="A91">
        <v>29717</v>
      </c>
      <c r="B91">
        <v>0.20793281690140847</v>
      </c>
      <c r="C91">
        <v>53.109090277777767</v>
      </c>
      <c r="L91" s="1"/>
      <c r="W91" s="1"/>
      <c r="AC91" s="1"/>
    </row>
    <row r="92" spans="1:47" x14ac:dyDescent="0.2">
      <c r="A92">
        <v>50382</v>
      </c>
      <c r="B92">
        <v>0.30057560869565225</v>
      </c>
      <c r="C92">
        <v>89.704808098591585</v>
      </c>
      <c r="L92" s="1"/>
      <c r="W92" s="1"/>
    </row>
    <row r="93" spans="1:47" x14ac:dyDescent="0.2">
      <c r="A93">
        <v>80506</v>
      </c>
      <c r="B93">
        <v>0.27523052112676061</v>
      </c>
      <c r="C93">
        <v>143.46511120892021</v>
      </c>
      <c r="L93" s="1"/>
      <c r="W93" s="1"/>
    </row>
    <row r="94" spans="1:47" x14ac:dyDescent="0.2">
      <c r="A94">
        <v>99668</v>
      </c>
      <c r="B94">
        <v>0.28224376056338024</v>
      </c>
      <c r="C94">
        <v>177.67934403935192</v>
      </c>
      <c r="L94" s="1"/>
      <c r="W94" s="1"/>
    </row>
    <row r="95" spans="1:47" x14ac:dyDescent="0.2">
      <c r="L95" s="1"/>
      <c r="W95" s="1"/>
    </row>
    <row r="96" spans="1:47" x14ac:dyDescent="0.2">
      <c r="L96" s="1"/>
    </row>
    <row r="97" spans="12:12" x14ac:dyDescent="0.2">
      <c r="L97" s="1"/>
    </row>
    <row r="98" spans="12:12" x14ac:dyDescent="0.2">
      <c r="L98" s="1"/>
    </row>
    <row r="99" spans="12:12" x14ac:dyDescent="0.2">
      <c r="L99" s="1"/>
    </row>
    <row r="100" spans="12:12" x14ac:dyDescent="0.2">
      <c r="L100" s="1"/>
    </row>
    <row r="101" spans="12:12" x14ac:dyDescent="0.2">
      <c r="L101" s="1"/>
    </row>
    <row r="102" spans="12:12" x14ac:dyDescent="0.2">
      <c r="L102" s="1"/>
    </row>
    <row r="103" spans="12:12" x14ac:dyDescent="0.2">
      <c r="L103" s="1"/>
    </row>
    <row r="104" spans="12:12" x14ac:dyDescent="0.2">
      <c r="L104" s="1"/>
    </row>
    <row r="105" spans="12:12" x14ac:dyDescent="0.2">
      <c r="L105" s="1"/>
    </row>
    <row r="106" spans="12:12" x14ac:dyDescent="0.2">
      <c r="L106" s="1"/>
    </row>
    <row r="107" spans="12:12" x14ac:dyDescent="0.2">
      <c r="L107" s="1"/>
    </row>
    <row r="108" spans="12:12" x14ac:dyDescent="0.2">
      <c r="L108" s="1"/>
    </row>
    <row r="109" spans="12:12" x14ac:dyDescent="0.2">
      <c r="L109" s="1"/>
    </row>
    <row r="110" spans="12:12" x14ac:dyDescent="0.2">
      <c r="L110" s="1"/>
    </row>
    <row r="111" spans="12:12" x14ac:dyDescent="0.2">
      <c r="L111" s="1"/>
    </row>
    <row r="112" spans="12:12" x14ac:dyDescent="0.2">
      <c r="L112" s="1"/>
    </row>
    <row r="113" spans="12:12" x14ac:dyDescent="0.2">
      <c r="L113" s="1"/>
    </row>
    <row r="114" spans="12:12" x14ac:dyDescent="0.2">
      <c r="L114" s="1"/>
    </row>
    <row r="115" spans="12:12" x14ac:dyDescent="0.2">
      <c r="L115" s="1"/>
    </row>
    <row r="116" spans="12:12" x14ac:dyDescent="0.2">
      <c r="L116" s="1"/>
    </row>
    <row r="117" spans="12:12" x14ac:dyDescent="0.2">
      <c r="L117" s="1"/>
    </row>
    <row r="118" spans="12:12" x14ac:dyDescent="0.2">
      <c r="L118" s="1"/>
    </row>
    <row r="119" spans="12:12" x14ac:dyDescent="0.2">
      <c r="L119" s="1"/>
    </row>
    <row r="120" spans="12:12" x14ac:dyDescent="0.2">
      <c r="L120" s="1"/>
    </row>
    <row r="121" spans="12:12" x14ac:dyDescent="0.2">
      <c r="L121" s="1"/>
    </row>
    <row r="122" spans="12:12" x14ac:dyDescent="0.2">
      <c r="L122" s="1"/>
    </row>
    <row r="123" spans="12:12" x14ac:dyDescent="0.2">
      <c r="L123" s="1"/>
    </row>
    <row r="124" spans="12:12" x14ac:dyDescent="0.2">
      <c r="L124" s="1"/>
    </row>
    <row r="125" spans="12:12" x14ac:dyDescent="0.2">
      <c r="L125" s="1"/>
    </row>
    <row r="126" spans="12:12" x14ac:dyDescent="0.2">
      <c r="L126" s="1"/>
    </row>
    <row r="127" spans="12:12" x14ac:dyDescent="0.2">
      <c r="L127" s="1"/>
    </row>
    <row r="128" spans="12:12" x14ac:dyDescent="0.2">
      <c r="L128" s="1"/>
    </row>
    <row r="129" spans="12:12" x14ac:dyDescent="0.2">
      <c r="L129" s="1"/>
    </row>
    <row r="130" spans="12:12" x14ac:dyDescent="0.2">
      <c r="L130" s="1"/>
    </row>
    <row r="131" spans="12:12" x14ac:dyDescent="0.2">
      <c r="L131" s="1"/>
    </row>
    <row r="132" spans="12:12" x14ac:dyDescent="0.2">
      <c r="L132" s="1"/>
    </row>
    <row r="133" spans="12:12" x14ac:dyDescent="0.2">
      <c r="L133" s="1"/>
    </row>
    <row r="134" spans="12:12" x14ac:dyDescent="0.2">
      <c r="L134" s="1"/>
    </row>
    <row r="135" spans="12:12" x14ac:dyDescent="0.2">
      <c r="L135" s="1"/>
    </row>
    <row r="136" spans="12:12" x14ac:dyDescent="0.2">
      <c r="L136" s="1"/>
    </row>
    <row r="137" spans="12:12" x14ac:dyDescent="0.2">
      <c r="L137" s="1"/>
    </row>
    <row r="138" spans="12:12" x14ac:dyDescent="0.2">
      <c r="L138" s="1"/>
    </row>
    <row r="139" spans="12:12" x14ac:dyDescent="0.2">
      <c r="L139" s="1"/>
    </row>
    <row r="140" spans="12:12" x14ac:dyDescent="0.2">
      <c r="L140" s="1"/>
    </row>
    <row r="141" spans="12:12" x14ac:dyDescent="0.2">
      <c r="L141" s="1"/>
    </row>
    <row r="142" spans="12:12" x14ac:dyDescent="0.2">
      <c r="L142" s="1"/>
    </row>
    <row r="143" spans="12:12" x14ac:dyDescent="0.2">
      <c r="L143" s="1"/>
    </row>
    <row r="144" spans="12:12" x14ac:dyDescent="0.2">
      <c r="L144" s="1"/>
    </row>
    <row r="145" spans="12:12" x14ac:dyDescent="0.2">
      <c r="L145" s="1"/>
    </row>
    <row r="146" spans="12:12" x14ac:dyDescent="0.2">
      <c r="L146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3"/>
  <sheetViews>
    <sheetView workbookViewId="0">
      <pane ySplit="1" topLeftCell="A2" activePane="bottomLeft" state="frozen"/>
      <selection activeCell="R1" sqref="R1"/>
      <selection pane="bottomLeft" sqref="A1:XFD2"/>
    </sheetView>
  </sheetViews>
  <sheetFormatPr baseColWidth="10" defaultRowHeight="16" x14ac:dyDescent="0.2"/>
  <cols>
    <col min="3" max="3" width="19.83203125" bestFit="1" customWidth="1"/>
    <col min="5" max="5" width="12" bestFit="1" customWidth="1"/>
    <col min="6" max="6" width="19.83203125" bestFit="1" customWidth="1"/>
    <col min="12" max="12" width="19.83203125" bestFit="1" customWidth="1"/>
    <col min="20" max="20" width="12" bestFit="1" customWidth="1"/>
    <col min="22" max="22" width="12" bestFit="1" customWidth="1"/>
    <col min="37" max="37" width="12" bestFit="1" customWidth="1"/>
    <col min="41" max="41" width="12" bestFit="1" customWidth="1"/>
  </cols>
  <sheetData>
    <row r="1" spans="1:47" x14ac:dyDescent="0.2">
      <c r="A1" t="s">
        <v>0</v>
      </c>
      <c r="B1" t="s">
        <v>1</v>
      </c>
      <c r="C1" t="s">
        <v>6</v>
      </c>
      <c r="D1" t="s">
        <v>0</v>
      </c>
      <c r="E1" t="s">
        <v>1</v>
      </c>
      <c r="F1" t="s">
        <v>6</v>
      </c>
      <c r="G1" t="s">
        <v>0</v>
      </c>
      <c r="H1" t="s">
        <v>1</v>
      </c>
      <c r="I1" t="s">
        <v>6</v>
      </c>
      <c r="J1" t="s">
        <v>7</v>
      </c>
      <c r="K1" t="s">
        <v>1</v>
      </c>
      <c r="L1" t="s">
        <v>6</v>
      </c>
      <c r="M1" t="s">
        <v>0</v>
      </c>
      <c r="N1" t="s">
        <v>1</v>
      </c>
      <c r="O1" t="s">
        <v>6</v>
      </c>
      <c r="P1" t="s">
        <v>0</v>
      </c>
      <c r="Q1" t="s">
        <v>1</v>
      </c>
      <c r="R1" t="s">
        <v>6</v>
      </c>
      <c r="S1" t="s">
        <v>0</v>
      </c>
      <c r="T1" t="s">
        <v>1</v>
      </c>
      <c r="U1" t="s">
        <v>6</v>
      </c>
      <c r="V1" t="s">
        <v>0</v>
      </c>
      <c r="W1" t="s">
        <v>1</v>
      </c>
      <c r="X1" t="s">
        <v>6</v>
      </c>
      <c r="Y1" t="s">
        <v>0</v>
      </c>
      <c r="Z1" t="s">
        <v>1</v>
      </c>
      <c r="AA1" t="s">
        <v>6</v>
      </c>
      <c r="AB1" t="s">
        <v>0</v>
      </c>
      <c r="AC1" t="s">
        <v>1</v>
      </c>
      <c r="AD1" t="s">
        <v>2</v>
      </c>
      <c r="AE1" t="s">
        <v>6</v>
      </c>
      <c r="AF1" t="s">
        <v>0</v>
      </c>
      <c r="AG1" t="s">
        <v>1</v>
      </c>
      <c r="AH1" t="s">
        <v>2</v>
      </c>
      <c r="AI1" t="s">
        <v>6</v>
      </c>
      <c r="AJ1" t="s">
        <v>0</v>
      </c>
      <c r="AK1" t="s">
        <v>1</v>
      </c>
      <c r="AL1" t="s">
        <v>2</v>
      </c>
      <c r="AM1" t="s">
        <v>6</v>
      </c>
      <c r="AN1" t="s">
        <v>0</v>
      </c>
      <c r="AO1" t="s">
        <v>1</v>
      </c>
      <c r="AP1" t="s">
        <v>2</v>
      </c>
      <c r="AQ1" t="s">
        <v>6</v>
      </c>
      <c r="AR1" t="s">
        <v>0</v>
      </c>
      <c r="AS1" t="s">
        <v>1</v>
      </c>
      <c r="AT1" t="s">
        <v>2</v>
      </c>
      <c r="AU1" t="s">
        <v>6</v>
      </c>
    </row>
    <row r="2" spans="1:47" x14ac:dyDescent="0.2">
      <c r="A2">
        <v>989.3</v>
      </c>
      <c r="B2" s="1">
        <v>12.912933000000001</v>
      </c>
      <c r="C2">
        <f>169061000*(1/48000000)</f>
        <v>3.5221041666666668</v>
      </c>
      <c r="D2">
        <v>1193</v>
      </c>
      <c r="E2" s="1"/>
      <c r="F2">
        <f>199414000*(1/48000000)</f>
        <v>4.1544583333333334</v>
      </c>
      <c r="G2">
        <v>1481</v>
      </c>
      <c r="H2" s="1">
        <v>11.995304000000001</v>
      </c>
      <c r="J2">
        <v>1964.5</v>
      </c>
      <c r="K2" s="1" t="s">
        <v>9</v>
      </c>
      <c r="L2">
        <f>319229000*(1/48000000)</f>
        <v>6.6506041666666667</v>
      </c>
      <c r="M2" s="1">
        <v>2933</v>
      </c>
      <c r="N2" s="1">
        <v>6.1496120000000003</v>
      </c>
      <c r="O2">
        <f>464271000*(1/48000000)</f>
        <v>9.6723125000000003</v>
      </c>
      <c r="P2" s="1">
        <v>5059</v>
      </c>
      <c r="Q2" s="1">
        <v>2.5375589999999999</v>
      </c>
      <c r="R2">
        <f>780245000*(1/48000000)</f>
        <v>16.255104166666669</v>
      </c>
      <c r="S2" s="1">
        <v>6202</v>
      </c>
      <c r="T2" s="1">
        <v>2.4335360000000001</v>
      </c>
      <c r="V2" s="1">
        <v>8081</v>
      </c>
      <c r="W2" s="1">
        <v>1.446275</v>
      </c>
      <c r="X2">
        <f>1244657000*(1/48000000)</f>
        <v>25.930354166666667</v>
      </c>
      <c r="Y2" s="1">
        <v>9878</v>
      </c>
      <c r="Z2" s="1">
        <v>0.70822499999999999</v>
      </c>
      <c r="AA2">
        <f>1548994000*(1/48000000)</f>
        <v>32.270708333333339</v>
      </c>
      <c r="AB2" s="1">
        <v>19786</v>
      </c>
      <c r="AC2" s="1">
        <v>0.25645899999999999</v>
      </c>
      <c r="AD2" s="1">
        <f>ABS(AC2)</f>
        <v>0.25645899999999999</v>
      </c>
      <c r="AF2">
        <v>29717</v>
      </c>
      <c r="AG2" s="1">
        <v>-0.32508399999999998</v>
      </c>
      <c r="AH2" s="1">
        <f>ABS(AG2)</f>
        <v>0.32508399999999998</v>
      </c>
      <c r="AI2">
        <f>4543837000*(1/48000000)</f>
        <v>94.663270833333343</v>
      </c>
      <c r="AJ2">
        <v>50382</v>
      </c>
      <c r="AK2" s="1">
        <v>0.46413199999999999</v>
      </c>
      <c r="AL2">
        <f>ABS(AK2)</f>
        <v>0.46413199999999999</v>
      </c>
      <c r="AN2" s="1">
        <v>80445</v>
      </c>
      <c r="AO2" s="1">
        <v>-0.18124399999999999</v>
      </c>
      <c r="AP2" s="1">
        <f>ABS(AO2)</f>
        <v>0.18124399999999999</v>
      </c>
      <c r="AQ2">
        <f>12277472000*(1/48000000)</f>
        <v>255.78066666666669</v>
      </c>
      <c r="AR2" s="1">
        <v>99668</v>
      </c>
      <c r="AS2" s="1">
        <v>-0.116497</v>
      </c>
      <c r="AT2" s="1">
        <f>ABS(AS2)</f>
        <v>0.116497</v>
      </c>
      <c r="AU2">
        <f>15183720000*(1/48000000)</f>
        <v>316.32750000000004</v>
      </c>
    </row>
    <row r="3" spans="1:47" x14ac:dyDescent="0.2">
      <c r="B3" s="1">
        <v>13.290155</v>
      </c>
      <c r="C3">
        <f>168781000*(1/48000000)</f>
        <v>3.5162708333333335</v>
      </c>
      <c r="F3">
        <f>199963000*(1/48000000)</f>
        <v>4.1658958333333338</v>
      </c>
      <c r="H3" s="1">
        <v>12.070519000000001</v>
      </c>
      <c r="K3" s="1">
        <v>7.5041370000000001</v>
      </c>
      <c r="L3">
        <f>320846000*(1/48000000)</f>
        <v>6.6842916666666667</v>
      </c>
      <c r="N3" s="1">
        <v>5.927308</v>
      </c>
      <c r="O3">
        <f>462139000*(1/48000000)</f>
        <v>9.6278958333333335</v>
      </c>
      <c r="Q3" s="1">
        <v>2.1694079999999998</v>
      </c>
      <c r="R3">
        <f>782846000*(1/48000000)</f>
        <v>16.309291666666667</v>
      </c>
      <c r="T3" s="1">
        <v>1.815199</v>
      </c>
      <c r="W3" s="1">
        <v>1.391629</v>
      </c>
      <c r="X3">
        <f>1241290000*(1/48000000)</f>
        <v>25.860208333333336</v>
      </c>
      <c r="Z3" s="1">
        <v>0.67313299999999998</v>
      </c>
      <c r="AA3">
        <f>1536288000*(1/48000000)</f>
        <v>32.006</v>
      </c>
      <c r="AC3" s="1">
        <v>0.45306600000000002</v>
      </c>
      <c r="AD3" s="1">
        <f t="shared" ref="AD3:AD54" si="0">ABS(AC3)</f>
        <v>0.45306600000000002</v>
      </c>
      <c r="AG3" s="1">
        <v>0.130303</v>
      </c>
      <c r="AH3" s="1">
        <f t="shared" ref="AH3:AH54" si="1">ABS(AG3)</f>
        <v>0.130303</v>
      </c>
      <c r="AI3">
        <f>4535647000*(1/48000000)</f>
        <v>94.492645833333341</v>
      </c>
      <c r="AK3" s="1">
        <v>0.345468</v>
      </c>
      <c r="AL3">
        <f t="shared" ref="AL3:AL51" si="2">ABS(AK3)</f>
        <v>0.345468</v>
      </c>
      <c r="AO3" s="1">
        <v>-0.29220499999999999</v>
      </c>
      <c r="AP3" s="1">
        <f t="shared" ref="AP3:AP52" si="3">ABS(AO3)</f>
        <v>0.29220499999999999</v>
      </c>
      <c r="AQ3">
        <f>12275704000*(1/48000000)</f>
        <v>255.74383333333336</v>
      </c>
      <c r="AS3" s="1">
        <v>-7.3669999999999999E-2</v>
      </c>
      <c r="AT3" s="1">
        <f t="shared" ref="AT3:AT53" si="4">ABS(AS3)</f>
        <v>7.3669999999999999E-2</v>
      </c>
      <c r="AU3">
        <f>15156041000*(1/48000000)</f>
        <v>315.75085416666667</v>
      </c>
    </row>
    <row r="4" spans="1:47" x14ac:dyDescent="0.2">
      <c r="B4" s="1">
        <v>12.844507</v>
      </c>
      <c r="C4">
        <f>169543000*(1/48000000)</f>
        <v>3.5321458333333338</v>
      </c>
      <c r="F4">
        <f>199040000*(1/48000000)</f>
        <v>4.1466666666666665</v>
      </c>
      <c r="H4" s="1">
        <v>11.317151000000001</v>
      </c>
      <c r="K4" s="1">
        <v>7.0557020000000001</v>
      </c>
      <c r="L4">
        <f>321872000*(1/48000000)</f>
        <v>6.7056666666666667</v>
      </c>
      <c r="N4" s="1">
        <v>5.8451959999999996</v>
      </c>
      <c r="O4">
        <f>461761000*(1/48000000)</f>
        <v>9.6200208333333332</v>
      </c>
      <c r="Q4" s="1">
        <v>2.4466290000000002</v>
      </c>
      <c r="R4">
        <f>783026000*(1/48000000)</f>
        <v>16.313041666666667</v>
      </c>
      <c r="T4" s="1">
        <v>2.0798489999999998</v>
      </c>
      <c r="W4" s="1">
        <v>1.1577569999999999</v>
      </c>
      <c r="X4">
        <f>1237974000*(1/48000000)</f>
        <v>25.791125000000001</v>
      </c>
      <c r="Z4" s="1">
        <v>0.52499099999999999</v>
      </c>
      <c r="AA4">
        <f>1532061000*(1/48000000)</f>
        <v>31.917937500000001</v>
      </c>
      <c r="AC4" s="1">
        <v>0.66623399999999999</v>
      </c>
      <c r="AD4" s="1">
        <f t="shared" si="0"/>
        <v>0.66623399999999999</v>
      </c>
      <c r="AG4" s="1">
        <v>8.6055000000000006E-2</v>
      </c>
      <c r="AH4" s="1">
        <f t="shared" si="1"/>
        <v>8.6055000000000006E-2</v>
      </c>
      <c r="AI4">
        <f>4543281000*(1/48000000)</f>
        <v>94.651687500000008</v>
      </c>
      <c r="AK4" s="1">
        <v>-0.30335600000000001</v>
      </c>
      <c r="AL4">
        <f t="shared" si="2"/>
        <v>0.30335600000000001</v>
      </c>
      <c r="AO4" s="1">
        <v>-0.106129</v>
      </c>
      <c r="AP4" s="1">
        <f t="shared" si="3"/>
        <v>0.106129</v>
      </c>
      <c r="AQ4">
        <f>12288370000*(1/48000000)</f>
        <v>256.00770833333337</v>
      </c>
      <c r="AS4" s="1">
        <v>-0.15937899999999999</v>
      </c>
      <c r="AT4" s="1">
        <f t="shared" si="4"/>
        <v>0.15937899999999999</v>
      </c>
      <c r="AU4">
        <f>15163346000*(1/48000000)</f>
        <v>315.9030416666667</v>
      </c>
    </row>
    <row r="5" spans="1:47" x14ac:dyDescent="0.2">
      <c r="B5" s="1">
        <v>13.713773</v>
      </c>
      <c r="C5">
        <f>168616000*(1/48000000)</f>
        <v>3.5128333333333335</v>
      </c>
      <c r="F5">
        <f>198122000*(1/48000000)</f>
        <v>4.1275416666666667</v>
      </c>
      <c r="H5" s="1">
        <v>11.273701000000001</v>
      </c>
      <c r="K5" s="1">
        <v>7.6351680000000002</v>
      </c>
      <c r="L5">
        <f>319906000*(1/48000000)</f>
        <v>6.6647083333333335</v>
      </c>
      <c r="N5" s="1">
        <v>5.6941499999999996</v>
      </c>
      <c r="O5">
        <f>464916000*(1/48000000)</f>
        <v>9.6857500000000005</v>
      </c>
      <c r="Q5" s="1">
        <v>2.3549570000000002</v>
      </c>
      <c r="R5">
        <f>779414000*(1/48000000)</f>
        <v>16.237791666666666</v>
      </c>
      <c r="T5" s="1">
        <v>1.95688</v>
      </c>
      <c r="W5" s="1">
        <v>1.008453</v>
      </c>
      <c r="X5">
        <f>1245083000*(1/48000000)</f>
        <v>25.939229166666667</v>
      </c>
      <c r="Z5" s="1">
        <v>0.72367899999999996</v>
      </c>
      <c r="AA5">
        <f>1529070000*(1/48000000)</f>
        <v>31.855625000000003</v>
      </c>
      <c r="AC5" s="1">
        <v>-0.19067100000000001</v>
      </c>
      <c r="AD5" s="1">
        <f t="shared" si="0"/>
        <v>0.19067100000000001</v>
      </c>
      <c r="AG5" s="1">
        <v>3.4895000000000002E-2</v>
      </c>
      <c r="AH5" s="1">
        <f t="shared" si="1"/>
        <v>3.4895000000000002E-2</v>
      </c>
      <c r="AI5">
        <f>4541695000*(1/48000000)</f>
        <v>94.618645833333332</v>
      </c>
      <c r="AK5" s="1">
        <v>-0.25307800000000003</v>
      </c>
      <c r="AL5">
        <f t="shared" si="2"/>
        <v>0.25307800000000003</v>
      </c>
      <c r="AO5" s="1">
        <v>-0.60384800000000005</v>
      </c>
      <c r="AP5" s="1">
        <f t="shared" si="3"/>
        <v>0.60384800000000005</v>
      </c>
      <c r="AQ5">
        <f>12274785000*(1/48000000)</f>
        <v>255.72468750000002</v>
      </c>
      <c r="AS5" s="1">
        <v>-0.15869</v>
      </c>
      <c r="AT5" s="1">
        <f t="shared" si="4"/>
        <v>0.15869</v>
      </c>
      <c r="AU5">
        <f>15163005000*(1/48000000)</f>
        <v>315.8959375</v>
      </c>
    </row>
    <row r="6" spans="1:47" x14ac:dyDescent="0.2">
      <c r="B6" s="1">
        <v>13.212655</v>
      </c>
      <c r="C6">
        <f>168841000*(1/48000000)</f>
        <v>3.5175208333333337</v>
      </c>
      <c r="F6">
        <f>198434000*(1/48000000)</f>
        <v>4.1340416666666666</v>
      </c>
      <c r="H6" s="1">
        <v>10.609503999999999</v>
      </c>
      <c r="K6" s="1">
        <v>7.3917380000000001</v>
      </c>
      <c r="L6">
        <f>320144000*(1/48000000)</f>
        <v>6.6696666666666671</v>
      </c>
      <c r="N6" s="1">
        <v>5.3249120000000003</v>
      </c>
      <c r="O6">
        <f>463715000*(1/48000000)</f>
        <v>9.6607291666666679</v>
      </c>
      <c r="Q6" s="1">
        <v>1.989368</v>
      </c>
      <c r="R6">
        <f>784548000*(1/48000000)</f>
        <v>16.344750000000001</v>
      </c>
      <c r="T6" s="1">
        <v>2.000416</v>
      </c>
      <c r="W6" s="1">
        <v>0.31263400000000002</v>
      </c>
      <c r="X6">
        <f>1243498000*(1/48000000)</f>
        <v>25.906208333333336</v>
      </c>
      <c r="Z6" s="1">
        <v>1.366724</v>
      </c>
      <c r="AA6">
        <f>1532686000*(1/48000000)</f>
        <v>31.930958333333336</v>
      </c>
      <c r="AC6" s="1">
        <v>-0.10022499999999999</v>
      </c>
      <c r="AD6" s="1">
        <f t="shared" si="0"/>
        <v>0.10022499999999999</v>
      </c>
      <c r="AG6" s="1">
        <v>0.192549</v>
      </c>
      <c r="AH6" s="1">
        <f t="shared" si="1"/>
        <v>0.192549</v>
      </c>
      <c r="AI6">
        <f>4525969000*(1/48000000)</f>
        <v>94.291020833333334</v>
      </c>
      <c r="AK6" s="1">
        <v>0.23672699999999999</v>
      </c>
      <c r="AL6">
        <f t="shared" si="2"/>
        <v>0.23672699999999999</v>
      </c>
      <c r="AO6" s="1">
        <v>-0.26719999999999999</v>
      </c>
      <c r="AP6" s="1">
        <f t="shared" si="3"/>
        <v>0.26719999999999999</v>
      </c>
      <c r="AQ6">
        <f>12282361000*(1/48000000)</f>
        <v>255.88252083333336</v>
      </c>
      <c r="AS6" s="1">
        <v>-0.73079899999999998</v>
      </c>
      <c r="AT6" s="1">
        <f t="shared" si="4"/>
        <v>0.73079899999999998</v>
      </c>
      <c r="AU6">
        <f>15192946000*(1/48000000)</f>
        <v>316.51970833333337</v>
      </c>
    </row>
    <row r="7" spans="1:47" x14ac:dyDescent="0.2">
      <c r="B7" s="1">
        <v>12.971621000000001</v>
      </c>
      <c r="C7">
        <f>168266000*(1/48000000)</f>
        <v>3.5055416666666668</v>
      </c>
      <c r="F7">
        <f>198144000*(1/48000000)</f>
        <v>4.1280000000000001</v>
      </c>
      <c r="H7" s="1">
        <v>10.823157999999999</v>
      </c>
      <c r="K7" s="1">
        <v>7.5185420000000001</v>
      </c>
      <c r="L7">
        <f>321383000*(1/48000000)</f>
        <v>6.6954791666666669</v>
      </c>
      <c r="N7" s="1">
        <v>6.1606909999999999</v>
      </c>
      <c r="O7">
        <f>465763000*(1/48000000)</f>
        <v>9.7033958333333334</v>
      </c>
      <c r="Q7" s="1">
        <v>2.097016</v>
      </c>
      <c r="R7">
        <f>779894000*(1/48000000)</f>
        <v>16.247791666666668</v>
      </c>
      <c r="T7" s="1">
        <v>1.9392149999999999</v>
      </c>
      <c r="W7" s="1">
        <v>0.78264400000000001</v>
      </c>
      <c r="X7">
        <f>1246037000*(1/48000000)</f>
        <v>25.95910416666667</v>
      </c>
      <c r="Z7" s="1">
        <v>0.87255700000000003</v>
      </c>
      <c r="AA7">
        <f>1530621000*(1/48000000)</f>
        <v>31.887937500000003</v>
      </c>
      <c r="AC7" s="1">
        <v>0.60169700000000004</v>
      </c>
      <c r="AD7" s="1">
        <f t="shared" si="0"/>
        <v>0.60169700000000004</v>
      </c>
      <c r="AG7" s="1">
        <v>0.16964599999999999</v>
      </c>
      <c r="AH7" s="1">
        <f t="shared" si="1"/>
        <v>0.16964599999999999</v>
      </c>
      <c r="AI7">
        <f>4531287000*(1/48000000)</f>
        <v>94.401812500000005</v>
      </c>
      <c r="AK7" s="1">
        <v>0.475497</v>
      </c>
      <c r="AL7">
        <f t="shared" si="2"/>
        <v>0.475497</v>
      </c>
      <c r="AO7" s="1">
        <v>0.12515599999999999</v>
      </c>
      <c r="AP7" s="1">
        <f t="shared" si="3"/>
        <v>0.12515599999999999</v>
      </c>
      <c r="AQ7">
        <f>12274111000*(1/48000000)</f>
        <v>255.71064583333336</v>
      </c>
      <c r="AS7" s="1">
        <v>-0.40312599999999998</v>
      </c>
      <c r="AT7" s="1">
        <f t="shared" si="4"/>
        <v>0.40312599999999998</v>
      </c>
      <c r="AU7">
        <f>15120662000*(1/48000000)</f>
        <v>315.01379166666669</v>
      </c>
    </row>
    <row r="8" spans="1:47" x14ac:dyDescent="0.2">
      <c r="B8" s="1">
        <v>12.675379</v>
      </c>
      <c r="C8">
        <f>168720000*(1/48000000)</f>
        <v>3.5150000000000001</v>
      </c>
      <c r="F8">
        <f>197794000*(1/48000000)</f>
        <v>4.1207083333333339</v>
      </c>
      <c r="H8" s="1">
        <v>10.787758</v>
      </c>
      <c r="K8" s="1">
        <v>7.4933569999999996</v>
      </c>
      <c r="L8">
        <f>319661000*(1/48000000)</f>
        <v>6.659604166666667</v>
      </c>
      <c r="N8" s="1">
        <v>5.9624550000000003</v>
      </c>
      <c r="O8">
        <f>463612000*(1/48000000)</f>
        <v>9.6585833333333344</v>
      </c>
      <c r="Q8" s="1">
        <v>2.193514</v>
      </c>
      <c r="R8">
        <f>781286000*(1/48000000)</f>
        <v>16.276791666666668</v>
      </c>
      <c r="T8" s="1">
        <v>2.2482389999999999</v>
      </c>
      <c r="W8" s="1">
        <v>0.71153599999999995</v>
      </c>
      <c r="X8">
        <f>1246476000*(1/48000000)</f>
        <v>25.968250000000001</v>
      </c>
      <c r="Z8" s="1">
        <v>1.10148</v>
      </c>
      <c r="AA8">
        <f>1525939000*(1/48000000)</f>
        <v>31.790395833333335</v>
      </c>
      <c r="AC8" s="1">
        <v>0.36698999999999998</v>
      </c>
      <c r="AD8" s="1">
        <f t="shared" si="0"/>
        <v>0.36698999999999998</v>
      </c>
      <c r="AG8" s="1">
        <v>0.137798</v>
      </c>
      <c r="AH8" s="1">
        <f t="shared" si="1"/>
        <v>0.137798</v>
      </c>
      <c r="AI8">
        <f>4545740000*(1/48000000)</f>
        <v>94.702916666666667</v>
      </c>
      <c r="AK8" s="1">
        <v>-2.9562999999999999E-2</v>
      </c>
      <c r="AL8">
        <f t="shared" si="2"/>
        <v>2.9562999999999999E-2</v>
      </c>
      <c r="AO8" s="1">
        <v>-0.45710699999999999</v>
      </c>
      <c r="AP8" s="1">
        <f t="shared" si="3"/>
        <v>0.45710699999999999</v>
      </c>
      <c r="AQ8">
        <f>12279491000*(1/48000000)</f>
        <v>255.82272916666668</v>
      </c>
      <c r="AS8" s="1">
        <v>0.52826499999999998</v>
      </c>
      <c r="AT8" s="1">
        <f t="shared" si="4"/>
        <v>0.52826499999999998</v>
      </c>
      <c r="AU8">
        <f>15183836000*(1/48000000)</f>
        <v>316.32991666666669</v>
      </c>
    </row>
    <row r="9" spans="1:47" x14ac:dyDescent="0.2">
      <c r="B9" s="1">
        <v>13.296996999999999</v>
      </c>
      <c r="C9">
        <f>167624000*(1/48000000)</f>
        <v>3.4921666666666669</v>
      </c>
      <c r="F9">
        <f>197900000*(1/48000000)</f>
        <v>4.1229166666666668</v>
      </c>
      <c r="H9" s="1">
        <v>10.911270999999999</v>
      </c>
      <c r="K9" s="1">
        <v>7.1442880000000004</v>
      </c>
      <c r="L9">
        <f>320179000*(1/48000000)</f>
        <v>6.670395833333334</v>
      </c>
      <c r="N9" s="1">
        <v>5.5656699999999999</v>
      </c>
      <c r="O9">
        <f>465022000*(1/48000000)</f>
        <v>9.6879583333333343</v>
      </c>
      <c r="Q9" s="1">
        <v>3.0328240000000002</v>
      </c>
      <c r="R9">
        <f>780110000*(1/48000000)</f>
        <v>16.252291666666668</v>
      </c>
      <c r="T9" s="1">
        <v>2.184634</v>
      </c>
      <c r="W9" s="1">
        <v>0.93647199999999997</v>
      </c>
      <c r="X9">
        <f>1238124000*(1/48000000)</f>
        <v>25.794250000000002</v>
      </c>
      <c r="Z9" s="1">
        <v>0.92744599999999999</v>
      </c>
      <c r="AA9">
        <f>1521444000*(1/48000000)</f>
        <v>31.696750000000002</v>
      </c>
      <c r="AC9" s="1">
        <v>0.265065</v>
      </c>
      <c r="AD9" s="1">
        <f t="shared" si="0"/>
        <v>0.265065</v>
      </c>
      <c r="AG9" s="1">
        <v>0.23676700000000001</v>
      </c>
      <c r="AH9" s="1">
        <f t="shared" si="1"/>
        <v>0.23676700000000001</v>
      </c>
      <c r="AI9">
        <f>4542031000*(1/48000000)</f>
        <v>94.625645833333337</v>
      </c>
      <c r="AK9" s="1">
        <v>9.7989000000000007E-2</v>
      </c>
      <c r="AL9">
        <f t="shared" si="2"/>
        <v>9.7989000000000007E-2</v>
      </c>
      <c r="AO9" s="1">
        <v>-0.27027000000000001</v>
      </c>
      <c r="AP9" s="1">
        <f t="shared" si="3"/>
        <v>0.27027000000000001</v>
      </c>
      <c r="AQ9">
        <f>12270674000*(1/48000000)</f>
        <v>255.63904166666669</v>
      </c>
      <c r="AS9" s="1">
        <v>2.8778999999999999E-2</v>
      </c>
      <c r="AT9" s="1">
        <f t="shared" si="4"/>
        <v>2.8778999999999999E-2</v>
      </c>
      <c r="AU9">
        <f>15122799000*(1/48000000)</f>
        <v>315.0583125</v>
      </c>
    </row>
    <row r="10" spans="1:47" x14ac:dyDescent="0.2">
      <c r="B10" s="1">
        <v>12.466511000000001</v>
      </c>
      <c r="C10">
        <f>168047000*(1/48000000)</f>
        <v>3.5009791666666668</v>
      </c>
      <c r="F10">
        <f>197770000*(1/48000000)</f>
        <v>4.1202083333333333</v>
      </c>
      <c r="H10" s="1">
        <v>11.260092</v>
      </c>
      <c r="K10" s="1">
        <v>6.9255440000000004</v>
      </c>
      <c r="L10">
        <f>320267000*(1/48000000)</f>
        <v>6.6722291666666669</v>
      </c>
      <c r="N10" s="1">
        <v>5.377497</v>
      </c>
      <c r="O10">
        <f>460660000*(1/48000000)</f>
        <v>9.5970833333333339</v>
      </c>
      <c r="Q10" s="1">
        <v>1.816011</v>
      </c>
      <c r="R10">
        <f>783529000*(1/48000000)</f>
        <v>16.323520833333333</v>
      </c>
      <c r="T10" s="1">
        <v>2.3686099999999999</v>
      </c>
      <c r="W10" s="1">
        <v>0.40299699999999999</v>
      </c>
      <c r="X10">
        <f>1242723000*(1/48000000)</f>
        <v>25.890062500000003</v>
      </c>
      <c r="Z10" s="1">
        <v>0.800867</v>
      </c>
      <c r="AA10">
        <f>1528199000*(1/48000000)</f>
        <v>31.837479166666668</v>
      </c>
      <c r="AC10" s="1">
        <v>0.24981100000000001</v>
      </c>
      <c r="AD10" s="1">
        <f t="shared" si="0"/>
        <v>0.24981100000000001</v>
      </c>
      <c r="AG10" s="1">
        <v>0.14496400000000001</v>
      </c>
      <c r="AH10" s="1">
        <f t="shared" si="1"/>
        <v>0.14496400000000001</v>
      </c>
      <c r="AI10">
        <f>4541094000*(1/48000000)</f>
        <v>94.606125000000006</v>
      </c>
      <c r="AK10" s="1">
        <v>0.29208499999999998</v>
      </c>
      <c r="AL10">
        <f t="shared" si="2"/>
        <v>0.29208499999999998</v>
      </c>
      <c r="AO10" s="1">
        <v>0.343752</v>
      </c>
      <c r="AP10" s="1">
        <f t="shared" si="3"/>
        <v>0.343752</v>
      </c>
      <c r="AQ10">
        <f>12213027000*(1/48000000)</f>
        <v>254.43806250000003</v>
      </c>
      <c r="AS10" s="1">
        <v>-0.17808099999999999</v>
      </c>
      <c r="AT10" s="1">
        <f t="shared" si="4"/>
        <v>0.17808099999999999</v>
      </c>
      <c r="AU10">
        <f>15197207000*(1/48000000)</f>
        <v>316.60847916666671</v>
      </c>
    </row>
    <row r="11" spans="1:47" x14ac:dyDescent="0.2">
      <c r="B11" s="1">
        <v>12.388267000000001</v>
      </c>
      <c r="C11">
        <f>169077000*(1/48000000)</f>
        <v>3.5224375000000001</v>
      </c>
      <c r="F11">
        <f>198395000*(1/48000000)</f>
        <v>4.1332291666666672</v>
      </c>
      <c r="H11" s="1">
        <v>10.980107</v>
      </c>
      <c r="K11" s="1">
        <v>7.9814689999999997</v>
      </c>
      <c r="L11">
        <f>320251000*(1/48000000)</f>
        <v>6.671895833333334</v>
      </c>
      <c r="N11" s="1">
        <v>5.4383229999999996</v>
      </c>
      <c r="O11">
        <f>462046000*(1/48000000)</f>
        <v>9.6259583333333332</v>
      </c>
      <c r="Q11" s="1">
        <v>2.0215510000000001</v>
      </c>
      <c r="R11">
        <f>780463000*(1/48000000)</f>
        <v>16.259645833333334</v>
      </c>
      <c r="T11" s="1">
        <v>1.9465870000000001</v>
      </c>
      <c r="W11" s="1">
        <v>0.889907</v>
      </c>
      <c r="X11">
        <f>1245577000*(1/48000000)</f>
        <v>25.949520833333334</v>
      </c>
      <c r="Z11" s="1">
        <v>1.102954</v>
      </c>
      <c r="AA11">
        <f>1521389000*(1/48000000)</f>
        <v>31.695604166666669</v>
      </c>
      <c r="AC11" s="1">
        <v>0.293518</v>
      </c>
      <c r="AD11" s="1">
        <f t="shared" si="0"/>
        <v>0.293518</v>
      </c>
      <c r="AG11" s="1">
        <v>0.28786600000000001</v>
      </c>
      <c r="AH11" s="1">
        <f t="shared" si="1"/>
        <v>0.28786600000000001</v>
      </c>
      <c r="AI11">
        <f>4540042000*(1/48000000)</f>
        <v>94.584208333333336</v>
      </c>
      <c r="AK11" s="1">
        <v>0.33921499999999999</v>
      </c>
      <c r="AL11">
        <f t="shared" si="2"/>
        <v>0.33921499999999999</v>
      </c>
      <c r="AO11" s="1">
        <v>4.3888999999999997E-2</v>
      </c>
      <c r="AP11" s="1">
        <f t="shared" si="3"/>
        <v>4.3888999999999997E-2</v>
      </c>
      <c r="AQ11">
        <f>12265911000*(1/48000000)</f>
        <v>255.53981250000001</v>
      </c>
      <c r="AS11" s="1">
        <v>0.439525</v>
      </c>
      <c r="AT11" s="1">
        <f t="shared" si="4"/>
        <v>0.439525</v>
      </c>
      <c r="AU11">
        <f>15197783000*(1/48000000)</f>
        <v>316.62047916666671</v>
      </c>
    </row>
    <row r="12" spans="1:47" x14ac:dyDescent="0.2">
      <c r="B12" s="1">
        <v>12.835626</v>
      </c>
      <c r="C12">
        <f>168254000*(1/48000000)</f>
        <v>3.5052916666666669</v>
      </c>
      <c r="F12">
        <f>198239000*(1/48000000)</f>
        <v>4.1299791666666668</v>
      </c>
      <c r="H12" s="1">
        <v>10.391334000000001</v>
      </c>
      <c r="K12" s="1">
        <v>7.1640259999999998</v>
      </c>
      <c r="L12">
        <f>318200000*(1/48000000)</f>
        <v>6.6291666666666673</v>
      </c>
      <c r="N12" s="1">
        <v>4.9633640000000003</v>
      </c>
      <c r="O12">
        <f>463822000*(1/48000000)</f>
        <v>9.662958333333334</v>
      </c>
      <c r="Q12" s="1">
        <v>1.864144</v>
      </c>
      <c r="R12">
        <f>780088000*(1/48000000)</f>
        <v>16.251833333333334</v>
      </c>
      <c r="T12" s="1">
        <v>2.7738299999999998</v>
      </c>
      <c r="W12" s="1">
        <v>0.51188299999999998</v>
      </c>
      <c r="X12">
        <f>1238671000*(1/48000000)</f>
        <v>25.805645833333333</v>
      </c>
      <c r="Z12" s="1">
        <v>0.75266299999999997</v>
      </c>
      <c r="AA12">
        <f>1526500000*(1/48000000)</f>
        <v>31.802083333333336</v>
      </c>
      <c r="AC12" s="1">
        <v>0.25621500000000003</v>
      </c>
      <c r="AD12" s="1">
        <f t="shared" si="0"/>
        <v>0.25621500000000003</v>
      </c>
      <c r="AG12" s="1">
        <v>0.13545599999999999</v>
      </c>
      <c r="AH12" s="1">
        <f t="shared" si="1"/>
        <v>0.13545599999999999</v>
      </c>
      <c r="AI12">
        <f>4533678000*(1/48000000)</f>
        <v>94.451625000000007</v>
      </c>
      <c r="AK12" s="1">
        <v>-5.9283000000000002E-2</v>
      </c>
      <c r="AL12">
        <f t="shared" si="2"/>
        <v>5.9283000000000002E-2</v>
      </c>
      <c r="AO12" s="1">
        <v>-0.22237599999999999</v>
      </c>
      <c r="AP12" s="1">
        <f t="shared" si="3"/>
        <v>0.22237599999999999</v>
      </c>
      <c r="AQ12">
        <f>12249898000*(1/48000000)</f>
        <v>255.20620833333334</v>
      </c>
      <c r="AS12" s="1">
        <v>0.11366800000000001</v>
      </c>
      <c r="AT12" s="1">
        <f t="shared" si="4"/>
        <v>0.11366800000000001</v>
      </c>
      <c r="AU12">
        <f>15174869000*(1/48000000)</f>
        <v>316.14310416666666</v>
      </c>
    </row>
    <row r="13" spans="1:47" x14ac:dyDescent="0.2">
      <c r="B13" s="1">
        <v>12.682555000000001</v>
      </c>
      <c r="C13">
        <f>168335000*(1/48000000)</f>
        <v>3.506979166666667</v>
      </c>
      <c r="F13">
        <f>197738000*(1/48000000)</f>
        <v>4.1195416666666667</v>
      </c>
      <c r="H13" s="1">
        <v>10.147653</v>
      </c>
      <c r="K13" s="1">
        <v>7.6106420000000004</v>
      </c>
      <c r="L13">
        <f>319724000*(1/48000000)</f>
        <v>6.660916666666667</v>
      </c>
      <c r="N13" s="1">
        <v>5.765676</v>
      </c>
      <c r="O13">
        <f>463636000*(1/48000000)</f>
        <v>9.6590833333333332</v>
      </c>
      <c r="Q13" s="1">
        <v>1.8372999999999999</v>
      </c>
      <c r="R13">
        <f>781191000*(1/48000000)</f>
        <v>16.274812499999999</v>
      </c>
      <c r="T13" s="1">
        <v>1.9208970000000001</v>
      </c>
      <c r="W13" s="1">
        <v>0.83715499999999998</v>
      </c>
      <c r="X13">
        <f>1246043000*(1/48000000)</f>
        <v>25.959229166666667</v>
      </c>
      <c r="Z13" s="1">
        <v>1.0376749999999999</v>
      </c>
      <c r="AA13">
        <f>1526467000*(1/48000000)</f>
        <v>31.801395833333334</v>
      </c>
      <c r="AC13" s="1">
        <v>-2.1506000000000001E-2</v>
      </c>
      <c r="AD13" s="1">
        <f t="shared" si="0"/>
        <v>2.1506000000000001E-2</v>
      </c>
      <c r="AG13" s="1">
        <v>0.184919</v>
      </c>
      <c r="AH13" s="1">
        <f t="shared" si="1"/>
        <v>0.184919</v>
      </c>
      <c r="AI13">
        <f>4544679000*(1/48000000)</f>
        <v>94.680812500000002</v>
      </c>
      <c r="AK13" s="1">
        <v>-0.178896</v>
      </c>
      <c r="AL13">
        <f t="shared" si="2"/>
        <v>0.178896</v>
      </c>
      <c r="AO13" s="1">
        <v>-0.66264900000000004</v>
      </c>
      <c r="AP13" s="1">
        <f t="shared" si="3"/>
        <v>0.66264900000000004</v>
      </c>
      <c r="AQ13">
        <f>12266272000*(1/48000000)</f>
        <v>255.54733333333334</v>
      </c>
      <c r="AS13" s="1">
        <v>7.0462999999999998E-2</v>
      </c>
      <c r="AT13" s="1">
        <f t="shared" si="4"/>
        <v>7.0462999999999998E-2</v>
      </c>
      <c r="AU13">
        <f>15192561000*(1/48000000)</f>
        <v>316.51168749999999</v>
      </c>
    </row>
    <row r="14" spans="1:47" x14ac:dyDescent="0.2">
      <c r="B14" s="1">
        <v>12.802028999999999</v>
      </c>
      <c r="C14">
        <f>168048000*(1/48000000)</f>
        <v>3.5010000000000003</v>
      </c>
      <c r="F14">
        <f>198008000*(1/48000000)</f>
        <v>4.1251666666666669</v>
      </c>
      <c r="H14" s="1">
        <v>10.693572</v>
      </c>
      <c r="K14" s="1">
        <v>6.5488900000000001</v>
      </c>
      <c r="L14">
        <f>321008000*(1/48000000)</f>
        <v>6.6876666666666669</v>
      </c>
      <c r="N14" s="1">
        <v>5.1337599999999997</v>
      </c>
      <c r="O14">
        <f>462362000*(1/48000000)</f>
        <v>9.6325416666666666</v>
      </c>
      <c r="Q14" s="1">
        <v>2.4982730000000002</v>
      </c>
      <c r="R14">
        <f>780610000*(1/48000000)</f>
        <v>16.262708333333336</v>
      </c>
      <c r="T14" s="1">
        <v>2.0809600000000001</v>
      </c>
      <c r="W14" s="1">
        <v>0.85520499999999999</v>
      </c>
      <c r="X14">
        <f>1243465000*(1/48000000)</f>
        <v>25.905520833333334</v>
      </c>
      <c r="Z14" s="1">
        <v>1.0821540000000001</v>
      </c>
      <c r="AA14">
        <f>1523422000*(1/48000000)</f>
        <v>31.737958333333335</v>
      </c>
      <c r="AC14" s="1">
        <v>0.39891700000000002</v>
      </c>
      <c r="AD14" s="1">
        <f t="shared" si="0"/>
        <v>0.39891700000000002</v>
      </c>
      <c r="AG14" s="1">
        <v>0.67750699999999997</v>
      </c>
      <c r="AH14" s="1">
        <f t="shared" si="1"/>
        <v>0.67750699999999997</v>
      </c>
      <c r="AI14">
        <f>4533497000*(1/48000000)</f>
        <v>94.447854166666673</v>
      </c>
      <c r="AK14" s="1">
        <v>-0.82221100000000003</v>
      </c>
      <c r="AL14">
        <f t="shared" si="2"/>
        <v>0.82221100000000003</v>
      </c>
      <c r="AO14" s="1">
        <v>-0.12783</v>
      </c>
      <c r="AP14" s="1">
        <f t="shared" si="3"/>
        <v>0.12783</v>
      </c>
      <c r="AQ14">
        <f>12280550000*(1/48000000)</f>
        <v>255.84479166666668</v>
      </c>
      <c r="AS14" s="1">
        <v>9.5929E-2</v>
      </c>
      <c r="AT14" s="1">
        <f t="shared" si="4"/>
        <v>9.5929E-2</v>
      </c>
      <c r="AU14">
        <f>15202557000*(1/48000000)</f>
        <v>316.71993750000001</v>
      </c>
    </row>
    <row r="15" spans="1:47" x14ac:dyDescent="0.2">
      <c r="B15" s="1">
        <v>13.016137000000001</v>
      </c>
      <c r="C15">
        <f>167657000*(1/48000000)</f>
        <v>3.492854166666667</v>
      </c>
      <c r="F15">
        <f>198509000*(1/48000000)</f>
        <v>4.135604166666667</v>
      </c>
      <c r="H15" s="1">
        <v>11.094713</v>
      </c>
      <c r="K15" s="1">
        <v>6.702191</v>
      </c>
      <c r="L15">
        <f>319282000*(1/48000000)</f>
        <v>6.6517083333333336</v>
      </c>
      <c r="N15" s="1">
        <v>6.2587010000000003</v>
      </c>
      <c r="O15">
        <f>461694000*(1/48000000)</f>
        <v>9.6186249999999998</v>
      </c>
      <c r="Q15" s="1">
        <v>1.2136990000000001</v>
      </c>
      <c r="R15">
        <f>782794000*(1/48000000)</f>
        <v>16.308208333333333</v>
      </c>
      <c r="T15" s="1">
        <v>2.2913679999999998</v>
      </c>
      <c r="W15" s="1">
        <v>0.83128199999999997</v>
      </c>
      <c r="X15">
        <f>1241285000*(1/48000000)</f>
        <v>25.86010416666667</v>
      </c>
      <c r="Z15" s="1">
        <v>0.96974499999999997</v>
      </c>
      <c r="AA15">
        <f>1524965000*(1/48000000)</f>
        <v>31.77010416666667</v>
      </c>
      <c r="AC15" s="1">
        <v>9.5958000000000002E-2</v>
      </c>
      <c r="AD15" s="1">
        <f t="shared" si="0"/>
        <v>9.5958000000000002E-2</v>
      </c>
      <c r="AG15" s="1">
        <v>0.20355999999999999</v>
      </c>
      <c r="AH15" s="1">
        <f t="shared" si="1"/>
        <v>0.20355999999999999</v>
      </c>
      <c r="AI15">
        <f>4539626000*(1/48000000)</f>
        <v>94.575541666666666</v>
      </c>
      <c r="AK15" s="1">
        <v>-0.12831899999999999</v>
      </c>
      <c r="AL15">
        <f t="shared" si="2"/>
        <v>0.12831899999999999</v>
      </c>
      <c r="AO15" s="1">
        <v>-0.114943</v>
      </c>
      <c r="AP15" s="1">
        <f t="shared" si="3"/>
        <v>0.114943</v>
      </c>
      <c r="AQ15">
        <f>12277557000*(1/48000000)</f>
        <v>255.78243750000001</v>
      </c>
      <c r="AS15" s="1">
        <v>3.857E-2</v>
      </c>
      <c r="AT15" s="1">
        <f t="shared" si="4"/>
        <v>3.857E-2</v>
      </c>
      <c r="AU15">
        <f>15191765000*(1/48000000)</f>
        <v>316.49510416666669</v>
      </c>
    </row>
    <row r="16" spans="1:47" x14ac:dyDescent="0.2">
      <c r="B16" s="1">
        <v>13.136165999999999</v>
      </c>
      <c r="C16">
        <f>168830000*(1/48000000)</f>
        <v>3.5172916666666669</v>
      </c>
      <c r="F16">
        <f>198965000*(1/48000000)</f>
        <v>4.145104166666667</v>
      </c>
      <c r="H16" s="1">
        <v>10.157938</v>
      </c>
      <c r="K16" s="1">
        <v>6.8753739999999999</v>
      </c>
      <c r="L16">
        <f>319260000*(1/48000000)</f>
        <v>6.6512500000000001</v>
      </c>
      <c r="N16" s="1">
        <v>5.6506970000000001</v>
      </c>
      <c r="O16">
        <f>463799000*(1/48000000)</f>
        <v>9.6624791666666674</v>
      </c>
      <c r="Q16" s="1">
        <v>2.2445590000000002</v>
      </c>
      <c r="R16">
        <f>781315000*(1/48000000)</f>
        <v>16.277395833333333</v>
      </c>
      <c r="T16" s="1">
        <v>1.306352</v>
      </c>
      <c r="W16" s="1">
        <v>1.6730100000000001</v>
      </c>
      <c r="X16">
        <f>1246070000*(1/48000000)</f>
        <v>25.959791666666668</v>
      </c>
      <c r="Z16" s="1">
        <v>1.0635870000000001</v>
      </c>
      <c r="AA16">
        <f>1519096000*(1/48000000)</f>
        <v>31.647833333333335</v>
      </c>
      <c r="AC16" s="1">
        <v>-4.9375000000000002E-2</v>
      </c>
      <c r="AD16" s="1">
        <f t="shared" si="0"/>
        <v>4.9375000000000002E-2</v>
      </c>
      <c r="AG16" s="1">
        <v>-0.43759700000000001</v>
      </c>
      <c r="AH16" s="1">
        <f t="shared" si="1"/>
        <v>0.43759700000000001</v>
      </c>
      <c r="AI16">
        <f>4542755000*(1/48000000)</f>
        <v>94.640729166666674</v>
      </c>
      <c r="AK16" s="1">
        <v>0.100314</v>
      </c>
      <c r="AL16">
        <f t="shared" si="2"/>
        <v>0.100314</v>
      </c>
      <c r="AO16" s="1">
        <v>6.5510000000000004E-3</v>
      </c>
      <c r="AP16" s="1">
        <f t="shared" si="3"/>
        <v>6.5510000000000004E-3</v>
      </c>
      <c r="AQ16">
        <f>12280647000*(1/48000000)</f>
        <v>255.84681250000003</v>
      </c>
      <c r="AS16" s="1">
        <v>-0.107395</v>
      </c>
      <c r="AT16" s="1">
        <f t="shared" si="4"/>
        <v>0.107395</v>
      </c>
      <c r="AU16">
        <f>15148494000*(1/48000000)</f>
        <v>315.59362500000003</v>
      </c>
    </row>
    <row r="17" spans="2:47" x14ac:dyDescent="0.2">
      <c r="B17" s="1">
        <v>12.521229</v>
      </c>
      <c r="C17">
        <f>168061000*(1/48000000)</f>
        <v>3.5012708333333333</v>
      </c>
      <c r="F17">
        <f>198763000*(1/48000000)</f>
        <v>4.1408958333333334</v>
      </c>
      <c r="H17" s="1">
        <v>9.871651</v>
      </c>
      <c r="K17" s="1">
        <v>6.927276</v>
      </c>
      <c r="L17">
        <f>319025000*(1/48000000)</f>
        <v>6.6463541666666668</v>
      </c>
      <c r="N17" s="1">
        <v>5.9242650000000001</v>
      </c>
      <c r="O17">
        <f>462894000*(1/48000000)</f>
        <v>9.6436250000000001</v>
      </c>
      <c r="Q17" s="1">
        <v>2.3390719999999998</v>
      </c>
      <c r="R17">
        <f>780746000*(1/48000000)</f>
        <v>16.265541666666667</v>
      </c>
      <c r="T17" s="1">
        <v>2.1453479999999998</v>
      </c>
      <c r="W17" s="1">
        <v>0.58670599999999995</v>
      </c>
      <c r="X17">
        <f>1243863000*(1/48000000)</f>
        <v>25.913812500000002</v>
      </c>
      <c r="Z17" s="1">
        <v>0.656134</v>
      </c>
      <c r="AA17">
        <f>1527611000*(1/48000000)</f>
        <v>31.82522916666667</v>
      </c>
      <c r="AC17" s="1">
        <v>7.8799999999999995E-2</v>
      </c>
      <c r="AD17" s="1">
        <f t="shared" si="0"/>
        <v>7.8799999999999995E-2</v>
      </c>
      <c r="AG17" s="1">
        <v>5.0509999999999999E-3</v>
      </c>
      <c r="AH17" s="1">
        <f t="shared" si="1"/>
        <v>5.0509999999999999E-3</v>
      </c>
      <c r="AI17">
        <f>4541777000*(1/48000000)</f>
        <v>94.620354166666672</v>
      </c>
      <c r="AK17" s="1">
        <v>0.50912999999999997</v>
      </c>
      <c r="AL17">
        <f t="shared" si="2"/>
        <v>0.50912999999999997</v>
      </c>
      <c r="AO17" s="1">
        <v>-0.71120099999999997</v>
      </c>
      <c r="AP17" s="1">
        <f t="shared" si="3"/>
        <v>0.71120099999999997</v>
      </c>
      <c r="AQ17">
        <f>12232363000*(1/48000000)</f>
        <v>254.84089583333335</v>
      </c>
      <c r="AS17" s="1">
        <v>-3.9113000000000002E-2</v>
      </c>
      <c r="AT17" s="1">
        <f t="shared" si="4"/>
        <v>3.9113000000000002E-2</v>
      </c>
      <c r="AU17">
        <f>15202413000*(1/48000000)</f>
        <v>316.71693750000003</v>
      </c>
    </row>
    <row r="18" spans="2:47" x14ac:dyDescent="0.2">
      <c r="B18" s="1">
        <v>12.518274</v>
      </c>
      <c r="C18">
        <f>167793000*(1/48000000)</f>
        <v>3.4956875000000003</v>
      </c>
      <c r="F18">
        <f>197722000*(1/48000000)</f>
        <v>4.1192083333333338</v>
      </c>
      <c r="H18" s="1">
        <v>10.137801</v>
      </c>
      <c r="K18" s="1">
        <v>7.1807530000000002</v>
      </c>
      <c r="L18">
        <f>318959000*(1/48000000)</f>
        <v>6.6449791666666673</v>
      </c>
      <c r="N18" s="1">
        <v>5.6551619999999998</v>
      </c>
      <c r="O18">
        <f>463245000*(1/48000000)</f>
        <v>9.6509375000000013</v>
      </c>
      <c r="Q18" s="1">
        <v>2.1885859999999999</v>
      </c>
      <c r="R18">
        <f>782013000*(1/48000000)</f>
        <v>16.2919375</v>
      </c>
      <c r="T18" s="1">
        <v>2.058627</v>
      </c>
      <c r="W18" s="1">
        <v>1.2543409999999999</v>
      </c>
      <c r="X18">
        <f>1245268000*(1/48000000)</f>
        <v>25.943083333333334</v>
      </c>
      <c r="Z18" s="1">
        <v>0.55952900000000005</v>
      </c>
      <c r="AA18">
        <f>1524673000*(1/48000000)</f>
        <v>31.764020833333337</v>
      </c>
      <c r="AC18" s="1">
        <v>0.45974100000000001</v>
      </c>
      <c r="AD18" s="1">
        <f t="shared" si="0"/>
        <v>0.45974100000000001</v>
      </c>
      <c r="AG18" s="1">
        <v>0.16178100000000001</v>
      </c>
      <c r="AH18" s="1">
        <f t="shared" si="1"/>
        <v>0.16178100000000001</v>
      </c>
      <c r="AI18">
        <f>4541084000*(1/48000000)</f>
        <v>94.605916666666673</v>
      </c>
      <c r="AK18" s="1">
        <v>-0.20069699999999999</v>
      </c>
      <c r="AL18">
        <f t="shared" si="2"/>
        <v>0.20069699999999999</v>
      </c>
      <c r="AO18" s="1">
        <v>-9.1830999999999996E-2</v>
      </c>
      <c r="AP18" s="1">
        <f t="shared" si="3"/>
        <v>9.1830999999999996E-2</v>
      </c>
      <c r="AQ18">
        <f>12277022000*(1/48000000)</f>
        <v>255.77129166666668</v>
      </c>
      <c r="AS18" s="1">
        <v>-3.0322999999999999E-2</v>
      </c>
      <c r="AT18" s="1">
        <f t="shared" si="4"/>
        <v>3.0322999999999999E-2</v>
      </c>
      <c r="AU18">
        <f>15204469000*(1/48000000)</f>
        <v>316.75977083333333</v>
      </c>
    </row>
    <row r="19" spans="2:47" x14ac:dyDescent="0.2">
      <c r="B19" s="1">
        <v>12.178957</v>
      </c>
      <c r="C19">
        <f>167459000*(1/48000000)</f>
        <v>3.4887291666666669</v>
      </c>
      <c r="F19">
        <f>198230000*(1/48000000)</f>
        <v>4.1297916666666667</v>
      </c>
      <c r="H19" s="1">
        <v>10.142655</v>
      </c>
      <c r="K19" s="1">
        <v>6.7434669999999999</v>
      </c>
      <c r="L19">
        <f>318984000*(1/48000000)</f>
        <v>6.6455000000000002</v>
      </c>
      <c r="N19" s="1">
        <v>5.4977739999999997</v>
      </c>
      <c r="O19">
        <f>462764000*(1/48000000)</f>
        <v>9.6409166666666675</v>
      </c>
      <c r="Q19" s="1">
        <v>1.7512289999999999</v>
      </c>
      <c r="R19">
        <f>783261000*(1/48000000)</f>
        <v>16.317937499999999</v>
      </c>
      <c r="T19" s="1">
        <v>1.9438169999999999</v>
      </c>
      <c r="W19" s="1">
        <v>0.84435700000000002</v>
      </c>
      <c r="X19">
        <f>1246078000*(1/48000000)</f>
        <v>25.959958333333336</v>
      </c>
      <c r="Z19" s="1">
        <v>0.8216</v>
      </c>
      <c r="AA19">
        <f>1531401000*(1/48000000)</f>
        <v>31.904187500000003</v>
      </c>
      <c r="AC19" s="1">
        <v>0.43036600000000003</v>
      </c>
      <c r="AD19" s="1">
        <f t="shared" si="0"/>
        <v>0.43036600000000003</v>
      </c>
      <c r="AG19" s="1">
        <v>-0.32297999999999999</v>
      </c>
      <c r="AH19" s="1">
        <f t="shared" si="1"/>
        <v>0.32297999999999999</v>
      </c>
      <c r="AI19">
        <f>4529551000*(1/48000000)</f>
        <v>94.365645833333346</v>
      </c>
      <c r="AK19" s="1">
        <v>-0.25872699999999998</v>
      </c>
      <c r="AL19">
        <f t="shared" si="2"/>
        <v>0.25872699999999998</v>
      </c>
      <c r="AO19" s="1">
        <v>-0.19361600000000001</v>
      </c>
      <c r="AP19" s="1">
        <f t="shared" si="3"/>
        <v>0.19361600000000001</v>
      </c>
      <c r="AQ19">
        <f>12275084000*(1/48000000)</f>
        <v>255.73091666666667</v>
      </c>
      <c r="AS19" s="1">
        <v>-0.48642600000000003</v>
      </c>
      <c r="AT19" s="1">
        <f t="shared" si="4"/>
        <v>0.48642600000000003</v>
      </c>
      <c r="AU19">
        <f>15206612000*(1/48000000)</f>
        <v>316.80441666666667</v>
      </c>
    </row>
    <row r="20" spans="2:47" x14ac:dyDescent="0.2">
      <c r="B20" s="1">
        <v>13.17563</v>
      </c>
      <c r="C20">
        <f>167524000*(1/48000000)</f>
        <v>3.4900833333333336</v>
      </c>
      <c r="F20">
        <f>197842000*(1/48000000)</f>
        <v>4.1217083333333333</v>
      </c>
      <c r="H20" s="1">
        <v>10.364274999999999</v>
      </c>
      <c r="K20" s="1">
        <v>6.715535</v>
      </c>
      <c r="L20">
        <f>320624000*(1/48000000)</f>
        <v>6.6796666666666669</v>
      </c>
      <c r="N20" s="1">
        <v>5.3100750000000003</v>
      </c>
      <c r="O20">
        <f>464986000*(1/48000000)</f>
        <v>9.6872083333333343</v>
      </c>
      <c r="Q20" s="1">
        <v>1.9463539999999999</v>
      </c>
      <c r="R20">
        <f>781207000*(1/48000000)</f>
        <v>16.275145833333333</v>
      </c>
      <c r="T20" s="1">
        <v>1.447478</v>
      </c>
      <c r="W20" s="1">
        <v>0.70011699999999999</v>
      </c>
      <c r="X20">
        <f>1244708000*(1/48000000)</f>
        <v>25.931416666666667</v>
      </c>
      <c r="Z20" s="1">
        <v>0.920265</v>
      </c>
      <c r="AA20">
        <f>1526599000*(1/48000000)</f>
        <v>31.804145833333337</v>
      </c>
      <c r="AC20" s="1">
        <v>6.0134E-2</v>
      </c>
      <c r="AD20" s="1">
        <f t="shared" si="0"/>
        <v>6.0134E-2</v>
      </c>
      <c r="AG20" s="1">
        <v>-0.10063800000000001</v>
      </c>
      <c r="AH20" s="1">
        <f t="shared" si="1"/>
        <v>0.10063800000000001</v>
      </c>
      <c r="AI20">
        <f>4544453000*(1/48000000)</f>
        <v>94.676104166666676</v>
      </c>
      <c r="AK20" s="1">
        <v>0.70149899999999998</v>
      </c>
      <c r="AL20">
        <f t="shared" si="2"/>
        <v>0.70149899999999998</v>
      </c>
      <c r="AO20" s="1">
        <v>0.250948</v>
      </c>
      <c r="AP20" s="1">
        <f t="shared" si="3"/>
        <v>0.250948</v>
      </c>
      <c r="AQ20">
        <f>12212247000*(1/48000000)</f>
        <v>254.42181250000002</v>
      </c>
      <c r="AS20" s="1">
        <v>-4.3779999999999999E-3</v>
      </c>
      <c r="AT20" s="1">
        <f t="shared" si="4"/>
        <v>4.3779999999999999E-3</v>
      </c>
      <c r="AU20">
        <f>15204663000*(1/48000000)</f>
        <v>316.76381250000003</v>
      </c>
    </row>
    <row r="21" spans="2:47" x14ac:dyDescent="0.2">
      <c r="B21" s="1">
        <v>12.641899</v>
      </c>
      <c r="C21">
        <f>168353000*(1/48000000)</f>
        <v>3.507354166666667</v>
      </c>
      <c r="F21">
        <f>199120000*(1/48000000)</f>
        <v>4.1483333333333334</v>
      </c>
      <c r="H21" s="1">
        <v>10.169669000000001</v>
      </c>
      <c r="K21" s="1">
        <v>6.9455200000000001</v>
      </c>
      <c r="L21">
        <f>318379000*(1/48000000)</f>
        <v>6.6328958333333334</v>
      </c>
      <c r="N21" s="1">
        <v>5.2447650000000001</v>
      </c>
      <c r="O21">
        <f>464148000*(1/48000000)</f>
        <v>9.6697500000000005</v>
      </c>
      <c r="Q21" s="1">
        <v>1.692067</v>
      </c>
      <c r="R21">
        <f>781133000*(1/48000000)</f>
        <v>16.273604166666669</v>
      </c>
      <c r="T21" s="1">
        <v>1.925397</v>
      </c>
      <c r="W21" s="1">
        <v>0.84300600000000003</v>
      </c>
      <c r="X21">
        <f>1240661000*(1/48000000)</f>
        <v>25.847104166666668</v>
      </c>
      <c r="Z21" s="1">
        <v>1.5114240000000001</v>
      </c>
      <c r="AA21">
        <f>1527538000*(1/48000000)</f>
        <v>31.823708333333336</v>
      </c>
      <c r="AC21" s="1">
        <v>0.26055400000000001</v>
      </c>
      <c r="AD21" s="1">
        <f t="shared" si="0"/>
        <v>0.26055400000000001</v>
      </c>
      <c r="AG21" s="1">
        <v>0.15448799999999999</v>
      </c>
      <c r="AH21" s="1">
        <f t="shared" si="1"/>
        <v>0.15448799999999999</v>
      </c>
      <c r="AI21">
        <f>4544102000*(1/48000000)</f>
        <v>94.668791666666678</v>
      </c>
      <c r="AK21" s="1">
        <v>-0.51893299999999998</v>
      </c>
      <c r="AL21">
        <f t="shared" si="2"/>
        <v>0.51893299999999998</v>
      </c>
      <c r="AO21" s="1">
        <v>0.48002400000000001</v>
      </c>
      <c r="AP21" s="1">
        <f t="shared" si="3"/>
        <v>0.48002400000000001</v>
      </c>
      <c r="AQ21">
        <f>12268696000*(1/48000000)</f>
        <v>255.59783333333334</v>
      </c>
      <c r="AS21" s="1">
        <v>-1.1091999999999999E-2</v>
      </c>
      <c r="AT21" s="1">
        <f t="shared" si="4"/>
        <v>1.1091999999999999E-2</v>
      </c>
      <c r="AU21">
        <f>15204011000*(1/48000000)</f>
        <v>316.75022916666671</v>
      </c>
    </row>
    <row r="22" spans="2:47" x14ac:dyDescent="0.2">
      <c r="B22" s="1">
        <v>12.471639</v>
      </c>
      <c r="C22">
        <f>168430000*(1/48000000)</f>
        <v>3.5089583333333336</v>
      </c>
      <c r="F22">
        <f>199044000*(1/48000000)</f>
        <v>4.1467499999999999</v>
      </c>
      <c r="H22" s="1">
        <v>10.151270999999999</v>
      </c>
      <c r="K22" s="1">
        <v>6.3584459999999998</v>
      </c>
      <c r="L22">
        <f>319294000*(1/48000000)</f>
        <v>6.6519583333333339</v>
      </c>
      <c r="N22" s="1">
        <v>6.003387</v>
      </c>
      <c r="O22">
        <f>463000000*(1/48000000)</f>
        <v>9.6458333333333339</v>
      </c>
      <c r="Q22" s="1">
        <v>1.6743349999999999</v>
      </c>
      <c r="R22">
        <f>780366000*(1/48000000)</f>
        <v>16.257625000000001</v>
      </c>
      <c r="T22" s="1">
        <v>2.4070469999999999</v>
      </c>
      <c r="W22" s="1">
        <v>1.0345120000000001</v>
      </c>
      <c r="X22">
        <f>1240663000*(1/48000000)</f>
        <v>25.847145833333336</v>
      </c>
      <c r="Z22" s="1">
        <v>0.75977799999999995</v>
      </c>
      <c r="AA22">
        <f>1523639000*(1/48000000)</f>
        <v>31.742479166666669</v>
      </c>
      <c r="AC22" s="1">
        <v>-1.7382000000000002E-2</v>
      </c>
      <c r="AD22" s="1">
        <f t="shared" si="0"/>
        <v>1.7382000000000002E-2</v>
      </c>
      <c r="AG22" s="1">
        <v>0.64757699999999996</v>
      </c>
      <c r="AH22" s="1">
        <f t="shared" si="1"/>
        <v>0.64757699999999996</v>
      </c>
      <c r="AI22">
        <f>4544834000*(1/48000000)</f>
        <v>94.684041666666673</v>
      </c>
      <c r="AK22" s="1">
        <v>-9.3567999999999998E-2</v>
      </c>
      <c r="AL22">
        <f t="shared" si="2"/>
        <v>9.3567999999999998E-2</v>
      </c>
      <c r="AO22" s="1">
        <v>-1.7281000000000001E-2</v>
      </c>
      <c r="AP22" s="1">
        <f t="shared" si="3"/>
        <v>1.7281000000000001E-2</v>
      </c>
      <c r="AQ22">
        <f>12267255000*(1/48000000)</f>
        <v>255.5678125</v>
      </c>
      <c r="AS22" s="1">
        <v>3.4375999999999997E-2</v>
      </c>
      <c r="AT22" s="1">
        <f t="shared" si="4"/>
        <v>3.4375999999999997E-2</v>
      </c>
      <c r="AU22">
        <f>15101578000*(1/48000000)</f>
        <v>314.61620833333336</v>
      </c>
    </row>
    <row r="23" spans="2:47" x14ac:dyDescent="0.2">
      <c r="B23" s="1">
        <v>12.837006000000001</v>
      </c>
      <c r="C23">
        <f>167309000*(1/48000000)</f>
        <v>3.4856041666666671</v>
      </c>
      <c r="F23">
        <f>199013000*(1/48000000)</f>
        <v>4.1461041666666665</v>
      </c>
      <c r="H23" s="1">
        <v>10.09606</v>
      </c>
      <c r="K23" s="1">
        <v>6.7338979999999999</v>
      </c>
      <c r="L23">
        <f>319978000*(1/48000000)</f>
        <v>6.6662083333333335</v>
      </c>
      <c r="N23" s="1">
        <v>4.8198639999999999</v>
      </c>
      <c r="O23">
        <f>463892000*(1/48000000)</f>
        <v>9.6644166666666678</v>
      </c>
      <c r="Q23" s="1">
        <v>1.7175579999999999</v>
      </c>
      <c r="R23">
        <f>781205000*(1/48000000)</f>
        <v>16.275104166666669</v>
      </c>
      <c r="T23" s="1">
        <v>2.3266610000000001</v>
      </c>
      <c r="W23" s="1">
        <v>0.84051200000000004</v>
      </c>
      <c r="X23">
        <f>1247265000*(1/48000000)</f>
        <v>25.984687500000003</v>
      </c>
      <c r="Z23" s="1">
        <v>1.3897139999999999</v>
      </c>
      <c r="AA23">
        <f>1521460000*(1/48000000)</f>
        <v>31.697083333333335</v>
      </c>
      <c r="AC23" s="1">
        <v>0.13755700000000001</v>
      </c>
      <c r="AD23" s="1">
        <f t="shared" si="0"/>
        <v>0.13755700000000001</v>
      </c>
      <c r="AG23" s="1">
        <v>0.263872</v>
      </c>
      <c r="AH23" s="1">
        <f t="shared" si="1"/>
        <v>0.263872</v>
      </c>
      <c r="AI23">
        <f>4527290000*(1/48000000)</f>
        <v>94.318541666666675</v>
      </c>
      <c r="AK23" s="1">
        <v>-7.9508999999999996E-2</v>
      </c>
      <c r="AL23">
        <f t="shared" si="2"/>
        <v>7.9508999999999996E-2</v>
      </c>
      <c r="AO23" s="1">
        <v>-0.10019500000000001</v>
      </c>
      <c r="AP23" s="1">
        <f t="shared" si="3"/>
        <v>0.10019500000000001</v>
      </c>
      <c r="AQ23">
        <f>12275052000*(1/48000000)</f>
        <v>255.73025000000001</v>
      </c>
      <c r="AS23" s="1">
        <v>0.46363799999999999</v>
      </c>
      <c r="AT23" s="1">
        <f t="shared" si="4"/>
        <v>0.46363799999999999</v>
      </c>
      <c r="AU23">
        <f>15202422000*(1/48000000)</f>
        <v>316.71712500000001</v>
      </c>
    </row>
    <row r="24" spans="2:47" x14ac:dyDescent="0.2">
      <c r="B24" s="1">
        <v>12.184991999999999</v>
      </c>
      <c r="C24">
        <f>167782000*(1/48000000)</f>
        <v>3.4954583333333336</v>
      </c>
      <c r="F24">
        <f>198148000*(1/48000000)</f>
        <v>4.1280833333333335</v>
      </c>
      <c r="H24" s="1">
        <v>9.7901489999999995</v>
      </c>
      <c r="K24" s="1">
        <v>6.9884680000000001</v>
      </c>
      <c r="L24">
        <f>318007000*(1/48000000)</f>
        <v>6.6251458333333337</v>
      </c>
      <c r="N24" s="1">
        <v>6.0747280000000003</v>
      </c>
      <c r="O24">
        <f>460725000*(1/48000000)</f>
        <v>9.5984375000000011</v>
      </c>
      <c r="Q24" s="1">
        <v>2.838965</v>
      </c>
      <c r="R24">
        <f>776989000*(1/48000000)</f>
        <v>16.187270833333333</v>
      </c>
      <c r="T24" s="1">
        <v>2.0905990000000001</v>
      </c>
      <c r="W24" s="1">
        <v>0.55132400000000004</v>
      </c>
      <c r="X24">
        <f>1245804000*(1/48000000)</f>
        <v>25.954250000000002</v>
      </c>
      <c r="Z24" s="1">
        <v>0.96179400000000004</v>
      </c>
      <c r="AA24">
        <f>1522543000*(1/48000000)</f>
        <v>31.719645833333335</v>
      </c>
      <c r="AC24" s="1">
        <v>9.6591999999999997E-2</v>
      </c>
      <c r="AD24" s="1">
        <f t="shared" si="0"/>
        <v>9.6591999999999997E-2</v>
      </c>
      <c r="AG24" s="1">
        <v>0.20774200000000001</v>
      </c>
      <c r="AH24" s="1">
        <f t="shared" si="1"/>
        <v>0.20774200000000001</v>
      </c>
      <c r="AI24">
        <f>4539829000*(1/48000000)</f>
        <v>94.579770833333342</v>
      </c>
      <c r="AK24" s="1">
        <v>-5.3863000000000001E-2</v>
      </c>
      <c r="AL24">
        <f t="shared" si="2"/>
        <v>5.3863000000000001E-2</v>
      </c>
      <c r="AO24" s="1">
        <v>5.5319999999999996E-3</v>
      </c>
      <c r="AP24" s="1">
        <f t="shared" si="3"/>
        <v>5.5319999999999996E-3</v>
      </c>
      <c r="AQ24">
        <f>12251966000*(1/48000000)</f>
        <v>255.24929166666669</v>
      </c>
      <c r="AS24" s="1">
        <v>7.8924999999999995E-2</v>
      </c>
      <c r="AT24" s="1">
        <f t="shared" si="4"/>
        <v>7.8924999999999995E-2</v>
      </c>
      <c r="AU24">
        <f>15202383000*(1/48000000)</f>
        <v>316.71631250000002</v>
      </c>
    </row>
    <row r="25" spans="2:47" x14ac:dyDescent="0.2">
      <c r="B25" s="1">
        <v>12.673753</v>
      </c>
      <c r="C25">
        <f>167615000*(1/48000000)</f>
        <v>3.4919791666666669</v>
      </c>
      <c r="F25">
        <f>197719000*(1/48000000)</f>
        <v>4.1191458333333335</v>
      </c>
      <c r="H25" s="1">
        <v>10.564954999999999</v>
      </c>
      <c r="K25" s="1">
        <v>6.7506339999999998</v>
      </c>
      <c r="L25">
        <f>319395000*(1/48000000)</f>
        <v>6.6540625000000002</v>
      </c>
      <c r="N25" s="1">
        <v>5.527069</v>
      </c>
      <c r="O25">
        <f>462916000*(1/48000000)</f>
        <v>9.6440833333333345</v>
      </c>
      <c r="Q25" s="1">
        <v>2.0596899999999998</v>
      </c>
      <c r="R25">
        <f>783059000*(1/48000000)</f>
        <v>16.313729166666668</v>
      </c>
      <c r="T25" s="1">
        <v>1.8862719999999999</v>
      </c>
      <c r="W25" s="1">
        <v>0.982653</v>
      </c>
      <c r="X25">
        <f>1237658000*(1/48000000)</f>
        <v>25.784541666666669</v>
      </c>
      <c r="Z25" s="1">
        <v>0.76658000000000004</v>
      </c>
      <c r="AA25">
        <f>1518631000*(1/48000000)</f>
        <v>31.638145833333336</v>
      </c>
      <c r="AC25" s="1">
        <v>0.226188</v>
      </c>
      <c r="AD25" s="1">
        <f t="shared" si="0"/>
        <v>0.226188</v>
      </c>
      <c r="AG25" s="1">
        <v>0.10668900000000001</v>
      </c>
      <c r="AH25" s="1">
        <f t="shared" si="1"/>
        <v>0.10668900000000001</v>
      </c>
      <c r="AI25">
        <f>4540772000*(1/48000000)</f>
        <v>94.59941666666667</v>
      </c>
      <c r="AK25" s="1">
        <v>0.467414</v>
      </c>
      <c r="AL25">
        <f t="shared" si="2"/>
        <v>0.467414</v>
      </c>
      <c r="AO25" s="1">
        <v>0.123225</v>
      </c>
      <c r="AP25" s="1">
        <f t="shared" si="3"/>
        <v>0.123225</v>
      </c>
      <c r="AQ25">
        <f>12276110000*(1/48000000)</f>
        <v>255.75229166666668</v>
      </c>
      <c r="AS25" s="1">
        <v>-0.140094</v>
      </c>
      <c r="AT25" s="1">
        <f t="shared" si="4"/>
        <v>0.140094</v>
      </c>
      <c r="AU25">
        <f>15197196000*(1/48000000)</f>
        <v>316.60825</v>
      </c>
    </row>
    <row r="26" spans="2:47" x14ac:dyDescent="0.2">
      <c r="B26" s="1">
        <v>12.970921000000001</v>
      </c>
      <c r="C26">
        <f>167442000*(1/48000000)</f>
        <v>3.488375</v>
      </c>
      <c r="F26">
        <f>198304000*(1/48000000)</f>
        <v>4.131333333333334</v>
      </c>
      <c r="H26" s="1">
        <v>9.9290109999999991</v>
      </c>
      <c r="K26" s="1">
        <v>6.6352279999999997</v>
      </c>
      <c r="L26">
        <f>318560000*(1/48000000)</f>
        <v>6.6366666666666667</v>
      </c>
      <c r="N26" s="1">
        <v>5.0264939999999996</v>
      </c>
      <c r="O26">
        <f>463219000*(1/48000000)</f>
        <v>9.6503958333333344</v>
      </c>
      <c r="Q26" s="1">
        <v>2.4303170000000001</v>
      </c>
      <c r="R26">
        <f>780545000*(1/48000000)</f>
        <v>16.261354166666667</v>
      </c>
      <c r="T26" s="1">
        <v>2.5652469999999998</v>
      </c>
      <c r="W26" s="1">
        <v>0.815527</v>
      </c>
      <c r="X26">
        <f>1245106000*(1/48000000)</f>
        <v>25.939708333333336</v>
      </c>
      <c r="Z26" s="1">
        <v>0.46877999999999997</v>
      </c>
      <c r="AA26">
        <f>1522694000*(1/48000000)</f>
        <v>31.722791666666669</v>
      </c>
      <c r="AC26" s="1">
        <v>0.24901999999999999</v>
      </c>
      <c r="AD26" s="1">
        <f t="shared" si="0"/>
        <v>0.24901999999999999</v>
      </c>
      <c r="AG26" s="1">
        <v>-0.65704300000000004</v>
      </c>
      <c r="AH26" s="1">
        <f t="shared" si="1"/>
        <v>0.65704300000000004</v>
      </c>
      <c r="AI26">
        <f>4512961000*(1/48000000)</f>
        <v>94.020020833333334</v>
      </c>
      <c r="AK26" s="1">
        <v>1.9893999999999998E-2</v>
      </c>
      <c r="AL26">
        <f t="shared" si="2"/>
        <v>1.9893999999999998E-2</v>
      </c>
      <c r="AO26" s="1">
        <v>0.43086600000000003</v>
      </c>
      <c r="AP26" s="1">
        <f t="shared" si="3"/>
        <v>0.43086600000000003</v>
      </c>
      <c r="AQ26">
        <f>12276331000*(1/48000000)</f>
        <v>255.75689583333335</v>
      </c>
      <c r="AS26" s="1">
        <v>0.72094100000000005</v>
      </c>
      <c r="AT26" s="1">
        <f t="shared" si="4"/>
        <v>0.72094100000000005</v>
      </c>
      <c r="AU26">
        <f>15207897000*(1/48000000)</f>
        <v>316.8311875</v>
      </c>
    </row>
    <row r="27" spans="2:47" x14ac:dyDescent="0.2">
      <c r="B27" s="1">
        <v>11.922726000000001</v>
      </c>
      <c r="C27">
        <f>167509000*(1/48000000)</f>
        <v>3.4897708333333335</v>
      </c>
      <c r="F27">
        <f>198286000*(1/48000000)</f>
        <v>4.130958333333334</v>
      </c>
      <c r="H27" s="1">
        <v>10.426123</v>
      </c>
      <c r="K27" s="1">
        <v>6.6052929999999996</v>
      </c>
      <c r="L27">
        <f>318696000*(1/48000000)</f>
        <v>6.6395000000000008</v>
      </c>
      <c r="N27" s="1">
        <v>5.4220119999999996</v>
      </c>
      <c r="O27">
        <f>464278000*(1/48000000)</f>
        <v>9.6724583333333332</v>
      </c>
      <c r="Q27" s="1">
        <v>2.3163900000000002</v>
      </c>
      <c r="R27">
        <f>777457000*(1/48000000)</f>
        <v>16.197020833333333</v>
      </c>
      <c r="T27" s="1">
        <v>2.3717600000000001</v>
      </c>
      <c r="W27" s="1">
        <v>0.30490499999999998</v>
      </c>
      <c r="X27">
        <f>1242726000*(1/48000000)</f>
        <v>25.890125000000001</v>
      </c>
      <c r="Z27" s="1">
        <v>0.97705500000000001</v>
      </c>
      <c r="AA27">
        <f>1511953000*(1/48000000)</f>
        <v>31.499020833333336</v>
      </c>
      <c r="AC27" s="1">
        <v>0.98676799999999998</v>
      </c>
      <c r="AD27" s="1">
        <f t="shared" si="0"/>
        <v>0.98676799999999998</v>
      </c>
      <c r="AG27" s="1">
        <v>0.13767399999999999</v>
      </c>
      <c r="AH27" s="1">
        <f t="shared" si="1"/>
        <v>0.13767399999999999</v>
      </c>
      <c r="AI27">
        <f>4552325000*(1/48000000)</f>
        <v>94.840104166666677</v>
      </c>
      <c r="AK27" s="1">
        <v>-0.2838</v>
      </c>
      <c r="AL27">
        <f t="shared" si="2"/>
        <v>0.2838</v>
      </c>
      <c r="AO27" s="1">
        <v>-0.36509200000000003</v>
      </c>
      <c r="AP27" s="1">
        <f t="shared" si="3"/>
        <v>0.36509200000000003</v>
      </c>
      <c r="AQ27">
        <f>12250049000*(1/48000000)</f>
        <v>255.20935416666669</v>
      </c>
      <c r="AS27" s="1">
        <v>-0.522115</v>
      </c>
      <c r="AT27" s="1">
        <f t="shared" si="4"/>
        <v>0.522115</v>
      </c>
      <c r="AU27">
        <f>15173241000*(1/48000000)</f>
        <v>316.10918750000002</v>
      </c>
    </row>
    <row r="28" spans="2:47" x14ac:dyDescent="0.2">
      <c r="B28" s="1">
        <v>12.808118</v>
      </c>
      <c r="C28">
        <f>167907000*(1/48000000)</f>
        <v>3.4980625000000001</v>
      </c>
      <c r="F28">
        <f>197772000*(1/48000000)</f>
        <v>4.1202500000000004</v>
      </c>
      <c r="H28" s="1">
        <v>9.7386529999999993</v>
      </c>
      <c r="K28" s="1">
        <v>7.100009</v>
      </c>
      <c r="L28">
        <f>319380000*(1/48000000)</f>
        <v>6.6537500000000005</v>
      </c>
      <c r="N28" s="1">
        <v>5.3923120000000004</v>
      </c>
      <c r="O28">
        <f>463717000*(1/48000000)</f>
        <v>9.6607708333333342</v>
      </c>
      <c r="Q28" s="1">
        <v>1.8324959999999999</v>
      </c>
      <c r="R28">
        <f>780077000*(1/48000000)</f>
        <v>16.251604166666667</v>
      </c>
      <c r="T28" s="1">
        <v>2.444175</v>
      </c>
      <c r="W28" s="1">
        <v>0.76037200000000005</v>
      </c>
      <c r="X28">
        <f>1241448000*(1/48000000)</f>
        <v>25.863500000000002</v>
      </c>
      <c r="Z28" s="1">
        <v>1.437209</v>
      </c>
      <c r="AA28">
        <f>1523949000*(1/48000000)</f>
        <v>31.7489375</v>
      </c>
      <c r="AC28" s="1">
        <v>0.33629100000000001</v>
      </c>
      <c r="AD28" s="1">
        <f t="shared" si="0"/>
        <v>0.33629100000000001</v>
      </c>
      <c r="AG28" s="1">
        <v>1.4803E-2</v>
      </c>
      <c r="AH28" s="1">
        <f t="shared" si="1"/>
        <v>1.4803E-2</v>
      </c>
      <c r="AI28">
        <f>4535416000*(1/48000000)</f>
        <v>94.487833333333342</v>
      </c>
      <c r="AK28" s="1">
        <v>-0.104023</v>
      </c>
      <c r="AL28">
        <f t="shared" si="2"/>
        <v>0.104023</v>
      </c>
      <c r="AO28" s="1">
        <v>0.589781</v>
      </c>
      <c r="AP28" s="1">
        <f t="shared" si="3"/>
        <v>0.589781</v>
      </c>
      <c r="AQ28">
        <f>12261905000*(1/48000000)</f>
        <v>255.45635416666667</v>
      </c>
      <c r="AS28" s="1">
        <v>-0.31374800000000003</v>
      </c>
      <c r="AT28" s="1">
        <f t="shared" si="4"/>
        <v>0.31374800000000003</v>
      </c>
      <c r="AU28">
        <f>15208449000*(1/48000000)</f>
        <v>316.84268750000001</v>
      </c>
    </row>
    <row r="29" spans="2:47" x14ac:dyDescent="0.2">
      <c r="B29" s="1">
        <v>11.977136</v>
      </c>
      <c r="C29">
        <f>168211000*(1/48000000)</f>
        <v>3.5043958333333336</v>
      </c>
      <c r="F29">
        <f>197875000*(1/48000000)</f>
        <v>4.1223958333333339</v>
      </c>
      <c r="H29" s="1">
        <v>9.7052150000000008</v>
      </c>
      <c r="K29" s="1">
        <v>7.6552319999999998</v>
      </c>
      <c r="L29">
        <f>319978000*(1/48000000)</f>
        <v>6.6662083333333335</v>
      </c>
      <c r="N29" s="1">
        <v>5.5176530000000001</v>
      </c>
      <c r="O29">
        <f>460915000*(1/48000000)</f>
        <v>9.6023958333333344</v>
      </c>
      <c r="Q29" s="1">
        <v>2.3453580000000001</v>
      </c>
      <c r="R29">
        <f>779781000*(1/48000000)</f>
        <v>16.245437500000001</v>
      </c>
      <c r="T29" s="1">
        <v>1.871351</v>
      </c>
      <c r="W29" s="1">
        <v>0.14507100000000001</v>
      </c>
      <c r="X29">
        <f>1241738000*(1/48000000)</f>
        <v>25.869541666666667</v>
      </c>
      <c r="Z29" s="1">
        <v>1.2911859999999999</v>
      </c>
      <c r="AA29">
        <f>1523708000*(1/48000000)</f>
        <v>31.743916666666667</v>
      </c>
      <c r="AC29" s="1">
        <v>0.24063799999999999</v>
      </c>
      <c r="AD29" s="1">
        <f t="shared" si="0"/>
        <v>0.24063799999999999</v>
      </c>
      <c r="AG29" s="1">
        <v>0.19400000000000001</v>
      </c>
      <c r="AH29" s="1">
        <f t="shared" si="1"/>
        <v>0.19400000000000001</v>
      </c>
      <c r="AI29">
        <f>4542515000*(1/48000000)</f>
        <v>94.635729166666678</v>
      </c>
      <c r="AK29" s="1">
        <v>-0.53350699999999995</v>
      </c>
      <c r="AL29">
        <f t="shared" si="2"/>
        <v>0.53350699999999995</v>
      </c>
      <c r="AO29" s="1">
        <v>8.4422999999999998E-2</v>
      </c>
      <c r="AP29" s="1">
        <f t="shared" si="3"/>
        <v>8.4422999999999998E-2</v>
      </c>
      <c r="AQ29">
        <f>12256194000*(1/48000000)</f>
        <v>255.33737500000001</v>
      </c>
      <c r="AS29" s="1">
        <v>-0.16576299999999999</v>
      </c>
      <c r="AT29" s="1">
        <f t="shared" si="4"/>
        <v>0.16576299999999999</v>
      </c>
      <c r="AU29">
        <f>15203499000*(1/48000000)</f>
        <v>316.73956250000003</v>
      </c>
    </row>
    <row r="30" spans="2:47" x14ac:dyDescent="0.2">
      <c r="B30" s="1">
        <v>13.046493999999999</v>
      </c>
      <c r="C30">
        <f>168772000*(1/48000000)</f>
        <v>3.5160833333333334</v>
      </c>
      <c r="F30">
        <f>198351000*(1/48000000)</f>
        <v>4.1323125000000003</v>
      </c>
      <c r="H30" s="1">
        <v>10.530792</v>
      </c>
      <c r="K30" s="1">
        <v>6.5799839999999996</v>
      </c>
      <c r="L30">
        <f>318750000*(1/48000000)</f>
        <v>6.640625</v>
      </c>
      <c r="N30" s="1">
        <v>5.6208999999999998</v>
      </c>
      <c r="O30">
        <f>463689000*(1/48000000)</f>
        <v>9.660187500000001</v>
      </c>
      <c r="Q30" s="1">
        <v>1.7477320000000001</v>
      </c>
      <c r="R30">
        <f>781528000*(1/48000000)</f>
        <v>16.281833333333335</v>
      </c>
      <c r="T30" s="1">
        <v>2.1544690000000002</v>
      </c>
      <c r="W30" s="1">
        <v>0.35093800000000003</v>
      </c>
      <c r="X30">
        <f>1243415000*(1/48000000)</f>
        <v>25.904479166666668</v>
      </c>
      <c r="Z30" s="1">
        <v>1.1428430000000001</v>
      </c>
      <c r="AA30">
        <f>1522934000*(1/48000000)</f>
        <v>31.727791666666668</v>
      </c>
      <c r="AC30" s="1">
        <v>0.32911200000000002</v>
      </c>
      <c r="AD30" s="1">
        <f t="shared" si="0"/>
        <v>0.32911200000000002</v>
      </c>
      <c r="AG30" s="1">
        <v>0.46454899999999999</v>
      </c>
      <c r="AH30" s="1">
        <f t="shared" si="1"/>
        <v>0.46454899999999999</v>
      </c>
      <c r="AI30">
        <f>4544439000*(1/48000000)</f>
        <v>94.675812500000006</v>
      </c>
      <c r="AK30" s="1">
        <v>-0.31015399999999999</v>
      </c>
      <c r="AL30">
        <f t="shared" si="2"/>
        <v>0.31015399999999999</v>
      </c>
      <c r="AO30" s="1">
        <v>0.20455300000000001</v>
      </c>
      <c r="AP30" s="1">
        <f t="shared" si="3"/>
        <v>0.20455300000000001</v>
      </c>
      <c r="AQ30">
        <f>12278753000*(1/48000000)</f>
        <v>255.80735416666667</v>
      </c>
      <c r="AS30" s="1">
        <v>0.143183</v>
      </c>
      <c r="AT30" s="1">
        <f t="shared" si="4"/>
        <v>0.143183</v>
      </c>
      <c r="AU30">
        <f>15210925000*(1/48000000)</f>
        <v>316.89427083333334</v>
      </c>
    </row>
    <row r="31" spans="2:47" x14ac:dyDescent="0.2">
      <c r="B31" s="1">
        <v>12.070968000000001</v>
      </c>
      <c r="C31">
        <f>167873000*(1/48000000)</f>
        <v>3.4973541666666668</v>
      </c>
      <c r="F31">
        <f>198470000*(1/48000000)</f>
        <v>4.1347916666666666</v>
      </c>
      <c r="H31" s="1">
        <v>9.9871400000000001</v>
      </c>
      <c r="K31" s="1">
        <v>7.1364580000000002</v>
      </c>
      <c r="L31">
        <f>319287000*(1/48000000)</f>
        <v>6.6518125000000001</v>
      </c>
      <c r="N31" s="1">
        <v>4.8123529999999999</v>
      </c>
      <c r="O31">
        <f>464277000*(1/48000000)</f>
        <v>9.6724375000000009</v>
      </c>
      <c r="Q31" s="1">
        <v>1.5993470000000001</v>
      </c>
      <c r="R31">
        <f>781633000*(1/48000000)</f>
        <v>16.284020833333333</v>
      </c>
      <c r="T31" s="1">
        <v>2.2457180000000001</v>
      </c>
      <c r="W31" s="1">
        <v>0.72255800000000003</v>
      </c>
      <c r="X31">
        <f>1242880000*(1/48000000)</f>
        <v>25.893333333333334</v>
      </c>
      <c r="Z31" s="1">
        <v>1.4541759999999999</v>
      </c>
      <c r="AA31">
        <f>1521812000*(1/48000000)</f>
        <v>31.704416666666667</v>
      </c>
      <c r="AC31" s="1">
        <v>0.36976599999999998</v>
      </c>
      <c r="AD31" s="1">
        <f t="shared" si="0"/>
        <v>0.36976599999999998</v>
      </c>
      <c r="AG31" s="1">
        <v>0.20486099999999999</v>
      </c>
      <c r="AH31" s="1">
        <f t="shared" si="1"/>
        <v>0.20486099999999999</v>
      </c>
      <c r="AI31">
        <f>4542857000*(1/48000000)</f>
        <v>94.642854166666666</v>
      </c>
      <c r="AK31" s="1">
        <v>-7.6517000000000002E-2</v>
      </c>
      <c r="AL31">
        <f t="shared" si="2"/>
        <v>7.6517000000000002E-2</v>
      </c>
      <c r="AO31" s="1">
        <v>0.180421</v>
      </c>
      <c r="AP31" s="1">
        <f t="shared" si="3"/>
        <v>0.180421</v>
      </c>
      <c r="AQ31">
        <f>12255748000*(1/48000000)</f>
        <v>255.32808333333335</v>
      </c>
      <c r="AS31" s="1">
        <v>0.15254499999999999</v>
      </c>
      <c r="AT31" s="1">
        <f t="shared" si="4"/>
        <v>0.15254499999999999</v>
      </c>
      <c r="AU31">
        <f>15215563000*(1/48000000)</f>
        <v>316.99089583333335</v>
      </c>
    </row>
    <row r="32" spans="2:47" x14ac:dyDescent="0.2">
      <c r="B32" s="1">
        <v>12.793827</v>
      </c>
      <c r="C32">
        <f>167821000*(1/48000000)</f>
        <v>3.4962708333333334</v>
      </c>
      <c r="F32">
        <f>198198000*(1/48000000)</f>
        <v>4.1291250000000002</v>
      </c>
      <c r="H32" s="1">
        <v>9.8792840000000002</v>
      </c>
      <c r="K32" s="1">
        <v>7.1511589999999998</v>
      </c>
      <c r="L32">
        <f>319405000*(1/48000000)</f>
        <v>6.6542708333333334</v>
      </c>
      <c r="N32" s="1">
        <v>5.3167359999999997</v>
      </c>
      <c r="O32">
        <f>463166000*(1/48000000)</f>
        <v>9.6492916666666666</v>
      </c>
      <c r="Q32" s="1">
        <v>2.3081700000000001</v>
      </c>
      <c r="R32">
        <f>785866000*(1/48000000)</f>
        <v>16.372208333333333</v>
      </c>
      <c r="T32" s="1">
        <v>2.10839</v>
      </c>
      <c r="W32" s="1">
        <v>0.99180400000000002</v>
      </c>
      <c r="X32">
        <f>1238106000*(1/48000000)</f>
        <v>25.793875</v>
      </c>
      <c r="Z32" s="1">
        <v>1.055752</v>
      </c>
      <c r="AA32">
        <f>1520946000*(1/48000000)</f>
        <v>31.686375000000002</v>
      </c>
      <c r="AC32" s="1">
        <v>0.11555700000000001</v>
      </c>
      <c r="AD32" s="1">
        <f t="shared" si="0"/>
        <v>0.11555700000000001</v>
      </c>
      <c r="AG32" s="1">
        <v>0.92905800000000005</v>
      </c>
      <c r="AH32" s="1">
        <f t="shared" si="1"/>
        <v>0.92905800000000005</v>
      </c>
      <c r="AI32">
        <f>4545041000*(1/48000000)</f>
        <v>94.68835416666667</v>
      </c>
      <c r="AK32" s="1">
        <v>2.4202000000000001E-2</v>
      </c>
      <c r="AL32">
        <f t="shared" si="2"/>
        <v>2.4202000000000001E-2</v>
      </c>
      <c r="AO32" s="1">
        <v>3.0276000000000001E-2</v>
      </c>
      <c r="AP32" s="1">
        <f t="shared" si="3"/>
        <v>3.0276000000000001E-2</v>
      </c>
      <c r="AQ32">
        <f>12273802000*(1/48000000)</f>
        <v>255.70420833333336</v>
      </c>
      <c r="AS32" s="1">
        <v>0.119613</v>
      </c>
      <c r="AT32" s="1">
        <f t="shared" si="4"/>
        <v>0.119613</v>
      </c>
      <c r="AU32">
        <f>15217476000*(1/48000000)</f>
        <v>317.03075000000001</v>
      </c>
    </row>
    <row r="33" spans="2:47" x14ac:dyDescent="0.2">
      <c r="B33" s="1">
        <v>12.901668000000001</v>
      </c>
      <c r="C33">
        <f>168764000*(1/48000000)</f>
        <v>3.515916666666667</v>
      </c>
      <c r="F33">
        <f>197880000*(1/48000000)</f>
        <v>4.1225000000000005</v>
      </c>
      <c r="H33" s="1">
        <v>10.156245999999999</v>
      </c>
      <c r="K33" s="1">
        <v>6.4554960000000001</v>
      </c>
      <c r="L33">
        <f>319537000*(1/48000000)</f>
        <v>6.6570208333333341</v>
      </c>
      <c r="N33" s="1">
        <v>4.7924689999999996</v>
      </c>
      <c r="O33">
        <f>464887000*(1/48000000)</f>
        <v>9.6851458333333333</v>
      </c>
      <c r="Q33" s="1">
        <v>2.049865</v>
      </c>
      <c r="R33">
        <f>780179000*(1/48000000)</f>
        <v>16.253729166666666</v>
      </c>
      <c r="T33" s="1">
        <v>2.0126559999999998</v>
      </c>
      <c r="W33" s="1">
        <v>1.153921</v>
      </c>
      <c r="X33">
        <f>1244492000*(1/48000000)</f>
        <v>25.926916666666667</v>
      </c>
      <c r="Z33" s="1">
        <v>1.348257</v>
      </c>
      <c r="AA33">
        <f>1524006000*(1/48000000)</f>
        <v>31.750125000000001</v>
      </c>
      <c r="AC33" s="1">
        <v>0.59040300000000001</v>
      </c>
      <c r="AD33" s="1">
        <f t="shared" si="0"/>
        <v>0.59040300000000001</v>
      </c>
      <c r="AG33" s="1">
        <v>-0.170345</v>
      </c>
      <c r="AH33" s="1">
        <f t="shared" si="1"/>
        <v>0.170345</v>
      </c>
      <c r="AI33">
        <f>4547558000*(1/48000000)</f>
        <v>94.740791666666667</v>
      </c>
      <c r="AK33" s="1">
        <v>-0.16836400000000001</v>
      </c>
      <c r="AL33">
        <f t="shared" si="2"/>
        <v>0.16836400000000001</v>
      </c>
      <c r="AO33" s="1">
        <v>0.422037</v>
      </c>
      <c r="AP33" s="1">
        <f t="shared" si="3"/>
        <v>0.422037</v>
      </c>
      <c r="AQ33">
        <f>12276988000*(1/48000000)</f>
        <v>255.77058333333335</v>
      </c>
      <c r="AS33" s="1">
        <v>1.6039999999999999E-2</v>
      </c>
      <c r="AT33" s="1">
        <f t="shared" si="4"/>
        <v>1.6039999999999999E-2</v>
      </c>
      <c r="AU33">
        <f>15183178000*(1/48000000)</f>
        <v>316.31620833333335</v>
      </c>
    </row>
    <row r="34" spans="2:47" x14ac:dyDescent="0.2">
      <c r="B34" s="1">
        <v>12.749637</v>
      </c>
      <c r="C34">
        <f>167578000*(1/48000000)</f>
        <v>3.4912083333333337</v>
      </c>
      <c r="F34">
        <f>199042000*(1/48000000)</f>
        <v>4.1467083333333337</v>
      </c>
      <c r="H34" s="1">
        <v>9.9858039999999999</v>
      </c>
      <c r="K34" s="1">
        <v>6.3143029999999998</v>
      </c>
      <c r="L34">
        <f>318342000*(1/48000000)</f>
        <v>6.6321250000000003</v>
      </c>
      <c r="N34" s="1">
        <v>5.2490160000000001</v>
      </c>
      <c r="O34">
        <f>461828000*(1/48000000)</f>
        <v>9.6214166666666667</v>
      </c>
      <c r="Q34" s="1">
        <v>2.367966</v>
      </c>
      <c r="R34">
        <f>782452000*(1/48000000)</f>
        <v>16.301083333333334</v>
      </c>
      <c r="T34" s="1">
        <v>2.2333080000000001</v>
      </c>
      <c r="W34" s="1">
        <v>0.71794500000000006</v>
      </c>
      <c r="X34">
        <f>1242409000*(1/48000000)</f>
        <v>25.883520833333336</v>
      </c>
      <c r="Z34" s="1">
        <v>1.3651059999999999</v>
      </c>
      <c r="AA34">
        <f>1528940000*(1/48000000)</f>
        <v>31.852916666666669</v>
      </c>
      <c r="AC34" s="1">
        <v>0.44664500000000001</v>
      </c>
      <c r="AD34" s="1">
        <f t="shared" si="0"/>
        <v>0.44664500000000001</v>
      </c>
      <c r="AG34" s="1">
        <v>-4.9623E-2</v>
      </c>
      <c r="AH34" s="1">
        <f t="shared" si="1"/>
        <v>4.9623E-2</v>
      </c>
      <c r="AI34">
        <f>4543448000*(1/48000000)</f>
        <v>94.655166666666673</v>
      </c>
      <c r="AK34" s="1">
        <v>-0.234874</v>
      </c>
      <c r="AL34">
        <f t="shared" si="2"/>
        <v>0.234874</v>
      </c>
      <c r="AO34" s="1">
        <v>-0.209092</v>
      </c>
      <c r="AP34" s="1">
        <f t="shared" si="3"/>
        <v>0.209092</v>
      </c>
      <c r="AQ34">
        <f>12286134000*(1/48000000)</f>
        <v>255.96112500000001</v>
      </c>
      <c r="AS34" s="1">
        <v>0.13328000000000001</v>
      </c>
      <c r="AT34" s="1">
        <f t="shared" si="4"/>
        <v>0.13328000000000001</v>
      </c>
      <c r="AU34">
        <f>15207430000*(1/48000000)</f>
        <v>316.82145833333334</v>
      </c>
    </row>
    <row r="35" spans="2:47" x14ac:dyDescent="0.2">
      <c r="B35" s="1">
        <v>12.216867000000001</v>
      </c>
      <c r="C35">
        <f>168445000*(1/48000000)</f>
        <v>3.5092708333333333</v>
      </c>
      <c r="F35">
        <f>198088000*(1/48000000)</f>
        <v>4.1268333333333338</v>
      </c>
      <c r="H35" s="1">
        <v>9.656758</v>
      </c>
      <c r="K35" s="1">
        <v>6.264926</v>
      </c>
      <c r="L35">
        <f>320625000*(1/48000000)</f>
        <v>6.6796875</v>
      </c>
      <c r="N35" s="1">
        <v>5.458914</v>
      </c>
      <c r="O35">
        <f>463423000*(1/48000000)</f>
        <v>9.6546458333333334</v>
      </c>
      <c r="Q35" s="1">
        <v>1.868574</v>
      </c>
      <c r="R35">
        <f>780353000*(1/48000000)</f>
        <v>16.257354166666669</v>
      </c>
      <c r="T35" s="1">
        <v>2.3228840000000002</v>
      </c>
      <c r="W35" s="1">
        <v>0.20675399999999999</v>
      </c>
      <c r="X35">
        <f>1243453000*(1/48000000)</f>
        <v>25.905270833333336</v>
      </c>
      <c r="Z35" s="1">
        <v>1.1975789999999999</v>
      </c>
      <c r="AA35">
        <f>1523519000*(1/48000000)</f>
        <v>31.739979166666668</v>
      </c>
      <c r="AC35" s="1">
        <v>5.1289999999999999E-3</v>
      </c>
      <c r="AD35" s="1">
        <f t="shared" si="0"/>
        <v>5.1289999999999999E-3</v>
      </c>
      <c r="AG35" s="1">
        <v>0.117185</v>
      </c>
      <c r="AH35" s="1">
        <f t="shared" si="1"/>
        <v>0.117185</v>
      </c>
      <c r="AI35">
        <f>4513300000*(1/48000000)</f>
        <v>94.027083333333337</v>
      </c>
      <c r="AK35" s="1">
        <v>-0.16450100000000001</v>
      </c>
      <c r="AL35">
        <f t="shared" si="2"/>
        <v>0.16450100000000001</v>
      </c>
      <c r="AO35" s="1">
        <v>-0.23327100000000001</v>
      </c>
      <c r="AP35" s="1">
        <f t="shared" si="3"/>
        <v>0.23327100000000001</v>
      </c>
      <c r="AQ35">
        <f>12248980000*(1/48000000)</f>
        <v>255.18708333333336</v>
      </c>
      <c r="AS35" s="1">
        <v>-0.223799</v>
      </c>
      <c r="AT35" s="1">
        <f t="shared" si="4"/>
        <v>0.223799</v>
      </c>
      <c r="AU35">
        <f>15226941000*(1/48000000)</f>
        <v>317.2279375</v>
      </c>
    </row>
    <row r="36" spans="2:47" x14ac:dyDescent="0.2">
      <c r="B36" s="1">
        <v>12.573871</v>
      </c>
      <c r="C36">
        <f>168631000*(1/48000000)</f>
        <v>3.5131458333333336</v>
      </c>
      <c r="F36">
        <f>199531000*(1/48000000)</f>
        <v>4.1568958333333335</v>
      </c>
      <c r="H36" s="1">
        <v>10.162831000000001</v>
      </c>
      <c r="K36" s="1">
        <v>6.7972440000000001</v>
      </c>
      <c r="L36">
        <f>319590000*(1/48000000)</f>
        <v>6.6581250000000001</v>
      </c>
      <c r="N36" s="1">
        <v>4.7990950000000003</v>
      </c>
      <c r="O36">
        <f>465013000*(1/48000000)</f>
        <v>9.6877708333333334</v>
      </c>
      <c r="Q36" s="1">
        <v>1.858231</v>
      </c>
      <c r="R36">
        <f>784297000*(1/48000000)</f>
        <v>16.339520833333335</v>
      </c>
      <c r="T36" s="1">
        <v>1.9257789999999999</v>
      </c>
      <c r="W36" s="1">
        <v>-0.35358000000000001</v>
      </c>
      <c r="X36">
        <f>1243375000*(1/48000000)</f>
        <v>25.903645833333336</v>
      </c>
      <c r="Z36" s="1">
        <v>1.4390529999999999</v>
      </c>
      <c r="AA36">
        <f>1521854000*(1/48000000)</f>
        <v>31.705291666666668</v>
      </c>
      <c r="AC36" s="1">
        <v>0.71055500000000005</v>
      </c>
      <c r="AD36" s="1">
        <f t="shared" si="0"/>
        <v>0.71055500000000005</v>
      </c>
      <c r="AG36" s="1">
        <v>0.306871</v>
      </c>
      <c r="AH36" s="1">
        <f t="shared" si="1"/>
        <v>0.306871</v>
      </c>
      <c r="AI36">
        <f>4540512000*(1/48000000)</f>
        <v>94.594000000000008</v>
      </c>
      <c r="AK36" s="1">
        <v>4.6560999999999998E-2</v>
      </c>
      <c r="AL36">
        <f t="shared" si="2"/>
        <v>4.6560999999999998E-2</v>
      </c>
      <c r="AO36" s="1">
        <v>-0.46806999999999999</v>
      </c>
      <c r="AP36" s="1">
        <f t="shared" si="3"/>
        <v>0.46806999999999999</v>
      </c>
      <c r="AQ36">
        <f>12257407000*(1/48000000)</f>
        <v>255.36264583333335</v>
      </c>
      <c r="AS36" s="1">
        <v>0.18537899999999999</v>
      </c>
      <c r="AT36" s="1">
        <f t="shared" si="4"/>
        <v>0.18537899999999999</v>
      </c>
      <c r="AU36">
        <f>15203223000*(1/48000000)</f>
        <v>316.7338125</v>
      </c>
    </row>
    <row r="37" spans="2:47" x14ac:dyDescent="0.2">
      <c r="B37" s="1">
        <v>12.919022</v>
      </c>
      <c r="C37">
        <f>167676000*(1/48000000)</f>
        <v>3.4932500000000002</v>
      </c>
      <c r="F37">
        <f>198823000*(1/48000000)</f>
        <v>4.1421458333333332</v>
      </c>
      <c r="H37" s="1">
        <v>10.051783</v>
      </c>
      <c r="K37" s="1">
        <v>6.4695220000000004</v>
      </c>
      <c r="L37">
        <f>320372000*(1/48000000)</f>
        <v>6.6744166666666667</v>
      </c>
      <c r="N37" s="1">
        <v>5.3182359999999997</v>
      </c>
      <c r="O37">
        <f>463675000*(1/48000000)</f>
        <v>9.6598958333333336</v>
      </c>
      <c r="Q37" s="1">
        <v>2.0130819999999998</v>
      </c>
      <c r="R37">
        <f>781565000*(1/48000000)</f>
        <v>16.282604166666669</v>
      </c>
      <c r="T37" s="1">
        <v>1.8070139999999999</v>
      </c>
      <c r="W37" s="1">
        <v>0.72979899999999998</v>
      </c>
      <c r="X37">
        <f>1241555000*(1/48000000)</f>
        <v>25.865729166666668</v>
      </c>
      <c r="Z37" s="1">
        <v>1.3028489999999999</v>
      </c>
      <c r="AA37">
        <f>1521577000*(1/48000000)</f>
        <v>31.699520833333334</v>
      </c>
      <c r="AC37" s="1">
        <v>0.242982</v>
      </c>
      <c r="AD37" s="1">
        <f t="shared" si="0"/>
        <v>0.242982</v>
      </c>
      <c r="AG37" s="1">
        <v>0.23882200000000001</v>
      </c>
      <c r="AH37" s="1">
        <f t="shared" si="1"/>
        <v>0.23882200000000001</v>
      </c>
      <c r="AI37">
        <f>4542306000*(1/48000000)</f>
        <v>94.631375000000006</v>
      </c>
      <c r="AK37" s="1">
        <v>0.51309400000000005</v>
      </c>
      <c r="AL37">
        <f t="shared" si="2"/>
        <v>0.51309400000000005</v>
      </c>
      <c r="AO37" s="1">
        <v>3.1029999999999999E-3</v>
      </c>
      <c r="AP37" s="1">
        <f t="shared" si="3"/>
        <v>3.1029999999999999E-3</v>
      </c>
      <c r="AQ37">
        <f>12229723000*(1/48000000)</f>
        <v>254.78589583333334</v>
      </c>
      <c r="AS37" s="1">
        <v>0.116859</v>
      </c>
      <c r="AT37" s="1">
        <f t="shared" si="4"/>
        <v>0.116859</v>
      </c>
      <c r="AU37">
        <f>15203481000*(1/48000000)</f>
        <v>316.73918750000001</v>
      </c>
    </row>
    <row r="38" spans="2:47" x14ac:dyDescent="0.2">
      <c r="B38" s="1">
        <v>13.477328</v>
      </c>
      <c r="C38">
        <f>167503000*(1/48000000)</f>
        <v>3.4896458333333333</v>
      </c>
      <c r="F38">
        <f>198825000*(1/48000000)</f>
        <v>4.1421875000000004</v>
      </c>
      <c r="H38" s="1">
        <v>10.065992</v>
      </c>
      <c r="K38" s="1">
        <v>6.2640070000000003</v>
      </c>
      <c r="L38">
        <f>319135000*(1/48000000)</f>
        <v>6.648645833333334</v>
      </c>
      <c r="N38" s="1">
        <v>5.5650760000000004</v>
      </c>
      <c r="O38">
        <f>463524000*(1/48000000)</f>
        <v>9.6567500000000006</v>
      </c>
      <c r="Q38" s="1">
        <v>1.684933</v>
      </c>
      <c r="R38">
        <f>780809000*(1/48000000)</f>
        <v>16.266854166666668</v>
      </c>
      <c r="T38" s="1">
        <v>2.102503</v>
      </c>
      <c r="W38" s="1">
        <v>0.98062000000000005</v>
      </c>
      <c r="X38">
        <f>1236327000*(1/48000000)</f>
        <v>25.756812500000002</v>
      </c>
      <c r="Z38" s="1">
        <v>0.98086600000000002</v>
      </c>
      <c r="AA38">
        <f>1522933000*(1/48000000)</f>
        <v>31.727770833333334</v>
      </c>
      <c r="AC38" s="1">
        <v>0.72961399999999998</v>
      </c>
      <c r="AD38" s="1">
        <f t="shared" si="0"/>
        <v>0.72961399999999998</v>
      </c>
      <c r="AG38" s="1">
        <v>-0.52595999999999998</v>
      </c>
      <c r="AH38" s="1">
        <f t="shared" si="1"/>
        <v>0.52595999999999998</v>
      </c>
      <c r="AI38">
        <f>4542070000*(1/48000000)</f>
        <v>94.626458333333332</v>
      </c>
      <c r="AK38" s="1">
        <v>-0.122603</v>
      </c>
      <c r="AL38">
        <f t="shared" si="2"/>
        <v>0.122603</v>
      </c>
      <c r="AO38" s="1">
        <v>-0.40829900000000002</v>
      </c>
      <c r="AP38" s="1">
        <f t="shared" si="3"/>
        <v>0.40829900000000002</v>
      </c>
      <c r="AQ38">
        <f>12275704000*(1/48000000)</f>
        <v>255.74383333333336</v>
      </c>
      <c r="AS38" s="1">
        <v>-0.57604</v>
      </c>
      <c r="AT38" s="1">
        <f t="shared" si="4"/>
        <v>0.57604</v>
      </c>
      <c r="AU38">
        <f>15200349000*(1/48000000)</f>
        <v>316.67393750000002</v>
      </c>
    </row>
    <row r="39" spans="2:47" x14ac:dyDescent="0.2">
      <c r="B39" s="1">
        <v>12.441546000000001</v>
      </c>
      <c r="C39">
        <f>167500000*(1/48000000)</f>
        <v>3.4895833333333335</v>
      </c>
      <c r="F39">
        <f>198294000*(1/48000000)</f>
        <v>4.1311249999999999</v>
      </c>
      <c r="H39" s="1">
        <v>9.4764959999999991</v>
      </c>
      <c r="K39" s="1">
        <v>6.8689530000000003</v>
      </c>
      <c r="L39">
        <f>319490000*(1/48000000)</f>
        <v>6.6560416666666669</v>
      </c>
      <c r="N39" s="1">
        <v>5.7340650000000002</v>
      </c>
      <c r="O39">
        <f>465939000*(1/48000000)</f>
        <v>9.707062500000001</v>
      </c>
      <c r="Q39" s="1">
        <v>2.1277140000000001</v>
      </c>
      <c r="R39">
        <f>780506000*(1/48000000)</f>
        <v>16.260541666666668</v>
      </c>
      <c r="T39" s="1">
        <v>1.481689</v>
      </c>
      <c r="W39" s="1">
        <v>0.70308499999999996</v>
      </c>
      <c r="X39">
        <f>1240509000*(1/48000000)</f>
        <v>25.843937500000003</v>
      </c>
      <c r="Z39" s="1">
        <v>0.54982699999999995</v>
      </c>
      <c r="AA39">
        <f>1523139000*(1/48000000)</f>
        <v>31.732062500000001</v>
      </c>
      <c r="AC39" s="1">
        <v>0.14438200000000001</v>
      </c>
      <c r="AD39" s="1">
        <f t="shared" si="0"/>
        <v>0.14438200000000001</v>
      </c>
      <c r="AG39" s="1">
        <v>0.29675099999999999</v>
      </c>
      <c r="AH39" s="1">
        <f t="shared" si="1"/>
        <v>0.29675099999999999</v>
      </c>
      <c r="AI39">
        <f>4540884000*(1/48000000)</f>
        <v>94.60175000000001</v>
      </c>
      <c r="AK39" s="1">
        <v>0.46054400000000001</v>
      </c>
      <c r="AL39">
        <f t="shared" si="2"/>
        <v>0.46054400000000001</v>
      </c>
      <c r="AO39" s="1">
        <v>0.16509499999999999</v>
      </c>
      <c r="AP39" s="1">
        <f t="shared" si="3"/>
        <v>0.16509499999999999</v>
      </c>
      <c r="AQ39">
        <f>12187781000*(1/48000000)</f>
        <v>253.91210416666669</v>
      </c>
      <c r="AS39" s="1">
        <v>0.17163500000000001</v>
      </c>
      <c r="AT39" s="1">
        <f t="shared" si="4"/>
        <v>0.17163500000000001</v>
      </c>
      <c r="AU39">
        <f>15214017000*(1/48000000)</f>
        <v>316.9586875</v>
      </c>
    </row>
    <row r="40" spans="2:47" x14ac:dyDescent="0.2">
      <c r="B40" s="1">
        <v>12.345351000000001</v>
      </c>
      <c r="C40">
        <f>167162000*(1/48000000)</f>
        <v>3.4825416666666671</v>
      </c>
      <c r="F40">
        <f>198218000*(1/48000000)</f>
        <v>4.1295416666666673</v>
      </c>
      <c r="H40" s="1">
        <v>10.408101</v>
      </c>
      <c r="K40" s="1">
        <v>6.7417319999999998</v>
      </c>
      <c r="L40">
        <f>319405000*(1/48000000)</f>
        <v>6.6542708333333334</v>
      </c>
      <c r="N40" s="1">
        <v>4.918615</v>
      </c>
      <c r="O40">
        <f>465347000*(1/48000000)</f>
        <v>9.6947291666666668</v>
      </c>
      <c r="Q40" s="1">
        <v>1.5940129999999999</v>
      </c>
      <c r="R40">
        <f>779765000*(1/48000000)</f>
        <v>16.245104166666668</v>
      </c>
      <c r="T40" s="1">
        <v>2.3840330000000001</v>
      </c>
      <c r="W40" s="1">
        <v>1.29745</v>
      </c>
      <c r="X40">
        <f>1245669000*(1/48000000)</f>
        <v>25.951437500000001</v>
      </c>
      <c r="Z40" s="1">
        <v>1.375167</v>
      </c>
      <c r="AA40">
        <f>1522539000*(1/48000000)</f>
        <v>31.719562500000002</v>
      </c>
      <c r="AC40" s="1">
        <v>0.37044100000000002</v>
      </c>
      <c r="AD40" s="1">
        <f t="shared" si="0"/>
        <v>0.37044100000000002</v>
      </c>
      <c r="AG40" s="1">
        <v>0.12828999999999999</v>
      </c>
      <c r="AH40" s="1">
        <f t="shared" si="1"/>
        <v>0.12828999999999999</v>
      </c>
      <c r="AI40">
        <f>4537790000*(1/48000000)</f>
        <v>94.537291666666675</v>
      </c>
      <c r="AK40" s="1">
        <v>-2.7824999999999999E-2</v>
      </c>
      <c r="AL40">
        <f t="shared" si="2"/>
        <v>2.7824999999999999E-2</v>
      </c>
      <c r="AO40" s="1">
        <v>-2.9080000000000002E-2</v>
      </c>
      <c r="AP40" s="1">
        <f t="shared" si="3"/>
        <v>2.9080000000000002E-2</v>
      </c>
      <c r="AQ40">
        <f>12269348000*(1/48000000)</f>
        <v>255.61141666666668</v>
      </c>
      <c r="AS40" s="1">
        <v>4.7773999999999997E-2</v>
      </c>
      <c r="AT40" s="1">
        <f t="shared" si="4"/>
        <v>4.7773999999999997E-2</v>
      </c>
      <c r="AU40">
        <f>15207723000*(1/48000000)</f>
        <v>316.8275625</v>
      </c>
    </row>
    <row r="41" spans="2:47" x14ac:dyDescent="0.2">
      <c r="B41" s="1">
        <v>12.369047999999999</v>
      </c>
      <c r="C41">
        <f>167988000*(1/48000000)</f>
        <v>3.4997500000000001</v>
      </c>
      <c r="F41">
        <f>197886000*(1/48000000)</f>
        <v>4.1226250000000002</v>
      </c>
      <c r="H41" s="1">
        <v>9.9880750000000003</v>
      </c>
      <c r="K41" s="1">
        <v>6.7453539999999998</v>
      </c>
      <c r="L41">
        <f>319684000*(1/48000000)</f>
        <v>6.6600833333333336</v>
      </c>
      <c r="N41" s="1">
        <v>5.5791329999999997</v>
      </c>
      <c r="O41">
        <f>465410000*(1/48000000)</f>
        <v>9.6960416666666678</v>
      </c>
      <c r="Q41" s="1">
        <v>2.553058</v>
      </c>
      <c r="R41">
        <f>781565000*(1/48000000)</f>
        <v>16.282604166666669</v>
      </c>
      <c r="T41" s="1">
        <v>2.561896</v>
      </c>
      <c r="W41" s="1">
        <v>0.84023499999999995</v>
      </c>
      <c r="X41">
        <f>1235558000*(1/48000000)</f>
        <v>25.740791666666667</v>
      </c>
      <c r="Z41" s="1">
        <v>1.5898650000000001</v>
      </c>
      <c r="AA41">
        <f>1523951000*(1/48000000)</f>
        <v>31.748979166666668</v>
      </c>
      <c r="AC41" s="1">
        <v>0.22267000000000001</v>
      </c>
      <c r="AD41" s="1">
        <f t="shared" si="0"/>
        <v>0.22267000000000001</v>
      </c>
      <c r="AG41" s="1">
        <v>0.22892299999999999</v>
      </c>
      <c r="AH41" s="1">
        <f t="shared" si="1"/>
        <v>0.22892299999999999</v>
      </c>
      <c r="AI41">
        <f>4536463000*(1/48000000)</f>
        <v>94.509645833333337</v>
      </c>
      <c r="AK41" s="1">
        <v>-0.27183000000000002</v>
      </c>
      <c r="AL41">
        <f t="shared" si="2"/>
        <v>0.27183000000000002</v>
      </c>
      <c r="AO41" s="1">
        <v>-0.78706399999999999</v>
      </c>
      <c r="AP41" s="1">
        <f t="shared" si="3"/>
        <v>0.78706399999999999</v>
      </c>
      <c r="AQ41">
        <f>12273354000*(1/48000000)</f>
        <v>255.69487500000002</v>
      </c>
      <c r="AS41" s="1">
        <v>-0.50927699999999998</v>
      </c>
      <c r="AT41" s="1">
        <f t="shared" si="4"/>
        <v>0.50927699999999998</v>
      </c>
      <c r="AU41">
        <f>15206055000*(1/48000000)</f>
        <v>316.79281250000003</v>
      </c>
    </row>
    <row r="42" spans="2:47" x14ac:dyDescent="0.2">
      <c r="B42" s="1">
        <v>12.710091</v>
      </c>
      <c r="C42">
        <f>167988000*(1/48000000)</f>
        <v>3.4997500000000001</v>
      </c>
      <c r="F42">
        <f>197305000*(1/48000000)</f>
        <v>4.1105208333333332</v>
      </c>
      <c r="H42" s="1">
        <v>10.25277</v>
      </c>
      <c r="K42" s="1">
        <v>6.5086940000000002</v>
      </c>
      <c r="L42">
        <f>320076000*(1/48000000)</f>
        <v>6.6682500000000005</v>
      </c>
      <c r="N42" s="1">
        <v>4.6757609999999996</v>
      </c>
      <c r="O42">
        <f>465309000*(1/48000000)</f>
        <v>9.6939375000000005</v>
      </c>
      <c r="Q42" s="1">
        <v>1.702798</v>
      </c>
      <c r="R42">
        <f>784594000*(1/48000000)</f>
        <v>16.345708333333334</v>
      </c>
      <c r="T42" s="1">
        <v>1.9150609999999999</v>
      </c>
      <c r="W42" s="1">
        <v>0.91824700000000004</v>
      </c>
      <c r="X42">
        <f>1240825000*(1/48000000)</f>
        <v>25.850520833333334</v>
      </c>
      <c r="Z42" s="1">
        <v>0.993753</v>
      </c>
      <c r="AA42">
        <f>1519376000*(1/48000000)</f>
        <v>31.65366666666667</v>
      </c>
      <c r="AC42" s="1">
        <v>0.23821300000000001</v>
      </c>
      <c r="AD42" s="1">
        <f t="shared" si="0"/>
        <v>0.23821300000000001</v>
      </c>
      <c r="AG42" s="1">
        <v>0.35724099999999998</v>
      </c>
      <c r="AH42" s="1">
        <f t="shared" si="1"/>
        <v>0.35724099999999998</v>
      </c>
      <c r="AI42">
        <f>4545729000*(1/48000000)</f>
        <v>94.70268750000001</v>
      </c>
      <c r="AK42" s="1">
        <v>-0.216227</v>
      </c>
      <c r="AL42">
        <f t="shared" si="2"/>
        <v>0.216227</v>
      </c>
      <c r="AO42" s="1">
        <v>0.16717799999999999</v>
      </c>
      <c r="AP42" s="1">
        <f t="shared" si="3"/>
        <v>0.16717799999999999</v>
      </c>
      <c r="AQ42">
        <f>12260423000*(1/48000000)</f>
        <v>255.42547916666669</v>
      </c>
      <c r="AS42" s="1">
        <v>-0.40429300000000001</v>
      </c>
      <c r="AT42" s="1">
        <f t="shared" si="4"/>
        <v>0.40429300000000001</v>
      </c>
      <c r="AU42">
        <f>15208215000*(1/48000000)</f>
        <v>316.83781250000004</v>
      </c>
    </row>
    <row r="43" spans="2:47" x14ac:dyDescent="0.2">
      <c r="B43" s="1">
        <v>12.147857999999999</v>
      </c>
      <c r="C43">
        <f>167968000*(1/48000000)</f>
        <v>3.4993333333333334</v>
      </c>
      <c r="F43">
        <f>197981000*(1/48000000)</f>
        <v>4.1246041666666668</v>
      </c>
      <c r="H43" s="1">
        <v>10.480855999999999</v>
      </c>
      <c r="K43" s="1">
        <v>6.1243150000000002</v>
      </c>
      <c r="L43">
        <f>318777000*(1/48000000)</f>
        <v>6.6411875</v>
      </c>
      <c r="N43" s="1">
        <v>5.433891</v>
      </c>
      <c r="O43">
        <f>463166000*(1/48000000)</f>
        <v>9.6492916666666666</v>
      </c>
      <c r="Q43" s="1">
        <v>2.2105679999999999</v>
      </c>
      <c r="R43">
        <f>779999000*(1/48000000)</f>
        <v>16.249979166666666</v>
      </c>
      <c r="T43" s="1">
        <v>2.2028400000000001</v>
      </c>
      <c r="W43" s="1">
        <v>0.89390499999999995</v>
      </c>
      <c r="X43">
        <f>1245498000*(1/48000000)</f>
        <v>25.947875</v>
      </c>
      <c r="Z43" s="1">
        <v>1.1352709999999999</v>
      </c>
      <c r="AA43">
        <f>1524880000*(1/48000000)</f>
        <v>31.768333333333334</v>
      </c>
      <c r="AC43" s="1">
        <v>0.31197799999999998</v>
      </c>
      <c r="AD43" s="1">
        <f t="shared" si="0"/>
        <v>0.31197799999999998</v>
      </c>
      <c r="AG43" s="1">
        <v>0.16128600000000001</v>
      </c>
      <c r="AH43" s="1">
        <f t="shared" si="1"/>
        <v>0.16128600000000001</v>
      </c>
      <c r="AI43">
        <f>4526498000*(1/48000000)</f>
        <v>94.302041666666668</v>
      </c>
      <c r="AK43" s="1">
        <v>-0.13963600000000001</v>
      </c>
      <c r="AL43">
        <f t="shared" si="2"/>
        <v>0.13963600000000001</v>
      </c>
      <c r="AO43" s="1">
        <v>0.19422</v>
      </c>
      <c r="AP43" s="1">
        <f t="shared" si="3"/>
        <v>0.19422</v>
      </c>
      <c r="AQ43">
        <f>12267907000*(1/48000000)</f>
        <v>255.58139583333335</v>
      </c>
      <c r="AS43" s="1">
        <v>0.53072200000000003</v>
      </c>
      <c r="AT43" s="1">
        <f t="shared" si="4"/>
        <v>0.53072200000000003</v>
      </c>
      <c r="AU43">
        <f>15203158000*(1/48000000)</f>
        <v>316.73245833333334</v>
      </c>
    </row>
    <row r="44" spans="2:47" x14ac:dyDescent="0.2">
      <c r="B44" s="1">
        <v>12.213573</v>
      </c>
      <c r="C44">
        <f>167401000*(1/48000000)</f>
        <v>3.4875208333333334</v>
      </c>
      <c r="F44">
        <f>197827000*(1/48000000)</f>
        <v>4.1213958333333336</v>
      </c>
      <c r="H44" s="1">
        <v>10.144806000000001</v>
      </c>
      <c r="K44" s="1">
        <v>6.7023789999999996</v>
      </c>
      <c r="L44">
        <f>319576000*(1/48000000)</f>
        <v>6.6578333333333335</v>
      </c>
      <c r="N44" s="1">
        <v>5.9378739999999999</v>
      </c>
      <c r="O44">
        <f>463320000*(1/48000000)</f>
        <v>9.6524999999999999</v>
      </c>
      <c r="Q44" s="1">
        <v>2.806368</v>
      </c>
      <c r="R44">
        <f>782233000*(1/48000000)</f>
        <v>16.296520833333336</v>
      </c>
      <c r="T44" s="1">
        <v>2.235922</v>
      </c>
      <c r="W44" s="1">
        <v>1.037207</v>
      </c>
      <c r="X44">
        <f>1242841000*(1/48000000)</f>
        <v>25.892520833333336</v>
      </c>
      <c r="Z44" s="1">
        <v>1.030511</v>
      </c>
      <c r="AA44">
        <f>1521209000*(1/48000000)</f>
        <v>31.691854166666669</v>
      </c>
      <c r="AC44" s="1">
        <v>0.12873899999999999</v>
      </c>
      <c r="AD44" s="1">
        <f t="shared" si="0"/>
        <v>0.12873899999999999</v>
      </c>
      <c r="AG44" s="1">
        <v>0.198184</v>
      </c>
      <c r="AH44" s="1">
        <f t="shared" si="1"/>
        <v>0.198184</v>
      </c>
      <c r="AI44">
        <f>4542400000*(1/48000000)</f>
        <v>94.63333333333334</v>
      </c>
      <c r="AK44" s="1">
        <v>-3.7462000000000002E-2</v>
      </c>
      <c r="AL44">
        <f t="shared" si="2"/>
        <v>3.7462000000000002E-2</v>
      </c>
      <c r="AO44" s="1">
        <v>0.14002899999999999</v>
      </c>
      <c r="AP44" s="1">
        <f t="shared" si="3"/>
        <v>0.14002899999999999</v>
      </c>
      <c r="AQ44">
        <f>12273430000*(1/48000000)</f>
        <v>255.69645833333334</v>
      </c>
      <c r="AS44" s="1">
        <v>0.68113900000000005</v>
      </c>
      <c r="AT44" s="1">
        <f t="shared" si="4"/>
        <v>0.68113900000000005</v>
      </c>
      <c r="AU44">
        <f>15200022000*(1/48000000)</f>
        <v>316.667125</v>
      </c>
    </row>
    <row r="45" spans="2:47" x14ac:dyDescent="0.2">
      <c r="B45" s="1">
        <v>12.432429000000001</v>
      </c>
      <c r="C45">
        <f>167929000*(1/48000000)</f>
        <v>3.4985208333333335</v>
      </c>
      <c r="F45">
        <f>197581000*(1/48000000)</f>
        <v>4.116270833333334</v>
      </c>
      <c r="H45" s="1">
        <v>9.6073819999999994</v>
      </c>
      <c r="K45" s="1">
        <v>6.5943849999999999</v>
      </c>
      <c r="L45">
        <f>318821000*(1/48000000)</f>
        <v>6.6421041666666669</v>
      </c>
      <c r="N45" s="1">
        <v>5.4849399999999999</v>
      </c>
      <c r="O45">
        <f>464832000*(1/48000000)</f>
        <v>9.6840000000000011</v>
      </c>
      <c r="Q45" s="1">
        <v>1.817026</v>
      </c>
      <c r="R45">
        <f>779459000*(1/48000000)</f>
        <v>16.238729166666669</v>
      </c>
      <c r="T45" s="1">
        <v>1.9428840000000001</v>
      </c>
      <c r="W45" s="1">
        <v>1.1637660000000001</v>
      </c>
      <c r="X45">
        <f>1244115000*(1/48000000)</f>
        <v>25.919062500000003</v>
      </c>
      <c r="Z45" s="1">
        <v>0.80371999999999999</v>
      </c>
      <c r="AA45">
        <f>1523085000*(1/48000000)</f>
        <v>31.730937500000003</v>
      </c>
      <c r="AC45" s="1">
        <v>0.70138100000000003</v>
      </c>
      <c r="AD45" s="1">
        <f t="shared" si="0"/>
        <v>0.70138100000000003</v>
      </c>
      <c r="AG45" s="1">
        <v>3.9090000000000001E-3</v>
      </c>
      <c r="AH45" s="1">
        <f t="shared" si="1"/>
        <v>3.9090000000000001E-3</v>
      </c>
      <c r="AI45">
        <f>4538508000*(1/48000000)</f>
        <v>94.552250000000001</v>
      </c>
      <c r="AK45" s="1">
        <v>8.0038999999999999E-2</v>
      </c>
      <c r="AL45">
        <f t="shared" si="2"/>
        <v>8.0038999999999999E-2</v>
      </c>
      <c r="AO45" s="1">
        <v>-2.9073999999999999E-2</v>
      </c>
      <c r="AP45" s="1">
        <f t="shared" si="3"/>
        <v>2.9073999999999999E-2</v>
      </c>
      <c r="AQ45">
        <f>12274238000*(1/48000000)</f>
        <v>255.71329166666669</v>
      </c>
      <c r="AS45" s="1">
        <v>0.26613900000000001</v>
      </c>
      <c r="AT45" s="1">
        <f t="shared" si="4"/>
        <v>0.26613900000000001</v>
      </c>
      <c r="AU45">
        <f>15203721000*(1/48000000)</f>
        <v>316.74418750000001</v>
      </c>
    </row>
    <row r="46" spans="2:47" x14ac:dyDescent="0.2">
      <c r="B46" s="1">
        <v>12.820887000000001</v>
      </c>
      <c r="C46">
        <f>168200000*(1/48000000)</f>
        <v>3.5041666666666669</v>
      </c>
      <c r="F46">
        <f>197741000*(1/48000000)</f>
        <v>4.119604166666667</v>
      </c>
      <c r="H46" s="1">
        <v>9.6891300000000005</v>
      </c>
      <c r="K46" s="1">
        <v>6.6199180000000002</v>
      </c>
      <c r="L46">
        <f>319590000*(1/48000000)</f>
        <v>6.6581250000000001</v>
      </c>
      <c r="N46" s="1">
        <v>4.8941819999999998</v>
      </c>
      <c r="O46">
        <f>463233000*(1/48000000)</f>
        <v>9.6506875000000001</v>
      </c>
      <c r="Q46" s="1">
        <v>2.2050010000000002</v>
      </c>
      <c r="R46">
        <f>782972000*(1/48000000)</f>
        <v>16.311916666666669</v>
      </c>
      <c r="T46" s="1">
        <v>2.6998920000000002</v>
      </c>
      <c r="W46" s="1">
        <v>1.167856</v>
      </c>
      <c r="X46">
        <f>1241045000*(1/48000000)</f>
        <v>25.855104166666667</v>
      </c>
      <c r="Z46" s="1">
        <v>0.96322300000000005</v>
      </c>
      <c r="AA46">
        <f>1520498000*(1/48000000)</f>
        <v>31.677041666666668</v>
      </c>
      <c r="AC46" s="1">
        <v>-0.17752599999999999</v>
      </c>
      <c r="AD46" s="1">
        <f t="shared" si="0"/>
        <v>0.17752599999999999</v>
      </c>
      <c r="AG46" s="1">
        <v>0.34598200000000001</v>
      </c>
      <c r="AH46" s="1">
        <f t="shared" si="1"/>
        <v>0.34598200000000001</v>
      </c>
      <c r="AI46">
        <f>4548173000*(1/48000000)</f>
        <v>94.753604166666676</v>
      </c>
      <c r="AK46" s="1">
        <v>-0.20643900000000001</v>
      </c>
      <c r="AL46">
        <f t="shared" si="2"/>
        <v>0.20643900000000001</v>
      </c>
      <c r="AO46" s="1">
        <v>-2.6349999999999998E-2</v>
      </c>
      <c r="AP46" s="1">
        <f t="shared" si="3"/>
        <v>2.6349999999999998E-2</v>
      </c>
      <c r="AQ46">
        <f>12238702000*(1/48000000)</f>
        <v>254.97295833333334</v>
      </c>
      <c r="AS46" s="1">
        <v>-0.64335299999999995</v>
      </c>
      <c r="AT46" s="1">
        <f t="shared" si="4"/>
        <v>0.64335299999999995</v>
      </c>
      <c r="AU46">
        <f>15219677000*(1/48000000)</f>
        <v>317.0766041666667</v>
      </c>
    </row>
    <row r="47" spans="2:47" x14ac:dyDescent="0.2">
      <c r="B47" s="1">
        <v>12.730231</v>
      </c>
      <c r="C47">
        <f>167643000*(1/48000000)</f>
        <v>3.4925625</v>
      </c>
      <c r="F47">
        <f>198049000*(1/48000000)</f>
        <v>4.1260208333333335</v>
      </c>
      <c r="H47" s="1">
        <v>10.170688</v>
      </c>
      <c r="K47" s="1">
        <v>6.7134600000000004</v>
      </c>
      <c r="L47">
        <f>319990000*(1/48000000)</f>
        <v>6.6664583333333338</v>
      </c>
      <c r="N47" s="1">
        <v>5.1028900000000004</v>
      </c>
      <c r="O47">
        <f>462401000*(1/48000000)</f>
        <v>9.6333541666666669</v>
      </c>
      <c r="Q47" s="1">
        <v>2.2039819999999999</v>
      </c>
      <c r="R47">
        <f>781805000*(1/48000000)</f>
        <v>16.287604166666668</v>
      </c>
      <c r="T47" s="1">
        <v>2.8526720000000001</v>
      </c>
      <c r="W47" s="1">
        <v>0.800543</v>
      </c>
      <c r="X47">
        <f>1241089000*(1/48000000)</f>
        <v>25.856020833333336</v>
      </c>
      <c r="Z47" s="1">
        <v>1.021169</v>
      </c>
      <c r="AA47">
        <f>1521709000*(1/48000000)</f>
        <v>31.702270833333337</v>
      </c>
      <c r="AC47" s="1">
        <v>0.62882800000000005</v>
      </c>
      <c r="AD47" s="1">
        <f t="shared" si="0"/>
        <v>0.62882800000000005</v>
      </c>
      <c r="AG47" s="1">
        <v>0.27593000000000001</v>
      </c>
      <c r="AH47" s="1">
        <f t="shared" si="1"/>
        <v>0.27593000000000001</v>
      </c>
      <c r="AI47">
        <f>4531728000*(1/48000000)</f>
        <v>94.411000000000001</v>
      </c>
      <c r="AK47" s="1">
        <v>4.0431000000000002E-2</v>
      </c>
      <c r="AL47">
        <f t="shared" si="2"/>
        <v>4.0431000000000002E-2</v>
      </c>
      <c r="AO47" s="1">
        <v>0.24361099999999999</v>
      </c>
      <c r="AP47" s="1">
        <f t="shared" si="3"/>
        <v>0.24361099999999999</v>
      </c>
      <c r="AQ47">
        <f>12282059000*(1/48000000)</f>
        <v>255.87622916666669</v>
      </c>
      <c r="AS47" s="1">
        <v>0.61881799999999998</v>
      </c>
      <c r="AT47" s="1">
        <f t="shared" si="4"/>
        <v>0.61881799999999998</v>
      </c>
      <c r="AU47">
        <f>15206499000*(1/48000000)</f>
        <v>316.80206250000003</v>
      </c>
    </row>
    <row r="48" spans="2:47" x14ac:dyDescent="0.2">
      <c r="B48" s="1">
        <v>12.398337</v>
      </c>
      <c r="C48">
        <f>168361000*(1/48000000)</f>
        <v>3.5075208333333334</v>
      </c>
      <c r="F48">
        <f>198230000*(1/48000000)</f>
        <v>4.1297916666666667</v>
      </c>
      <c r="H48" s="1">
        <v>10.269909</v>
      </c>
      <c r="K48" s="1">
        <v>6.9374840000000004</v>
      </c>
      <c r="L48">
        <f>319080000*(1/48000000)</f>
        <v>6.6475</v>
      </c>
      <c r="N48" s="1">
        <v>5.5923080000000001</v>
      </c>
      <c r="O48">
        <f>465712000*(1/48000000)</f>
        <v>9.7023333333333337</v>
      </c>
      <c r="Q48" s="1">
        <v>2.1770269999999998</v>
      </c>
      <c r="R48">
        <f>781215000*(1/48000000)</f>
        <v>16.275312500000002</v>
      </c>
      <c r="T48" s="1">
        <v>2.2228850000000002</v>
      </c>
      <c r="W48" s="1">
        <v>0.28195199999999998</v>
      </c>
      <c r="X48">
        <f>1243095000*(1/48000000)</f>
        <v>25.897812500000001</v>
      </c>
      <c r="Z48" s="1">
        <v>0.55967999999999996</v>
      </c>
      <c r="AA48">
        <f>1516249000*(1/48000000)</f>
        <v>31.588520833333334</v>
      </c>
      <c r="AC48" s="1">
        <v>2.4368999999999998E-2</v>
      </c>
      <c r="AD48" s="1">
        <f t="shared" si="0"/>
        <v>2.4368999999999998E-2</v>
      </c>
      <c r="AG48" s="1">
        <v>0.68227700000000002</v>
      </c>
      <c r="AH48" s="1">
        <f t="shared" si="1"/>
        <v>0.68227700000000002</v>
      </c>
      <c r="AI48">
        <f>4531937000*(1/48000000)</f>
        <v>94.415354166666674</v>
      </c>
      <c r="AK48" s="1">
        <v>-0.29838700000000001</v>
      </c>
      <c r="AL48">
        <f t="shared" si="2"/>
        <v>0.29838700000000001</v>
      </c>
      <c r="AO48" s="1">
        <v>-0.152559</v>
      </c>
      <c r="AP48" s="1">
        <f t="shared" si="3"/>
        <v>0.152559</v>
      </c>
      <c r="AQ48">
        <f>12274123000*(1/48000000)</f>
        <v>255.71089583333335</v>
      </c>
      <c r="AS48" s="1">
        <v>-4.4553000000000002E-2</v>
      </c>
      <c r="AT48" s="1">
        <f t="shared" si="4"/>
        <v>4.4553000000000002E-2</v>
      </c>
      <c r="AU48">
        <f>15198844000*(1/48000000)</f>
        <v>316.64258333333333</v>
      </c>
    </row>
    <row r="49" spans="1:47" x14ac:dyDescent="0.2">
      <c r="B49" s="1">
        <v>12.51454</v>
      </c>
      <c r="C49">
        <f>167821000*(1/48000000)</f>
        <v>3.4962708333333334</v>
      </c>
      <c r="F49">
        <f>197785000*(1/48000000)</f>
        <v>4.1205208333333339</v>
      </c>
      <c r="H49" s="1">
        <v>10.490838999999999</v>
      </c>
      <c r="K49" s="1">
        <v>6.4969710000000003</v>
      </c>
      <c r="L49">
        <f>319984000*(1/48000000)</f>
        <v>6.6663333333333341</v>
      </c>
      <c r="N49" s="1">
        <v>5.7057349999999998</v>
      </c>
      <c r="O49">
        <f>463186000*(1/48000000)</f>
        <v>9.6497083333333347</v>
      </c>
      <c r="Q49" s="1">
        <v>1.692761</v>
      </c>
      <c r="R49">
        <f>780326000*(1/48000000)</f>
        <v>16.256791666666668</v>
      </c>
      <c r="T49" s="1">
        <v>3.2715179999999999</v>
      </c>
      <c r="W49" s="1">
        <v>1.2946200000000001</v>
      </c>
      <c r="X49">
        <f>1244157000*(1/48000000)</f>
        <v>25.919937500000003</v>
      </c>
      <c r="Z49" s="1">
        <v>0.71004599999999995</v>
      </c>
      <c r="AA49">
        <f>1525846000*(1/48000000)</f>
        <v>31.788458333333335</v>
      </c>
      <c r="AC49" s="1">
        <v>9.3159000000000006E-2</v>
      </c>
      <c r="AD49" s="1">
        <f t="shared" si="0"/>
        <v>9.3159000000000006E-2</v>
      </c>
      <c r="AG49" s="1">
        <v>0.11756800000000001</v>
      </c>
      <c r="AH49" s="1">
        <f t="shared" si="1"/>
        <v>0.11756800000000001</v>
      </c>
      <c r="AI49">
        <f>4537944000*(1/48000000)</f>
        <v>94.540500000000009</v>
      </c>
      <c r="AK49" s="1">
        <v>-0.130967</v>
      </c>
      <c r="AL49">
        <f t="shared" si="2"/>
        <v>0.130967</v>
      </c>
      <c r="AO49" s="1">
        <v>4.1123E-2</v>
      </c>
      <c r="AP49" s="1">
        <f t="shared" si="3"/>
        <v>4.1123E-2</v>
      </c>
      <c r="AQ49">
        <f>12273318000*(1/48000000)</f>
        <v>255.69412500000001</v>
      </c>
      <c r="AS49" s="1">
        <v>-0.673315</v>
      </c>
      <c r="AT49" s="1">
        <f t="shared" si="4"/>
        <v>0.673315</v>
      </c>
      <c r="AU49">
        <f>15211651000*(1/48000000)</f>
        <v>316.90939583333335</v>
      </c>
    </row>
    <row r="50" spans="1:47" x14ac:dyDescent="0.2">
      <c r="B50" s="1">
        <v>12.518768</v>
      </c>
      <c r="C50">
        <f>167833000*(1/48000000)</f>
        <v>3.4965208333333337</v>
      </c>
      <c r="F50">
        <f>198979000*(1/48000000)</f>
        <v>4.1453958333333336</v>
      </c>
      <c r="H50" s="1">
        <v>10.163921</v>
      </c>
      <c r="K50" s="1">
        <v>6.8669500000000001</v>
      </c>
      <c r="L50">
        <f>319134000*(1/48000000)</f>
        <v>6.648625</v>
      </c>
      <c r="N50" s="1">
        <v>5.1161099999999999</v>
      </c>
      <c r="O50">
        <f>463676000*(1/48000000)</f>
        <v>9.6599166666666676</v>
      </c>
      <c r="Q50" s="1">
        <v>2.7317330000000002</v>
      </c>
      <c r="R50">
        <f>780071000*(1/48000000)</f>
        <v>16.251479166666666</v>
      </c>
      <c r="T50" s="1">
        <v>2.2283230000000001</v>
      </c>
      <c r="W50" s="1">
        <v>0.51022199999999995</v>
      </c>
      <c r="X50">
        <f>1242288000*(1/48000000)</f>
        <v>25.881</v>
      </c>
      <c r="Z50" s="1">
        <v>0.83358600000000005</v>
      </c>
      <c r="AA50">
        <f>1513543000*(1/48000000)</f>
        <v>31.532145833333335</v>
      </c>
      <c r="AC50" s="1">
        <v>9.7430000000000003E-2</v>
      </c>
      <c r="AD50" s="1">
        <f t="shared" si="0"/>
        <v>9.7430000000000003E-2</v>
      </c>
      <c r="AG50" s="1">
        <v>0.236069</v>
      </c>
      <c r="AH50" s="1">
        <f t="shared" si="1"/>
        <v>0.236069</v>
      </c>
      <c r="AI50">
        <f>4545563000*(1/48000000)</f>
        <v>94.699229166666669</v>
      </c>
      <c r="AK50" s="1">
        <v>-3.8955999999999998E-2</v>
      </c>
      <c r="AL50">
        <f t="shared" si="2"/>
        <v>3.8955999999999998E-2</v>
      </c>
      <c r="AO50" s="1">
        <v>-6.2193999999999999E-2</v>
      </c>
      <c r="AP50" s="1">
        <f t="shared" si="3"/>
        <v>6.2193999999999999E-2</v>
      </c>
      <c r="AQ50">
        <f>12257412000*(1/48000000)</f>
        <v>255.36275000000001</v>
      </c>
      <c r="AS50" s="1">
        <v>-1.2031700000000001</v>
      </c>
      <c r="AT50" s="1">
        <f t="shared" si="4"/>
        <v>1.2031700000000001</v>
      </c>
      <c r="AU50">
        <f>15206054000*(1/48000000)</f>
        <v>316.79279166666669</v>
      </c>
    </row>
    <row r="51" spans="1:47" x14ac:dyDescent="0.2">
      <c r="B51" s="1">
        <v>12.478498999999999</v>
      </c>
      <c r="C51">
        <f>167030000*(1/48000000)</f>
        <v>3.4797916666666668</v>
      </c>
      <c r="F51">
        <f>198455000*(1/48000000)</f>
        <v>4.1344791666666669</v>
      </c>
      <c r="H51" s="1">
        <v>10.488237</v>
      </c>
      <c r="K51" s="1">
        <v>6.3928700000000003</v>
      </c>
      <c r="L51">
        <f>319939000*(1/48000000)</f>
        <v>6.6653958333333341</v>
      </c>
      <c r="N51" s="1">
        <v>6.0135709999999998</v>
      </c>
      <c r="O51">
        <f>466314000*(1/48000000)</f>
        <v>9.714875000000001</v>
      </c>
      <c r="Q51" s="1">
        <v>1.990461</v>
      </c>
      <c r="R51">
        <f>780623000*(1/48000000)</f>
        <v>16.262979166666668</v>
      </c>
      <c r="T51" s="1">
        <v>2.4203510000000001</v>
      </c>
      <c r="W51" s="1">
        <v>0.93384199999999995</v>
      </c>
      <c r="X51">
        <f>1242890000*(1/48000000)</f>
        <v>25.893541666666668</v>
      </c>
      <c r="Z51" s="1">
        <v>0.82246300000000006</v>
      </c>
      <c r="AA51">
        <f>1522532000*(1/48000000)</f>
        <v>31.719416666666667</v>
      </c>
      <c r="AC51" s="1">
        <v>-0.107893</v>
      </c>
      <c r="AD51" s="1">
        <f t="shared" si="0"/>
        <v>0.107893</v>
      </c>
      <c r="AG51" s="1">
        <v>0.277584</v>
      </c>
      <c r="AH51" s="1">
        <f t="shared" si="1"/>
        <v>0.277584</v>
      </c>
      <c r="AI51">
        <f>4542369000*(1/48000000)</f>
        <v>94.632687500000003</v>
      </c>
      <c r="AK51" s="1">
        <v>-0.40304499999999999</v>
      </c>
      <c r="AL51">
        <f t="shared" si="2"/>
        <v>0.40304499999999999</v>
      </c>
      <c r="AO51" s="1">
        <v>-0.13542100000000001</v>
      </c>
      <c r="AP51" s="1">
        <f t="shared" si="3"/>
        <v>0.13542100000000001</v>
      </c>
      <c r="AQ51">
        <f>12266169000*(1/48000000)</f>
        <v>255.54518750000003</v>
      </c>
      <c r="AS51" s="1">
        <v>-0.55750900000000003</v>
      </c>
      <c r="AT51" s="1">
        <f t="shared" si="4"/>
        <v>0.55750900000000003</v>
      </c>
      <c r="AU51">
        <f>15194737000*(1/48000000)</f>
        <v>316.55702083333335</v>
      </c>
    </row>
    <row r="52" spans="1:47" x14ac:dyDescent="0.2">
      <c r="B52" s="1">
        <v>13.176069</v>
      </c>
      <c r="C52">
        <f>168343000*(1/48000000)</f>
        <v>3.5071458333333334</v>
      </c>
      <c r="F52">
        <f>197791000*(1/48000000)</f>
        <v>4.1206458333333336</v>
      </c>
      <c r="H52" s="1">
        <v>10.497375</v>
      </c>
      <c r="K52" s="1">
        <v>6.4707650000000001</v>
      </c>
      <c r="L52">
        <f>318456000*(1/48000000)</f>
        <v>6.6345000000000001</v>
      </c>
      <c r="N52" s="1">
        <v>5.6263620000000003</v>
      </c>
      <c r="O52">
        <f>464451000*(1/48000000)</f>
        <v>9.6760625000000005</v>
      </c>
      <c r="Q52" s="1">
        <v>1.795525</v>
      </c>
      <c r="R52">
        <f>780517000*(1/48000000)</f>
        <v>16.260770833333336</v>
      </c>
      <c r="T52" s="1"/>
      <c r="W52" s="1">
        <v>1.5471010000000001</v>
      </c>
      <c r="X52">
        <f>1237600000*(1/48000000)</f>
        <v>25.783333333333335</v>
      </c>
      <c r="Z52" s="1">
        <v>0.57497500000000001</v>
      </c>
      <c r="AA52">
        <f>1515357000*(1/48000000)</f>
        <v>31.569937500000002</v>
      </c>
      <c r="AC52" s="1">
        <v>0.25083899999999998</v>
      </c>
      <c r="AD52" s="1">
        <f t="shared" si="0"/>
        <v>0.25083899999999998</v>
      </c>
      <c r="AG52" s="1">
        <v>0.13435900000000001</v>
      </c>
      <c r="AH52" s="1">
        <f t="shared" si="1"/>
        <v>0.13435900000000001</v>
      </c>
      <c r="AI52">
        <f>4538069000*(1/48000000)</f>
        <v>94.543104166666666</v>
      </c>
      <c r="AO52" s="1">
        <v>-0.142959</v>
      </c>
      <c r="AP52" s="1">
        <f t="shared" si="3"/>
        <v>0.142959</v>
      </c>
      <c r="AQ52">
        <f>12263449000*(1/48000000)</f>
        <v>255.48852083333335</v>
      </c>
      <c r="AS52" s="1">
        <v>-0.35857899999999998</v>
      </c>
      <c r="AT52" s="1">
        <f t="shared" si="4"/>
        <v>0.35857899999999998</v>
      </c>
      <c r="AU52">
        <f>15201328000*(1/48000000)</f>
        <v>316.69433333333336</v>
      </c>
    </row>
    <row r="53" spans="1:47" x14ac:dyDescent="0.2">
      <c r="B53" s="1">
        <v>12.797357</v>
      </c>
      <c r="C53">
        <f>167743000*(1/48000000)</f>
        <v>3.4946458333333337</v>
      </c>
      <c r="F53">
        <f>197705000*(1/48000000)</f>
        <v>4.1188541666666669</v>
      </c>
      <c r="H53" s="1">
        <v>11.297141</v>
      </c>
      <c r="K53" s="1">
        <v>6.318918</v>
      </c>
      <c r="L53">
        <f>322129000*(1/48000000)</f>
        <v>6.7110208333333334</v>
      </c>
      <c r="N53" s="1">
        <v>5.3157750000000004</v>
      </c>
      <c r="O53">
        <f>464941000*(1/48000000)</f>
        <v>9.6862708333333334</v>
      </c>
      <c r="R53">
        <f>782147000*(1/48000000)</f>
        <v>16.294729166666666</v>
      </c>
      <c r="T53" s="1"/>
      <c r="W53" s="1">
        <v>0.89217299999999999</v>
      </c>
      <c r="X53">
        <f>1236813000*(1/48000000)</f>
        <v>25.766937500000001</v>
      </c>
      <c r="AA53">
        <f>1523120000*(1/48000000)</f>
        <v>31.731666666666669</v>
      </c>
      <c r="AC53" s="1">
        <v>-0.12945899999999999</v>
      </c>
      <c r="AD53" s="1">
        <f t="shared" si="0"/>
        <v>0.12945899999999999</v>
      </c>
      <c r="AG53" s="1">
        <v>0.66379299999999997</v>
      </c>
      <c r="AH53" s="1">
        <f t="shared" si="1"/>
        <v>0.66379299999999997</v>
      </c>
      <c r="AI53">
        <f>4537911000*(1/48000000)</f>
        <v>94.539812500000011</v>
      </c>
      <c r="AQ53">
        <f>12281844000*(1/48000000)</f>
        <v>255.87175000000002</v>
      </c>
      <c r="AS53" s="1">
        <v>0.56077399999999999</v>
      </c>
      <c r="AT53" s="1">
        <f t="shared" si="4"/>
        <v>0.56077399999999999</v>
      </c>
      <c r="AU53">
        <f>15210815000*(1/48000000)</f>
        <v>316.89197916666666</v>
      </c>
    </row>
    <row r="54" spans="1:47" x14ac:dyDescent="0.2">
      <c r="H54" s="1">
        <v>10.63772</v>
      </c>
      <c r="K54" s="1">
        <v>6.2123569999999999</v>
      </c>
      <c r="N54" s="1">
        <v>5.4419950000000004</v>
      </c>
      <c r="T54" s="1"/>
      <c r="W54" s="1">
        <v>0.837337</v>
      </c>
      <c r="AC54" s="1">
        <v>0.782721</v>
      </c>
      <c r="AD54" s="1">
        <f t="shared" si="0"/>
        <v>0.782721</v>
      </c>
      <c r="AG54" s="1">
        <v>0.56392699999999996</v>
      </c>
      <c r="AH54" s="1">
        <f t="shared" si="1"/>
        <v>0.56392699999999996</v>
      </c>
      <c r="AS54" s="1"/>
      <c r="AT54" s="1"/>
    </row>
    <row r="55" spans="1:47" x14ac:dyDescent="0.2">
      <c r="H55" s="1">
        <v>10.510061</v>
      </c>
      <c r="K55" s="1">
        <v>6.4152500000000003</v>
      </c>
      <c r="N55" s="1">
        <v>5.7480669999999998</v>
      </c>
      <c r="W55" s="1">
        <v>0.39676499999999998</v>
      </c>
      <c r="AG55" s="1"/>
      <c r="AS55" s="1"/>
      <c r="AT55" s="1"/>
    </row>
    <row r="56" spans="1:47" x14ac:dyDescent="0.2">
      <c r="A56" t="s">
        <v>8</v>
      </c>
      <c r="K56" s="1"/>
      <c r="N56" s="1">
        <v>5.1824599999999998</v>
      </c>
      <c r="W56" s="1"/>
      <c r="AG56" s="1"/>
      <c r="AS56" s="1"/>
    </row>
    <row r="57" spans="1:47" x14ac:dyDescent="0.2">
      <c r="K57" s="1"/>
      <c r="W57" s="1"/>
      <c r="AG57" s="1"/>
      <c r="AS57" s="1"/>
    </row>
    <row r="58" spans="1:47" x14ac:dyDescent="0.2">
      <c r="A58">
        <f>AVERAGE(A2:A53)</f>
        <v>989.3</v>
      </c>
      <c r="B58">
        <f t="shared" ref="B58:AM58" si="5">AVERAGE(B2:B53)</f>
        <v>12.69176648076923</v>
      </c>
      <c r="C58">
        <f t="shared" si="5"/>
        <v>3.5012291666666675</v>
      </c>
      <c r="E58" t="e">
        <f t="shared" si="5"/>
        <v>#DIV/0!</v>
      </c>
      <c r="I58" t="e">
        <f t="shared" si="5"/>
        <v>#DIV/0!</v>
      </c>
      <c r="M58">
        <f t="shared" si="5"/>
        <v>2933</v>
      </c>
      <c r="N58">
        <f t="shared" si="5"/>
        <v>5.474953442307692</v>
      </c>
      <c r="O58">
        <f t="shared" si="5"/>
        <v>9.6597099358974354</v>
      </c>
      <c r="U58" t="e">
        <f t="shared" si="5"/>
        <v>#DIV/0!</v>
      </c>
      <c r="AG58" s="1"/>
      <c r="AK58">
        <f t="shared" si="5"/>
        <v>-3.0697700000000001E-2</v>
      </c>
      <c r="AM58" t="e">
        <f t="shared" si="5"/>
        <v>#DIV/0!</v>
      </c>
    </row>
    <row r="59" spans="1:47" x14ac:dyDescent="0.2">
      <c r="A59">
        <f>AVERAGE(D2:D53)</f>
        <v>1193</v>
      </c>
      <c r="C59">
        <f>AVERAGE(F2:F53)</f>
        <v>4.1311330128205137</v>
      </c>
      <c r="K59" s="1"/>
      <c r="M59">
        <f>AVERAGE(P2:P53)</f>
        <v>5059</v>
      </c>
      <c r="N59">
        <f>AVERAGE(Q2:Q53)</f>
        <v>2.0893169411764703</v>
      </c>
      <c r="O59">
        <f>AVERAGE(R2:R53)</f>
        <v>16.276312900641031</v>
      </c>
      <c r="W59" s="1"/>
      <c r="AG59" s="1"/>
      <c r="AI59" s="1"/>
      <c r="AS59" s="1"/>
    </row>
    <row r="60" spans="1:47" x14ac:dyDescent="0.2">
      <c r="A60">
        <f>AVERAGE(G2:G53)</f>
        <v>1481</v>
      </c>
      <c r="B60">
        <f>AVERAGE(H2:H53)</f>
        <v>10.375069596153846</v>
      </c>
      <c r="K60" s="1"/>
      <c r="M60">
        <f>AVERAGE(S2:S53)</f>
        <v>6202</v>
      </c>
      <c r="N60">
        <f>AVERAGE(T2:T53)</f>
        <v>2.1632607600000004</v>
      </c>
      <c r="W60" s="1"/>
      <c r="AG60" s="1"/>
      <c r="AI60" s="1"/>
      <c r="AS60" s="1"/>
    </row>
    <row r="61" spans="1:47" x14ac:dyDescent="0.2">
      <c r="A61">
        <f>AVERAGE(J2:J53)</f>
        <v>1964.5</v>
      </c>
      <c r="B61">
        <f>AVERAGE(K2:K53)</f>
        <v>6.8515112549019612</v>
      </c>
      <c r="C61">
        <f>AVERAGE(L2:L53)</f>
        <v>6.6585116185897428</v>
      </c>
      <c r="K61" s="1"/>
      <c r="M61">
        <f>AVERAGE(V2:V53)</f>
        <v>8081</v>
      </c>
      <c r="N61">
        <f>AVERAGE(W2:W53)</f>
        <v>0.83067701923076898</v>
      </c>
      <c r="O61">
        <f>AVERAGE(X2:X53)</f>
        <v>25.885401842948731</v>
      </c>
      <c r="W61" s="1"/>
      <c r="AB61">
        <f>AVERAGE(AB2:AB53)</f>
        <v>19786</v>
      </c>
      <c r="AC61">
        <f>AVERAGE(AD2:AD53)</f>
        <v>0.28870784615384615</v>
      </c>
      <c r="AG61" s="1"/>
      <c r="AI61" s="1"/>
      <c r="AS61" s="1"/>
    </row>
    <row r="62" spans="1:47" x14ac:dyDescent="0.2">
      <c r="A62">
        <v>2933</v>
      </c>
      <c r="B62">
        <v>5.474953442307692</v>
      </c>
      <c r="C62">
        <v>9.6597099358974354</v>
      </c>
      <c r="K62" s="1"/>
      <c r="M62">
        <f>AVERAGE(Y2:Y53)</f>
        <v>9878</v>
      </c>
      <c r="N62">
        <f>AVERAGE(Z2:Z53)</f>
        <v>0.98977774509803917</v>
      </c>
      <c r="O62">
        <f>AVERAGE(AA2:AA53)</f>
        <v>31.754444711538458</v>
      </c>
      <c r="W62" s="1"/>
      <c r="AB62">
        <f>AVERAGE(AF2:AF53)</f>
        <v>29717</v>
      </c>
      <c r="AC62">
        <f>AVERAGE(AH2:AH53)</f>
        <v>0.25912930769230763</v>
      </c>
      <c r="AD62">
        <f>AVERAGE(AI2:AI53)</f>
        <v>94.561403846153851</v>
      </c>
      <c r="AG62" s="1"/>
      <c r="AI62" s="1"/>
      <c r="AS62" s="1"/>
    </row>
    <row r="63" spans="1:47" x14ac:dyDescent="0.2">
      <c r="A63">
        <v>5059</v>
      </c>
      <c r="B63">
        <v>2.0893169411764703</v>
      </c>
      <c r="C63">
        <v>16.276312900641031</v>
      </c>
      <c r="K63" s="1"/>
      <c r="W63" s="1"/>
      <c r="AB63">
        <f>AVERAGE(AJ2:AJ53)</f>
        <v>50382</v>
      </c>
      <c r="AC63">
        <f>AVERAGE(AL2:AL53)</f>
        <v>0.23926710000000004</v>
      </c>
      <c r="AG63" s="1"/>
      <c r="AI63" s="1"/>
      <c r="AS63" s="1"/>
    </row>
    <row r="64" spans="1:47" x14ac:dyDescent="0.2">
      <c r="A64">
        <v>6202</v>
      </c>
      <c r="B64">
        <v>2.1632607600000004</v>
      </c>
      <c r="K64" s="1"/>
      <c r="W64" s="1"/>
      <c r="AB64">
        <f>AVERAGE(AN2:AN53)</f>
        <v>80445</v>
      </c>
      <c r="AC64">
        <f>AVERAGE(AP2:AP53)</f>
        <v>0.23027927450980398</v>
      </c>
      <c r="AD64">
        <f>AVERAGE(AQ2:AQ53)</f>
        <v>255.51438301282047</v>
      </c>
      <c r="AG64" s="1"/>
      <c r="AI64" s="1"/>
      <c r="AS64" s="1"/>
    </row>
    <row r="65" spans="1:45" x14ac:dyDescent="0.2">
      <c r="A65">
        <v>8081</v>
      </c>
      <c r="B65">
        <v>0.83067701923076898</v>
      </c>
      <c r="C65">
        <v>25.885401842948731</v>
      </c>
      <c r="K65" s="1"/>
      <c r="W65" s="1"/>
      <c r="AB65">
        <f>AVERAGE(AR2:AR53)</f>
        <v>99668</v>
      </c>
      <c r="AC65">
        <f>AVERAGE(AT2:AT53)</f>
        <v>0.29214530769230779</v>
      </c>
      <c r="AD65">
        <f>AVERAGE(AU2:AU53)</f>
        <v>316.53505849358982</v>
      </c>
      <c r="AG65" s="1"/>
      <c r="AI65" s="1"/>
      <c r="AS65" s="1"/>
    </row>
    <row r="66" spans="1:45" x14ac:dyDescent="0.2">
      <c r="A66">
        <v>9878</v>
      </c>
      <c r="B66">
        <v>0.98977774509803917</v>
      </c>
      <c r="C66">
        <v>31.754444711538458</v>
      </c>
      <c r="K66" s="1"/>
      <c r="W66" s="1"/>
      <c r="AG66" s="1"/>
      <c r="AS66" s="1"/>
    </row>
    <row r="67" spans="1:45" x14ac:dyDescent="0.2">
      <c r="A67">
        <v>19786</v>
      </c>
      <c r="B67">
        <v>0.28870784615384615</v>
      </c>
      <c r="K67" s="1"/>
      <c r="W67" s="1"/>
      <c r="AG67" s="1"/>
      <c r="AI67" s="1"/>
      <c r="AS67" s="1"/>
    </row>
    <row r="68" spans="1:45" x14ac:dyDescent="0.2">
      <c r="A68">
        <v>29717</v>
      </c>
      <c r="B68">
        <v>0.25912930769230763</v>
      </c>
      <c r="C68">
        <v>94.561403846153851</v>
      </c>
      <c r="K68" s="1"/>
      <c r="W68" s="1"/>
      <c r="AG68" s="1"/>
      <c r="AI68" s="1"/>
      <c r="AS68" s="1"/>
    </row>
    <row r="69" spans="1:45" x14ac:dyDescent="0.2">
      <c r="A69">
        <v>50382</v>
      </c>
      <c r="B69">
        <v>0.23926710000000004</v>
      </c>
      <c r="W69" s="1"/>
      <c r="AG69" s="1"/>
      <c r="AI69" s="1"/>
      <c r="AS69" s="1"/>
    </row>
    <row r="70" spans="1:45" x14ac:dyDescent="0.2">
      <c r="A70">
        <v>80445</v>
      </c>
      <c r="B70">
        <v>0.23027927450980398</v>
      </c>
      <c r="C70">
        <v>255.51438301282047</v>
      </c>
      <c r="W70" s="1"/>
      <c r="AI70" s="1"/>
      <c r="AS70" s="1"/>
    </row>
    <row r="71" spans="1:45" x14ac:dyDescent="0.2">
      <c r="A71">
        <v>99668</v>
      </c>
      <c r="B71">
        <v>0.29214530769230779</v>
      </c>
      <c r="C71">
        <v>316.53505849358982</v>
      </c>
      <c r="W71" s="1"/>
      <c r="AI71" s="1"/>
      <c r="AS71" s="1"/>
    </row>
    <row r="72" spans="1:45" x14ac:dyDescent="0.2">
      <c r="W72" s="1"/>
      <c r="AI72" s="1"/>
      <c r="AS72" s="1"/>
    </row>
    <row r="73" spans="1:45" x14ac:dyDescent="0.2">
      <c r="W73" s="1"/>
      <c r="AI73" s="1"/>
      <c r="AS73" s="1"/>
    </row>
    <row r="74" spans="1:45" x14ac:dyDescent="0.2">
      <c r="W74" s="1"/>
      <c r="AI74" s="1"/>
      <c r="AS74" s="1"/>
    </row>
    <row r="75" spans="1:45" x14ac:dyDescent="0.2">
      <c r="W75" s="1"/>
      <c r="AI75" s="1"/>
    </row>
    <row r="76" spans="1:45" x14ac:dyDescent="0.2">
      <c r="W76" s="1"/>
      <c r="AI76" s="1"/>
    </row>
    <row r="77" spans="1:45" x14ac:dyDescent="0.2">
      <c r="W77" s="1"/>
      <c r="AI77" s="1"/>
    </row>
    <row r="78" spans="1:45" x14ac:dyDescent="0.2">
      <c r="W78" s="1"/>
      <c r="AI78" s="1"/>
    </row>
    <row r="79" spans="1:45" x14ac:dyDescent="0.2">
      <c r="W79" s="1"/>
      <c r="AI79" s="1"/>
    </row>
    <row r="80" spans="1:45" x14ac:dyDescent="0.2">
      <c r="W80" s="1"/>
      <c r="AI80" s="1"/>
    </row>
    <row r="81" spans="23:35" x14ac:dyDescent="0.2">
      <c r="W81" s="1"/>
      <c r="AI81" s="1"/>
    </row>
    <row r="82" spans="23:35" x14ac:dyDescent="0.2">
      <c r="AI82" s="1"/>
    </row>
    <row r="83" spans="23:35" x14ac:dyDescent="0.2">
      <c r="AI83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R2" sqref="R2:S2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6</v>
      </c>
      <c r="D1" t="s">
        <v>7</v>
      </c>
      <c r="E1" t="s">
        <v>1</v>
      </c>
      <c r="F1" t="s">
        <v>6</v>
      </c>
      <c r="G1" t="s">
        <v>0</v>
      </c>
      <c r="H1" t="s">
        <v>1</v>
      </c>
      <c r="I1" t="s">
        <v>6</v>
      </c>
      <c r="J1" t="s">
        <v>0</v>
      </c>
      <c r="K1" t="s">
        <v>1</v>
      </c>
      <c r="L1" t="s">
        <v>6</v>
      </c>
      <c r="M1" t="s">
        <v>0</v>
      </c>
      <c r="N1" t="s">
        <v>1</v>
      </c>
      <c r="O1" t="s">
        <v>2</v>
      </c>
      <c r="P1" t="s">
        <v>6</v>
      </c>
      <c r="Q1" t="s">
        <v>0</v>
      </c>
      <c r="R1" t="s">
        <v>1</v>
      </c>
      <c r="S1" t="s">
        <v>2</v>
      </c>
      <c r="T1" t="s">
        <v>6</v>
      </c>
      <c r="U1" t="s">
        <v>0</v>
      </c>
      <c r="V1" t="s">
        <v>1</v>
      </c>
      <c r="W1" t="s">
        <v>2</v>
      </c>
      <c r="X1" t="s">
        <v>6</v>
      </c>
    </row>
    <row r="2" spans="1:24" x14ac:dyDescent="0.2">
      <c r="A2">
        <v>989.3</v>
      </c>
      <c r="B2" s="1"/>
      <c r="D2">
        <v>1964.5</v>
      </c>
      <c r="E2" s="1"/>
      <c r="G2" s="1">
        <v>5059</v>
      </c>
      <c r="H2" s="1"/>
      <c r="J2" s="1">
        <v>9878</v>
      </c>
      <c r="K2" s="1"/>
      <c r="M2" s="1">
        <v>19786</v>
      </c>
      <c r="N2" s="1"/>
      <c r="O2" s="1"/>
      <c r="Q2">
        <v>50382</v>
      </c>
      <c r="R2" s="1"/>
      <c r="U2" s="1">
        <v>99668</v>
      </c>
      <c r="V2" s="1"/>
      <c r="W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34" sqref="A34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100</v>
      </c>
      <c r="B2">
        <v>38.43749999999941</v>
      </c>
    </row>
    <row r="3" spans="1:2" x14ac:dyDescent="0.2">
      <c r="A3">
        <v>100</v>
      </c>
      <c r="B3">
        <v>37.625000000000334</v>
      </c>
    </row>
    <row r="4" spans="1:2" x14ac:dyDescent="0.2">
      <c r="A4">
        <v>200</v>
      </c>
      <c r="B4">
        <v>61.874999999999865</v>
      </c>
    </row>
    <row r="5" spans="1:2" x14ac:dyDescent="0.2">
      <c r="A5">
        <v>450</v>
      </c>
      <c r="B5">
        <v>92.249999999999886</v>
      </c>
    </row>
    <row r="6" spans="1:2" x14ac:dyDescent="0.2">
      <c r="A6">
        <v>200</v>
      </c>
      <c r="B6" s="2">
        <v>55.250000000000178</v>
      </c>
    </row>
    <row r="7" spans="1:2" x14ac:dyDescent="0.2">
      <c r="A7">
        <v>350</v>
      </c>
      <c r="B7">
        <v>31.16666666666654</v>
      </c>
    </row>
    <row r="8" spans="1:2" x14ac:dyDescent="0.2">
      <c r="A8">
        <v>400</v>
      </c>
      <c r="B8">
        <v>31.16666666666654</v>
      </c>
    </row>
    <row r="9" spans="1:2" x14ac:dyDescent="0.2">
      <c r="A9">
        <v>400</v>
      </c>
      <c r="B9">
        <v>31.250000000000028</v>
      </c>
    </row>
    <row r="10" spans="1:2" x14ac:dyDescent="0.2">
      <c r="A10">
        <v>420</v>
      </c>
      <c r="B10">
        <v>30.958333333333357</v>
      </c>
    </row>
    <row r="11" spans="1:2" x14ac:dyDescent="0.2">
      <c r="A11">
        <v>450</v>
      </c>
      <c r="B11">
        <v>30.958333333333357</v>
      </c>
    </row>
    <row r="12" spans="1:2" x14ac:dyDescent="0.2">
      <c r="A12">
        <v>450</v>
      </c>
      <c r="B12">
        <v>31.041666666666632</v>
      </c>
    </row>
    <row r="13" spans="1:2" x14ac:dyDescent="0.2">
      <c r="A13">
        <v>450</v>
      </c>
      <c r="B13">
        <v>61.333333333333378</v>
      </c>
    </row>
    <row r="14" spans="1:2" x14ac:dyDescent="0.2">
      <c r="A14">
        <v>450</v>
      </c>
      <c r="B14">
        <v>61.624999999999829</v>
      </c>
    </row>
    <row r="15" spans="1:2" x14ac:dyDescent="0.2">
      <c r="A15" s="9">
        <v>470</v>
      </c>
      <c r="B15">
        <v>31.250000000000028</v>
      </c>
    </row>
    <row r="16" spans="1:2" x14ac:dyDescent="0.2">
      <c r="A16" s="6">
        <v>500</v>
      </c>
      <c r="B16">
        <v>31.083333333333268</v>
      </c>
    </row>
    <row r="17" spans="1:2" x14ac:dyDescent="0.2">
      <c r="A17" s="6">
        <v>550</v>
      </c>
      <c r="B17">
        <v>30.916666666666615</v>
      </c>
    </row>
    <row r="18" spans="1:2" x14ac:dyDescent="0.2">
      <c r="A18" s="6">
        <v>600</v>
      </c>
      <c r="B18">
        <v>30.958333333333357</v>
      </c>
    </row>
    <row r="19" spans="1:2" x14ac:dyDescent="0.2">
      <c r="A19" s="6">
        <v>650</v>
      </c>
      <c r="B19">
        <v>30.958333333333357</v>
      </c>
    </row>
    <row r="20" spans="1:2" x14ac:dyDescent="0.2">
      <c r="A20" s="6">
        <v>700</v>
      </c>
      <c r="B20">
        <v>30.875000000000085</v>
      </c>
    </row>
    <row r="21" spans="1:2" x14ac:dyDescent="0.2">
      <c r="A21" s="6">
        <v>750</v>
      </c>
      <c r="B21">
        <v>30.916666666666721</v>
      </c>
    </row>
    <row r="22" spans="1:2" x14ac:dyDescent="0.2">
      <c r="A22" s="6">
        <v>800</v>
      </c>
      <c r="B22">
        <v>30.916666666666721</v>
      </c>
    </row>
    <row r="23" spans="1:2" x14ac:dyDescent="0.2">
      <c r="A23" s="6">
        <v>850</v>
      </c>
      <c r="B23">
        <v>30.916666666666721</v>
      </c>
    </row>
    <row r="24" spans="1:2" x14ac:dyDescent="0.2">
      <c r="A24" s="6">
        <v>900</v>
      </c>
      <c r="B24">
        <v>30.833333333333343</v>
      </c>
    </row>
    <row r="25" spans="1:2" x14ac:dyDescent="0.2">
      <c r="A25" s="6">
        <v>950</v>
      </c>
      <c r="B25">
        <v>30.958333333333357</v>
      </c>
    </row>
    <row r="26" spans="1:2" x14ac:dyDescent="0.2">
      <c r="A26" s="6">
        <v>1000</v>
      </c>
      <c r="B26">
        <v>30.874999999999979</v>
      </c>
    </row>
    <row r="27" spans="1:2" x14ac:dyDescent="0.2">
      <c r="A27" s="6">
        <v>200</v>
      </c>
      <c r="B27">
        <v>62.5</v>
      </c>
    </row>
    <row r="28" spans="1:2" x14ac:dyDescent="0.2">
      <c r="A28" s="6">
        <v>300</v>
      </c>
      <c r="B28">
        <v>31.29166666666665</v>
      </c>
    </row>
    <row r="29" spans="1:2" x14ac:dyDescent="0.2">
      <c r="A29" s="6">
        <v>350</v>
      </c>
      <c r="B29">
        <v>61.666666666666494</v>
      </c>
    </row>
    <row r="30" spans="1:2" x14ac:dyDescent="0.2">
      <c r="A30" s="6">
        <v>500</v>
      </c>
      <c r="B30">
        <v>30.833333333333247</v>
      </c>
    </row>
    <row r="31" spans="1:2" x14ac:dyDescent="0.2">
      <c r="A31" s="6">
        <v>800</v>
      </c>
      <c r="B31">
        <v>30.9166666666666</v>
      </c>
    </row>
    <row r="32" spans="1:2" x14ac:dyDescent="0.2">
      <c r="A32" s="6">
        <v>1000</v>
      </c>
      <c r="B32">
        <v>31</v>
      </c>
    </row>
    <row r="33" spans="1:2" x14ac:dyDescent="0.2">
      <c r="A33" s="6">
        <v>2000</v>
      </c>
      <c r="B33">
        <v>31.18749999999995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4"/>
  <sheetViews>
    <sheetView zoomScale="81" workbookViewId="0">
      <selection activeCell="Q27" sqref="Q27:R27"/>
    </sheetView>
  </sheetViews>
  <sheetFormatPr baseColWidth="10" defaultRowHeight="16" x14ac:dyDescent="0.2"/>
  <cols>
    <col min="1" max="1" width="11.33203125" bestFit="1" customWidth="1"/>
    <col min="3" max="3" width="20.5" bestFit="1" customWidth="1"/>
    <col min="4" max="4" width="12.5" bestFit="1" customWidth="1"/>
    <col min="6" max="6" width="20.5" bestFit="1" customWidth="1"/>
    <col min="7" max="7" width="11.6640625" bestFit="1" customWidth="1"/>
    <col min="9" max="9" width="20.5" bestFit="1" customWidth="1"/>
    <col min="10" max="10" width="12.5" bestFit="1" customWidth="1"/>
    <col min="12" max="12" width="20.5" bestFit="1" customWidth="1"/>
    <col min="13" max="13" width="12.5" bestFit="1" customWidth="1"/>
    <col min="14" max="14" width="8.1640625" bestFit="1" customWidth="1"/>
    <col min="15" max="15" width="20.5" bestFit="1" customWidth="1"/>
    <col min="16" max="16" width="11.6640625" bestFit="1" customWidth="1"/>
    <col min="18" max="18" width="20.5" bestFit="1" customWidth="1"/>
    <col min="19" max="19" width="11.6640625" bestFit="1" customWidth="1"/>
    <col min="21" max="21" width="20.5" bestFit="1" customWidth="1"/>
    <col min="22" max="22" width="11.83203125" bestFit="1" customWidth="1"/>
    <col min="24" max="24" width="20.5" bestFit="1" customWidth="1"/>
    <col min="25" max="25" width="11.6640625" bestFit="1" customWidth="1"/>
    <col min="27" max="27" width="20.5" bestFit="1" customWidth="1"/>
    <col min="28" max="28" width="11.83203125" bestFit="1" customWidth="1"/>
    <col min="30" max="30" width="20.5" bestFit="1" customWidth="1"/>
    <col min="31" max="31" width="11.83203125" bestFit="1" customWidth="1"/>
    <col min="33" max="33" width="20.5" bestFit="1" customWidth="1"/>
    <col min="34" max="34" width="11.83203125" bestFit="1" customWidth="1"/>
    <col min="36" max="36" width="20.5" bestFit="1" customWidth="1"/>
    <col min="37" max="37" width="14.5" bestFit="1" customWidth="1"/>
    <col min="39" max="39" width="20.5" bestFit="1" customWidth="1"/>
    <col min="40" max="40" width="11.83203125" bestFit="1" customWidth="1"/>
    <col min="42" max="42" width="20.5" bestFit="1" customWidth="1"/>
    <col min="43" max="43" width="12.5" bestFit="1" customWidth="1"/>
    <col min="45" max="45" width="20.5" bestFit="1" customWidth="1"/>
    <col min="46" max="46" width="12.5" bestFit="1" customWidth="1"/>
    <col min="48" max="48" width="20.5" bestFit="1" customWidth="1"/>
    <col min="49" max="49" width="12.5" bestFit="1" customWidth="1"/>
    <col min="51" max="51" width="20.5" bestFit="1" customWidth="1"/>
    <col min="52" max="52" width="11.83203125" bestFit="1" customWidth="1"/>
    <col min="54" max="54" width="20.5" bestFit="1" customWidth="1"/>
    <col min="57" max="57" width="20.5" bestFit="1" customWidth="1"/>
    <col min="60" max="60" width="20.5" bestFit="1" customWidth="1"/>
    <col min="63" max="63" width="20.5" bestFit="1" customWidth="1"/>
    <col min="66" max="66" width="20.5" bestFit="1" customWidth="1"/>
    <col min="69" max="69" width="20.5" bestFit="1" customWidth="1"/>
    <col min="72" max="72" width="20.5" bestFit="1" customWidth="1"/>
    <col min="75" max="75" width="20.5" bestFit="1" customWidth="1"/>
    <col min="78" max="78" width="20.5" bestFit="1" customWidth="1"/>
    <col min="81" max="81" width="20.5" bestFit="1" customWidth="1"/>
  </cols>
  <sheetData>
    <row r="1" spans="1:81" x14ac:dyDescent="0.2">
      <c r="A1" t="s">
        <v>10</v>
      </c>
      <c r="B1" t="s">
        <v>11</v>
      </c>
      <c r="C1" t="s">
        <v>12</v>
      </c>
      <c r="D1" t="s">
        <v>10</v>
      </c>
      <c r="E1" t="s">
        <v>11</v>
      </c>
      <c r="F1" t="s">
        <v>12</v>
      </c>
      <c r="G1" t="s">
        <v>10</v>
      </c>
      <c r="H1" t="s">
        <v>11</v>
      </c>
      <c r="I1" t="s">
        <v>12</v>
      </c>
      <c r="J1" t="s">
        <v>10</v>
      </c>
      <c r="K1" t="s">
        <v>11</v>
      </c>
      <c r="L1" t="s">
        <v>12</v>
      </c>
      <c r="M1" t="s">
        <v>10</v>
      </c>
      <c r="N1" t="s">
        <v>11</v>
      </c>
      <c r="O1" t="s">
        <v>12</v>
      </c>
      <c r="P1" t="s">
        <v>10</v>
      </c>
      <c r="Q1" t="s">
        <v>11</v>
      </c>
      <c r="R1" t="s">
        <v>12</v>
      </c>
      <c r="S1" t="s">
        <v>10</v>
      </c>
      <c r="T1" t="s">
        <v>11</v>
      </c>
      <c r="U1" t="s">
        <v>12</v>
      </c>
      <c r="V1" t="s">
        <v>10</v>
      </c>
      <c r="W1" t="s">
        <v>11</v>
      </c>
      <c r="X1" t="s">
        <v>12</v>
      </c>
      <c r="Y1" t="s">
        <v>10</v>
      </c>
      <c r="Z1" t="s">
        <v>11</v>
      </c>
      <c r="AA1" t="s">
        <v>12</v>
      </c>
      <c r="AB1" t="s">
        <v>10</v>
      </c>
      <c r="AC1" t="s">
        <v>11</v>
      </c>
      <c r="AD1" t="s">
        <v>12</v>
      </c>
      <c r="AE1" t="s">
        <v>10</v>
      </c>
      <c r="AF1" t="s">
        <v>11</v>
      </c>
      <c r="AG1" t="s">
        <v>12</v>
      </c>
      <c r="AH1" t="s">
        <v>10</v>
      </c>
      <c r="AI1" t="s">
        <v>11</v>
      </c>
      <c r="AJ1" t="s">
        <v>12</v>
      </c>
      <c r="AK1" t="s">
        <v>10</v>
      </c>
      <c r="AL1" t="s">
        <v>11</v>
      </c>
      <c r="AM1" t="s">
        <v>12</v>
      </c>
      <c r="AN1" t="s">
        <v>10</v>
      </c>
      <c r="AO1" t="s">
        <v>11</v>
      </c>
      <c r="AP1" t="s">
        <v>12</v>
      </c>
      <c r="AQ1" t="s">
        <v>10</v>
      </c>
      <c r="AR1" t="s">
        <v>11</v>
      </c>
      <c r="AS1" t="s">
        <v>12</v>
      </c>
      <c r="AT1" t="s">
        <v>10</v>
      </c>
      <c r="AU1" t="s">
        <v>11</v>
      </c>
      <c r="AV1" t="s">
        <v>12</v>
      </c>
      <c r="AW1" t="s">
        <v>10</v>
      </c>
      <c r="AX1" t="s">
        <v>11</v>
      </c>
      <c r="AY1" t="s">
        <v>12</v>
      </c>
      <c r="AZ1" t="s">
        <v>10</v>
      </c>
      <c r="BA1" t="s">
        <v>11</v>
      </c>
      <c r="BB1" t="s">
        <v>12</v>
      </c>
      <c r="BC1" t="s">
        <v>10</v>
      </c>
      <c r="BD1" t="s">
        <v>11</v>
      </c>
      <c r="BE1" t="s">
        <v>12</v>
      </c>
      <c r="BF1" t="s">
        <v>10</v>
      </c>
      <c r="BG1" t="s">
        <v>11</v>
      </c>
      <c r="BH1" t="s">
        <v>12</v>
      </c>
      <c r="BI1" t="s">
        <v>10</v>
      </c>
      <c r="BJ1" t="s">
        <v>11</v>
      </c>
      <c r="BK1" t="s">
        <v>12</v>
      </c>
      <c r="BL1" t="s">
        <v>10</v>
      </c>
      <c r="BM1" t="s">
        <v>11</v>
      </c>
      <c r="BN1" t="s">
        <v>12</v>
      </c>
      <c r="BO1" t="s">
        <v>10</v>
      </c>
      <c r="BP1" t="s">
        <v>11</v>
      </c>
      <c r="BQ1" t="s">
        <v>12</v>
      </c>
      <c r="BR1" t="s">
        <v>10</v>
      </c>
      <c r="BS1" t="s">
        <v>11</v>
      </c>
      <c r="BT1" t="s">
        <v>12</v>
      </c>
      <c r="BU1" t="s">
        <v>10</v>
      </c>
      <c r="BV1" t="s">
        <v>11</v>
      </c>
      <c r="BW1" t="s">
        <v>12</v>
      </c>
      <c r="BX1" t="s">
        <v>10</v>
      </c>
      <c r="BY1" t="s">
        <v>11</v>
      </c>
      <c r="BZ1" t="s">
        <v>12</v>
      </c>
      <c r="CA1" t="s">
        <v>10</v>
      </c>
      <c r="CB1" t="s">
        <v>11</v>
      </c>
      <c r="CC1" t="s">
        <v>12</v>
      </c>
    </row>
    <row r="2" spans="1:81" x14ac:dyDescent="0.2">
      <c r="A2">
        <v>300</v>
      </c>
      <c r="B2" s="1">
        <v>81534</v>
      </c>
      <c r="C2">
        <f>B2*(1/48000000)</f>
        <v>1.698625E-3</v>
      </c>
      <c r="D2">
        <v>300</v>
      </c>
      <c r="E2" s="1">
        <v>82602</v>
      </c>
      <c r="F2">
        <f>E2*(1/48000000)</f>
        <v>1.7208750000000002E-3</v>
      </c>
      <c r="G2">
        <v>100</v>
      </c>
      <c r="H2" s="1">
        <v>246124</v>
      </c>
      <c r="I2">
        <f>H2*(1/48000000)</f>
        <v>5.1275833333333338E-3</v>
      </c>
      <c r="J2">
        <v>100</v>
      </c>
      <c r="K2" s="1">
        <v>246623</v>
      </c>
      <c r="L2">
        <f>K2*(1/48000000)</f>
        <v>5.1379791666666666E-3</v>
      </c>
      <c r="M2">
        <v>200</v>
      </c>
      <c r="N2" s="1">
        <v>123051</v>
      </c>
      <c r="O2">
        <f>N2*(1/48000000)</f>
        <v>2.5635625000000003E-3</v>
      </c>
      <c r="P2">
        <v>450</v>
      </c>
      <c r="Q2" s="1">
        <v>54596</v>
      </c>
      <c r="R2">
        <f>Q2*(1/48000000)</f>
        <v>1.1374166666666668E-3</v>
      </c>
      <c r="S2">
        <v>200</v>
      </c>
      <c r="T2" s="1">
        <v>123105</v>
      </c>
      <c r="U2">
        <f>T2*(1/48000000)</f>
        <v>2.5646875000000001E-3</v>
      </c>
      <c r="V2">
        <v>350</v>
      </c>
      <c r="W2" s="1">
        <v>70806</v>
      </c>
      <c r="X2">
        <f>W2*(1/48000000)</f>
        <v>1.4751250000000001E-3</v>
      </c>
      <c r="Y2">
        <v>400</v>
      </c>
      <c r="Z2" s="1">
        <v>61968</v>
      </c>
      <c r="AA2">
        <f>Z2*(1/48000000)</f>
        <v>1.291E-3</v>
      </c>
      <c r="AB2">
        <v>400</v>
      </c>
      <c r="AC2" s="1">
        <v>61970</v>
      </c>
      <c r="AD2">
        <f>AC2*(1/48000000)</f>
        <v>1.2910416666666667E-3</v>
      </c>
      <c r="AE2">
        <v>420</v>
      </c>
      <c r="AF2" s="1">
        <v>59024</v>
      </c>
      <c r="AG2">
        <f>AF2*(1/48000000)</f>
        <v>1.2296666666666667E-3</v>
      </c>
      <c r="AH2">
        <v>450</v>
      </c>
      <c r="AI2" s="1">
        <v>54620</v>
      </c>
      <c r="AJ2">
        <f>AI2*(1/48000000)</f>
        <v>1.1379166666666666E-3</v>
      </c>
      <c r="AK2">
        <v>450</v>
      </c>
      <c r="AL2" s="1">
        <v>54618</v>
      </c>
      <c r="AM2">
        <f>AL2*(1/48000000)</f>
        <v>1.137875E-3</v>
      </c>
      <c r="AN2">
        <v>450</v>
      </c>
      <c r="AO2" s="1">
        <v>54580</v>
      </c>
      <c r="AP2">
        <f>AO2*(1/48000000)</f>
        <v>1.1370833333333335E-3</v>
      </c>
      <c r="AQ2">
        <v>450</v>
      </c>
      <c r="AR2" s="1">
        <v>56070</v>
      </c>
      <c r="AS2">
        <f>AR2*(1/48000000)</f>
        <v>1.1681250000000001E-3</v>
      </c>
      <c r="AT2">
        <v>470</v>
      </c>
      <c r="AU2" s="1">
        <v>53136</v>
      </c>
      <c r="AV2">
        <f>AU2*(1/48000000)</f>
        <v>1.1070000000000001E-3</v>
      </c>
      <c r="AW2">
        <v>500</v>
      </c>
      <c r="AX2" s="1">
        <v>50172</v>
      </c>
      <c r="AY2">
        <f>AX2*(1/48000000)</f>
        <v>1.04525E-3</v>
      </c>
      <c r="AZ2">
        <v>550</v>
      </c>
      <c r="BA2" s="1">
        <v>45746</v>
      </c>
      <c r="BB2">
        <f>BA2*(1/48000000)</f>
        <v>9.5304166666666671E-4</v>
      </c>
      <c r="BC2">
        <v>600</v>
      </c>
      <c r="BD2" s="1">
        <v>39846</v>
      </c>
      <c r="BE2">
        <f>BD2*(1/48000000)</f>
        <v>8.3012500000000003E-4</v>
      </c>
      <c r="BF2">
        <v>650</v>
      </c>
      <c r="BG2" s="1">
        <v>38390</v>
      </c>
      <c r="BH2">
        <f>BG2*(1/48000000)</f>
        <v>7.9979166666666675E-4</v>
      </c>
      <c r="BI2">
        <v>700</v>
      </c>
      <c r="BJ2" s="1">
        <v>33956</v>
      </c>
      <c r="BK2">
        <f>BJ2*(1/48000000)</f>
        <v>7.0741666666666674E-4</v>
      </c>
      <c r="BL2">
        <v>750</v>
      </c>
      <c r="BM2" s="1">
        <v>33954</v>
      </c>
      <c r="BN2">
        <f>BM2*(1/48000000)</f>
        <v>7.07375E-4</v>
      </c>
      <c r="BO2">
        <v>800</v>
      </c>
      <c r="BP2" s="1">
        <v>29540</v>
      </c>
      <c r="BQ2">
        <f>BM2*(1/48000000)</f>
        <v>7.07375E-4</v>
      </c>
      <c r="BR2">
        <v>850</v>
      </c>
      <c r="BS2" s="1">
        <v>28070</v>
      </c>
      <c r="BT2">
        <f>BS2*(1/48000000)</f>
        <v>5.8479166666666673E-4</v>
      </c>
      <c r="BU2">
        <v>900</v>
      </c>
      <c r="BV2" s="1">
        <v>28068</v>
      </c>
      <c r="BW2">
        <f>BV2*(1/48000000)</f>
        <v>5.8474999999999998E-4</v>
      </c>
      <c r="BX2">
        <v>950</v>
      </c>
      <c r="BY2" s="1">
        <v>26590</v>
      </c>
      <c r="BZ2">
        <f>BY2*(1/48000000)</f>
        <v>5.5395833333333339E-4</v>
      </c>
      <c r="CA2">
        <v>1000</v>
      </c>
      <c r="CB2" s="1">
        <v>25116</v>
      </c>
      <c r="CC2">
        <f>CB2*(1/48000000)</f>
        <v>5.2325000000000006E-4</v>
      </c>
    </row>
    <row r="3" spans="1:81" x14ac:dyDescent="0.2">
      <c r="B3" s="1">
        <v>81427</v>
      </c>
      <c r="C3">
        <f t="shared" ref="C3:C66" si="0">B3*(1/48000000)</f>
        <v>1.6963958333333334E-3</v>
      </c>
      <c r="E3" s="1">
        <v>81401</v>
      </c>
      <c r="F3">
        <f t="shared" ref="F3:F66" si="1">E3*(1/48000000)</f>
        <v>1.6958541666666667E-3</v>
      </c>
      <c r="H3" s="1">
        <v>246433</v>
      </c>
      <c r="I3">
        <f t="shared" ref="I3:I66" si="2">H3*(1/48000000)</f>
        <v>5.1340208333333333E-3</v>
      </c>
      <c r="K3" s="1">
        <v>246246</v>
      </c>
      <c r="L3">
        <f t="shared" ref="L3:L53" si="3">K3*(1/48000000)</f>
        <v>5.1301250000000001E-3</v>
      </c>
      <c r="M3">
        <v>200</v>
      </c>
      <c r="N3" s="1">
        <v>121587</v>
      </c>
      <c r="O3">
        <f t="shared" ref="O3:O66" si="4">N3*(1/48000000)</f>
        <v>2.5330625000000002E-3</v>
      </c>
      <c r="P3">
        <v>450</v>
      </c>
      <c r="Q3" s="1">
        <v>54596</v>
      </c>
      <c r="R3">
        <f t="shared" ref="R3:R66" si="5">Q3*(1/48000000)</f>
        <v>1.1374166666666668E-3</v>
      </c>
      <c r="S3">
        <v>200</v>
      </c>
      <c r="T3" s="1">
        <v>123101</v>
      </c>
      <c r="U3">
        <f t="shared" ref="U3:U66" si="6">T3*(1/48000000)</f>
        <v>2.5646041666666669E-3</v>
      </c>
      <c r="V3">
        <v>350</v>
      </c>
      <c r="W3" s="1">
        <v>69330</v>
      </c>
      <c r="X3">
        <f t="shared" ref="X3:X66" si="7">W3*(1/48000000)</f>
        <v>1.4443750000000001E-3</v>
      </c>
      <c r="Y3">
        <v>400</v>
      </c>
      <c r="Z3" s="1">
        <v>61974</v>
      </c>
      <c r="AA3">
        <f t="shared" ref="AA3:AA66" si="8">Z3*(1/48000000)</f>
        <v>1.2911250000000002E-3</v>
      </c>
      <c r="AB3">
        <v>400</v>
      </c>
      <c r="AC3" s="1">
        <v>61976</v>
      </c>
      <c r="AD3">
        <f t="shared" ref="AD3:AD66" si="9">AC3*(1/48000000)</f>
        <v>1.2911666666666668E-3</v>
      </c>
      <c r="AE3">
        <v>420</v>
      </c>
      <c r="AF3" s="1">
        <v>59024</v>
      </c>
      <c r="AG3">
        <f t="shared" ref="AG3:AG66" si="10">AF3*(1/48000000)</f>
        <v>1.2296666666666667E-3</v>
      </c>
      <c r="AH3">
        <v>450</v>
      </c>
      <c r="AI3" s="1">
        <v>54630</v>
      </c>
      <c r="AJ3">
        <f t="shared" ref="AJ3:AJ66" si="11">AI3*(1/48000000)</f>
        <v>1.138125E-3</v>
      </c>
      <c r="AK3">
        <v>450</v>
      </c>
      <c r="AL3" s="1">
        <v>54618</v>
      </c>
      <c r="AM3">
        <f t="shared" ref="AM3:AM66" si="12">AL3*(1/48000000)</f>
        <v>1.137875E-3</v>
      </c>
      <c r="AN3">
        <v>450</v>
      </c>
      <c r="AO3" s="1">
        <v>54584</v>
      </c>
      <c r="AP3">
        <f t="shared" ref="AP3:AP66" si="13">AO3*(1/48000000)</f>
        <v>1.1371666666666668E-3</v>
      </c>
      <c r="AQ3">
        <v>450</v>
      </c>
      <c r="AR3" s="1">
        <v>56068</v>
      </c>
      <c r="AS3">
        <f t="shared" ref="AS3:AS66" si="14">AR3*(1/48000000)</f>
        <v>1.1680833333333335E-3</v>
      </c>
      <c r="AU3" s="1">
        <v>53136</v>
      </c>
      <c r="AV3">
        <f t="shared" ref="AV3:AV66" si="15">AU3*(1/48000000)</f>
        <v>1.1070000000000001E-3</v>
      </c>
      <c r="AX3" s="1">
        <v>50172</v>
      </c>
      <c r="AY3">
        <f t="shared" ref="AY3:AY66" si="16">AX3*(1/48000000)</f>
        <v>1.04525E-3</v>
      </c>
      <c r="BA3" s="1">
        <v>45746</v>
      </c>
      <c r="BB3">
        <f t="shared" ref="BB3:BB66" si="17">BA3*(1/48000000)</f>
        <v>9.5304166666666671E-4</v>
      </c>
      <c r="BD3" s="1">
        <v>41324</v>
      </c>
      <c r="BE3">
        <f t="shared" ref="BE3:BE66" si="18">BD3*(1/48000000)</f>
        <v>8.6091666666666673E-4</v>
      </c>
      <c r="BG3" s="1">
        <v>38388</v>
      </c>
      <c r="BH3">
        <f t="shared" ref="BH3:BH66" si="19">BG3*(1/48000000)</f>
        <v>7.9975000000000001E-4</v>
      </c>
      <c r="BJ3" s="1">
        <v>35432</v>
      </c>
      <c r="BK3">
        <f t="shared" ref="BK3:BK66" si="20">BJ3*(1/48000000)</f>
        <v>7.381666666666667E-4</v>
      </c>
      <c r="BM3" s="1">
        <v>33956</v>
      </c>
      <c r="BN3">
        <f t="shared" ref="BN3:BN66" si="21">BM3*(1/48000000)</f>
        <v>7.0741666666666674E-4</v>
      </c>
      <c r="BP3" s="1">
        <v>29544</v>
      </c>
      <c r="BQ3">
        <f t="shared" ref="BQ3:BQ66" si="22">BM3*(1/48000000)</f>
        <v>7.0741666666666674E-4</v>
      </c>
      <c r="BS3" s="1">
        <v>29546</v>
      </c>
      <c r="BT3">
        <f t="shared" ref="BT3:BT66" si="23">BS3*(1/48000000)</f>
        <v>6.1554166666666669E-4</v>
      </c>
      <c r="BV3" s="1">
        <v>26594</v>
      </c>
      <c r="BW3">
        <f t="shared" ref="BW3:BW66" si="24">BV3*(1/48000000)</f>
        <v>5.5404166666666666E-4</v>
      </c>
      <c r="BY3" s="1">
        <v>26592</v>
      </c>
      <c r="BZ3">
        <f t="shared" ref="BZ3:BZ66" si="25">BY3*(1/48000000)</f>
        <v>5.5400000000000002E-4</v>
      </c>
      <c r="CB3" s="1">
        <v>25114</v>
      </c>
      <c r="CC3">
        <f t="shared" ref="CC3:CC66" si="26">CB3*(1/48000000)</f>
        <v>5.2320833333333332E-4</v>
      </c>
    </row>
    <row r="4" spans="1:81" x14ac:dyDescent="0.2">
      <c r="B4" s="1">
        <v>81427</v>
      </c>
      <c r="C4">
        <f t="shared" si="0"/>
        <v>1.6963958333333334E-3</v>
      </c>
      <c r="E4" s="1">
        <v>82608</v>
      </c>
      <c r="F4">
        <f t="shared" si="1"/>
        <v>1.7210000000000001E-3</v>
      </c>
      <c r="H4" s="1">
        <v>245788</v>
      </c>
      <c r="I4">
        <f t="shared" si="2"/>
        <v>5.1205833333333338E-3</v>
      </c>
      <c r="K4" s="1">
        <v>246187</v>
      </c>
      <c r="L4">
        <f t="shared" si="3"/>
        <v>5.1288958333333334E-3</v>
      </c>
      <c r="M4">
        <v>200</v>
      </c>
      <c r="N4" s="1">
        <v>123057</v>
      </c>
      <c r="O4">
        <f t="shared" si="4"/>
        <v>2.5636875E-3</v>
      </c>
      <c r="P4">
        <v>450</v>
      </c>
      <c r="Q4" s="1">
        <v>54594</v>
      </c>
      <c r="R4">
        <f t="shared" si="5"/>
        <v>1.1373750000000001E-3</v>
      </c>
      <c r="S4">
        <v>200</v>
      </c>
      <c r="T4" s="1">
        <v>123101</v>
      </c>
      <c r="U4">
        <f t="shared" si="6"/>
        <v>2.5646041666666669E-3</v>
      </c>
      <c r="V4">
        <v>350</v>
      </c>
      <c r="W4" s="1">
        <v>70800</v>
      </c>
      <c r="X4">
        <f t="shared" si="7"/>
        <v>1.4750000000000002E-3</v>
      </c>
      <c r="Y4">
        <v>400</v>
      </c>
      <c r="Z4" s="1">
        <v>61978</v>
      </c>
      <c r="AA4">
        <f t="shared" si="8"/>
        <v>1.2912083333333334E-3</v>
      </c>
      <c r="AB4">
        <v>400</v>
      </c>
      <c r="AC4" s="1">
        <v>61972</v>
      </c>
      <c r="AD4">
        <f t="shared" si="9"/>
        <v>1.2910833333333333E-3</v>
      </c>
      <c r="AE4">
        <v>420</v>
      </c>
      <c r="AF4" s="1">
        <v>59024</v>
      </c>
      <c r="AG4">
        <f t="shared" si="10"/>
        <v>1.2296666666666667E-3</v>
      </c>
      <c r="AH4">
        <v>450</v>
      </c>
      <c r="AI4" s="1">
        <v>54624</v>
      </c>
      <c r="AJ4">
        <f t="shared" si="11"/>
        <v>1.1380000000000001E-3</v>
      </c>
      <c r="AK4">
        <v>450</v>
      </c>
      <c r="AL4" s="1">
        <v>54620</v>
      </c>
      <c r="AM4">
        <f t="shared" si="12"/>
        <v>1.1379166666666666E-3</v>
      </c>
      <c r="AN4">
        <v>450</v>
      </c>
      <c r="AO4" s="1">
        <v>54582</v>
      </c>
      <c r="AP4">
        <f t="shared" si="13"/>
        <v>1.1371250000000001E-3</v>
      </c>
      <c r="AQ4">
        <v>450</v>
      </c>
      <c r="AR4" s="1">
        <v>54600</v>
      </c>
      <c r="AS4">
        <f t="shared" si="14"/>
        <v>1.1375000000000001E-3</v>
      </c>
      <c r="AU4" s="1">
        <v>51660</v>
      </c>
      <c r="AV4">
        <f t="shared" si="15"/>
        <v>1.0762500000000002E-3</v>
      </c>
      <c r="AX4" s="1">
        <v>50174</v>
      </c>
      <c r="AY4">
        <f t="shared" si="16"/>
        <v>1.0452916666666668E-3</v>
      </c>
      <c r="BA4" s="1">
        <v>45750</v>
      </c>
      <c r="BB4">
        <f t="shared" si="17"/>
        <v>9.5312500000000009E-4</v>
      </c>
      <c r="BD4" s="1">
        <v>41330</v>
      </c>
      <c r="BE4">
        <f t="shared" si="18"/>
        <v>8.6104166666666675E-4</v>
      </c>
      <c r="BG4" s="1">
        <v>36914</v>
      </c>
      <c r="BH4">
        <f t="shared" si="19"/>
        <v>7.6904166666666668E-4</v>
      </c>
      <c r="BJ4" s="1">
        <v>35430</v>
      </c>
      <c r="BK4">
        <f t="shared" si="20"/>
        <v>7.3812500000000007E-4</v>
      </c>
      <c r="BM4" s="1">
        <v>32478</v>
      </c>
      <c r="BN4">
        <f t="shared" si="21"/>
        <v>6.7662500000000003E-4</v>
      </c>
      <c r="BP4" s="1">
        <v>31018</v>
      </c>
      <c r="BQ4">
        <f t="shared" si="22"/>
        <v>6.7662500000000003E-4</v>
      </c>
      <c r="BS4" s="1">
        <v>29544</v>
      </c>
      <c r="BT4">
        <f t="shared" si="23"/>
        <v>6.1550000000000005E-4</v>
      </c>
      <c r="BV4" s="1">
        <v>28066</v>
      </c>
      <c r="BW4">
        <f t="shared" si="24"/>
        <v>5.8470833333333335E-4</v>
      </c>
      <c r="BY4" s="1">
        <v>26590</v>
      </c>
      <c r="BZ4">
        <f t="shared" si="25"/>
        <v>5.5395833333333339E-4</v>
      </c>
      <c r="CB4" s="1">
        <v>23640</v>
      </c>
      <c r="CC4">
        <f t="shared" si="26"/>
        <v>4.9249999999999999E-4</v>
      </c>
    </row>
    <row r="5" spans="1:81" x14ac:dyDescent="0.2">
      <c r="B5" s="1">
        <v>80351</v>
      </c>
      <c r="C5">
        <f t="shared" si="0"/>
        <v>1.6739791666666667E-3</v>
      </c>
      <c r="E5" s="1">
        <v>82602</v>
      </c>
      <c r="F5">
        <f t="shared" si="1"/>
        <v>1.7208750000000002E-3</v>
      </c>
      <c r="H5" s="1">
        <v>245206</v>
      </c>
      <c r="I5">
        <f t="shared" si="2"/>
        <v>5.1084583333333338E-3</v>
      </c>
      <c r="K5" s="1">
        <v>245802</v>
      </c>
      <c r="L5">
        <f t="shared" si="3"/>
        <v>5.1208750000000004E-3</v>
      </c>
      <c r="M5">
        <v>200</v>
      </c>
      <c r="N5" s="1">
        <v>123055</v>
      </c>
      <c r="O5">
        <f t="shared" si="4"/>
        <v>2.5636458333333336E-3</v>
      </c>
      <c r="P5">
        <v>450</v>
      </c>
      <c r="Q5" s="1">
        <v>56070</v>
      </c>
      <c r="R5">
        <f t="shared" si="5"/>
        <v>1.1681250000000001E-3</v>
      </c>
      <c r="S5">
        <v>200</v>
      </c>
      <c r="T5" s="1">
        <v>123093</v>
      </c>
      <c r="U5">
        <f t="shared" si="6"/>
        <v>2.5644375000000003E-3</v>
      </c>
      <c r="V5">
        <v>350</v>
      </c>
      <c r="W5" s="1">
        <v>70804</v>
      </c>
      <c r="X5">
        <f t="shared" si="7"/>
        <v>1.4750833333333335E-3</v>
      </c>
      <c r="Y5">
        <v>400</v>
      </c>
      <c r="Z5" s="1">
        <v>61974</v>
      </c>
      <c r="AA5">
        <f t="shared" si="8"/>
        <v>1.2911250000000002E-3</v>
      </c>
      <c r="AB5">
        <v>400</v>
      </c>
      <c r="AC5" s="1">
        <v>61976</v>
      </c>
      <c r="AD5">
        <f t="shared" si="9"/>
        <v>1.2911666666666668E-3</v>
      </c>
      <c r="AE5">
        <v>420</v>
      </c>
      <c r="AF5" s="1">
        <v>59026</v>
      </c>
      <c r="AG5">
        <f t="shared" si="10"/>
        <v>1.2297083333333333E-3</v>
      </c>
      <c r="AH5">
        <v>450</v>
      </c>
      <c r="AI5" s="1">
        <v>54620</v>
      </c>
      <c r="AJ5">
        <f t="shared" si="11"/>
        <v>1.1379166666666666E-3</v>
      </c>
      <c r="AK5">
        <v>450</v>
      </c>
      <c r="AL5" s="1">
        <v>54622</v>
      </c>
      <c r="AM5">
        <f t="shared" si="12"/>
        <v>1.1379583333333335E-3</v>
      </c>
      <c r="AN5">
        <v>450</v>
      </c>
      <c r="AO5" s="1">
        <v>54582</v>
      </c>
      <c r="AP5">
        <f t="shared" si="13"/>
        <v>1.1371250000000001E-3</v>
      </c>
      <c r="AQ5">
        <v>450</v>
      </c>
      <c r="AR5" s="1">
        <v>54600</v>
      </c>
      <c r="AS5">
        <f t="shared" si="14"/>
        <v>1.1375000000000001E-3</v>
      </c>
      <c r="AU5" s="1">
        <v>53136</v>
      </c>
      <c r="AV5">
        <f t="shared" si="15"/>
        <v>1.1070000000000001E-3</v>
      </c>
      <c r="AX5" s="1">
        <v>48700</v>
      </c>
      <c r="AY5">
        <f t="shared" si="16"/>
        <v>1.0145833333333335E-3</v>
      </c>
      <c r="BA5" s="1">
        <v>45750</v>
      </c>
      <c r="BB5">
        <f t="shared" si="17"/>
        <v>9.5312500000000009E-4</v>
      </c>
      <c r="BD5" s="1">
        <v>39850</v>
      </c>
      <c r="BE5">
        <f t="shared" si="18"/>
        <v>8.3020833333333341E-4</v>
      </c>
      <c r="BG5" s="1">
        <v>38390</v>
      </c>
      <c r="BH5">
        <f t="shared" si="19"/>
        <v>7.9979166666666675E-4</v>
      </c>
      <c r="BJ5" s="1">
        <v>35432</v>
      </c>
      <c r="BK5">
        <f t="shared" si="20"/>
        <v>7.381666666666667E-4</v>
      </c>
      <c r="BM5" s="1">
        <v>32476</v>
      </c>
      <c r="BN5">
        <f t="shared" si="21"/>
        <v>6.765833333333334E-4</v>
      </c>
      <c r="BP5" s="1">
        <v>31016</v>
      </c>
      <c r="BQ5">
        <f t="shared" si="22"/>
        <v>6.765833333333334E-4</v>
      </c>
      <c r="BS5" s="1">
        <v>29546</v>
      </c>
      <c r="BT5">
        <f t="shared" si="23"/>
        <v>6.1554166666666669E-4</v>
      </c>
      <c r="BV5" s="1">
        <v>28066</v>
      </c>
      <c r="BW5">
        <f t="shared" si="24"/>
        <v>5.8470833333333335E-4</v>
      </c>
      <c r="BY5" s="1">
        <v>26588</v>
      </c>
      <c r="BZ5">
        <f t="shared" si="25"/>
        <v>5.5391666666666675E-4</v>
      </c>
      <c r="CB5" s="1">
        <v>25114</v>
      </c>
      <c r="CC5">
        <f t="shared" si="26"/>
        <v>5.2320833333333332E-4</v>
      </c>
    </row>
    <row r="6" spans="1:81" x14ac:dyDescent="0.2">
      <c r="B6" s="1">
        <v>81427</v>
      </c>
      <c r="C6">
        <f t="shared" si="0"/>
        <v>1.6963958333333334E-3</v>
      </c>
      <c r="E6" s="1">
        <v>81516</v>
      </c>
      <c r="F6">
        <f t="shared" si="1"/>
        <v>1.6982500000000001E-3</v>
      </c>
      <c r="H6" s="1">
        <v>245773</v>
      </c>
      <c r="I6">
        <f t="shared" si="2"/>
        <v>5.1202708333333334E-3</v>
      </c>
      <c r="K6" s="1">
        <v>246268</v>
      </c>
      <c r="L6">
        <f t="shared" si="3"/>
        <v>5.1305833333333333E-3</v>
      </c>
      <c r="M6">
        <v>200</v>
      </c>
      <c r="N6" s="1">
        <v>123061</v>
      </c>
      <c r="O6">
        <f t="shared" si="4"/>
        <v>2.5637708333333337E-3</v>
      </c>
      <c r="P6">
        <v>450</v>
      </c>
      <c r="Q6" s="1">
        <v>54590</v>
      </c>
      <c r="R6">
        <f t="shared" si="5"/>
        <v>1.1372916666666667E-3</v>
      </c>
      <c r="S6">
        <v>200</v>
      </c>
      <c r="T6" s="1">
        <v>121621</v>
      </c>
      <c r="U6">
        <f t="shared" si="6"/>
        <v>2.5337708333333336E-3</v>
      </c>
      <c r="V6">
        <v>350</v>
      </c>
      <c r="W6" s="1">
        <v>70804</v>
      </c>
      <c r="X6">
        <f t="shared" si="7"/>
        <v>1.4750833333333335E-3</v>
      </c>
      <c r="Y6">
        <v>400</v>
      </c>
      <c r="Z6" s="1">
        <v>61976</v>
      </c>
      <c r="AA6">
        <f t="shared" si="8"/>
        <v>1.2911666666666668E-3</v>
      </c>
      <c r="AB6">
        <v>400</v>
      </c>
      <c r="AC6" s="1">
        <v>61976</v>
      </c>
      <c r="AD6">
        <f t="shared" si="9"/>
        <v>1.2911666666666668E-3</v>
      </c>
      <c r="AE6">
        <v>420</v>
      </c>
      <c r="AF6" s="1">
        <v>59022</v>
      </c>
      <c r="AG6">
        <f t="shared" si="10"/>
        <v>1.229625E-3</v>
      </c>
      <c r="AH6">
        <v>450</v>
      </c>
      <c r="AI6" s="1">
        <v>56094</v>
      </c>
      <c r="AJ6">
        <f t="shared" si="11"/>
        <v>1.1686250000000002E-3</v>
      </c>
      <c r="AK6">
        <v>450</v>
      </c>
      <c r="AL6" s="1">
        <v>54616</v>
      </c>
      <c r="AM6">
        <f t="shared" si="12"/>
        <v>1.1378333333333334E-3</v>
      </c>
      <c r="AN6">
        <v>450</v>
      </c>
      <c r="AO6" s="1">
        <v>54582</v>
      </c>
      <c r="AP6">
        <f t="shared" si="13"/>
        <v>1.1371250000000001E-3</v>
      </c>
      <c r="AQ6">
        <v>450</v>
      </c>
      <c r="AR6" s="1">
        <v>56068</v>
      </c>
      <c r="AS6">
        <f t="shared" si="14"/>
        <v>1.1680833333333335E-3</v>
      </c>
      <c r="AU6" s="1">
        <v>53140</v>
      </c>
      <c r="AV6">
        <f t="shared" si="15"/>
        <v>1.1070833333333334E-3</v>
      </c>
      <c r="AX6" s="1">
        <v>50170</v>
      </c>
      <c r="AY6">
        <f t="shared" si="16"/>
        <v>1.0452083333333333E-3</v>
      </c>
      <c r="BA6" s="1">
        <v>44278</v>
      </c>
      <c r="BB6">
        <f t="shared" si="17"/>
        <v>9.224583333333334E-4</v>
      </c>
      <c r="BD6" s="1">
        <v>41324</v>
      </c>
      <c r="BE6">
        <f t="shared" si="18"/>
        <v>8.6091666666666673E-4</v>
      </c>
      <c r="BG6" s="1">
        <v>38388</v>
      </c>
      <c r="BH6">
        <f t="shared" si="19"/>
        <v>7.9975000000000001E-4</v>
      </c>
      <c r="BJ6" s="1">
        <v>35426</v>
      </c>
      <c r="BK6">
        <f t="shared" si="20"/>
        <v>7.3804166666666669E-4</v>
      </c>
      <c r="BM6" s="1">
        <v>33954</v>
      </c>
      <c r="BN6">
        <f t="shared" si="21"/>
        <v>7.07375E-4</v>
      </c>
      <c r="BP6" s="1">
        <v>31018</v>
      </c>
      <c r="BQ6">
        <f t="shared" si="22"/>
        <v>7.07375E-4</v>
      </c>
      <c r="BS6" s="1">
        <v>29550</v>
      </c>
      <c r="BT6">
        <f t="shared" si="23"/>
        <v>6.1562500000000007E-4</v>
      </c>
      <c r="BV6" s="1">
        <v>26596</v>
      </c>
      <c r="BW6">
        <f t="shared" si="24"/>
        <v>5.540833333333334E-4</v>
      </c>
      <c r="BY6" s="1">
        <v>26588</v>
      </c>
      <c r="BZ6">
        <f t="shared" si="25"/>
        <v>5.5391666666666675E-4</v>
      </c>
      <c r="CB6" s="1">
        <v>23636</v>
      </c>
      <c r="CC6">
        <f t="shared" si="26"/>
        <v>4.9241666666666672E-4</v>
      </c>
    </row>
    <row r="7" spans="1:81" x14ac:dyDescent="0.2">
      <c r="B7" s="1">
        <v>81538</v>
      </c>
      <c r="C7">
        <f t="shared" si="0"/>
        <v>1.6987083333333335E-3</v>
      </c>
      <c r="E7" s="1">
        <v>82590</v>
      </c>
      <c r="F7">
        <f t="shared" si="1"/>
        <v>1.7206250000000001E-3</v>
      </c>
      <c r="H7" s="1">
        <v>245827</v>
      </c>
      <c r="I7">
        <f t="shared" si="2"/>
        <v>5.1213958333333337E-3</v>
      </c>
      <c r="K7" s="1">
        <v>245068</v>
      </c>
      <c r="L7">
        <f t="shared" si="3"/>
        <v>5.1055833333333335E-3</v>
      </c>
      <c r="M7">
        <v>200</v>
      </c>
      <c r="N7" s="1">
        <v>121587</v>
      </c>
      <c r="O7">
        <f t="shared" si="4"/>
        <v>2.5330625000000002E-3</v>
      </c>
      <c r="P7">
        <v>450</v>
      </c>
      <c r="Q7" s="1">
        <v>54596</v>
      </c>
      <c r="R7">
        <f t="shared" si="5"/>
        <v>1.1374166666666668E-3</v>
      </c>
      <c r="S7">
        <v>200</v>
      </c>
      <c r="T7" s="1">
        <v>123095</v>
      </c>
      <c r="U7">
        <f t="shared" si="6"/>
        <v>2.5644791666666667E-3</v>
      </c>
      <c r="V7">
        <v>350</v>
      </c>
      <c r="W7" s="1">
        <v>69330</v>
      </c>
      <c r="X7">
        <f t="shared" si="7"/>
        <v>1.4443750000000001E-3</v>
      </c>
      <c r="Y7">
        <v>400</v>
      </c>
      <c r="Z7" s="1">
        <v>61974</v>
      </c>
      <c r="AA7">
        <f t="shared" si="8"/>
        <v>1.2911250000000002E-3</v>
      </c>
      <c r="AB7">
        <v>400</v>
      </c>
      <c r="AC7" s="1">
        <v>60502</v>
      </c>
      <c r="AD7">
        <f t="shared" si="9"/>
        <v>1.2604583333333335E-3</v>
      </c>
      <c r="AE7">
        <v>420</v>
      </c>
      <c r="AF7" s="1">
        <v>59024</v>
      </c>
      <c r="AG7">
        <f t="shared" si="10"/>
        <v>1.2296666666666667E-3</v>
      </c>
      <c r="AH7">
        <v>450</v>
      </c>
      <c r="AI7" s="1">
        <v>54624</v>
      </c>
      <c r="AJ7">
        <f t="shared" si="11"/>
        <v>1.1380000000000001E-3</v>
      </c>
      <c r="AK7">
        <v>450</v>
      </c>
      <c r="AL7" s="1">
        <v>56090</v>
      </c>
      <c r="AM7">
        <f t="shared" si="12"/>
        <v>1.1685416666666667E-3</v>
      </c>
      <c r="AN7">
        <v>450</v>
      </c>
      <c r="AO7" s="1">
        <v>54580</v>
      </c>
      <c r="AP7">
        <f t="shared" si="13"/>
        <v>1.1370833333333335E-3</v>
      </c>
      <c r="AQ7">
        <v>450</v>
      </c>
      <c r="AR7" s="1">
        <v>54594</v>
      </c>
      <c r="AS7">
        <f t="shared" si="14"/>
        <v>1.1373750000000001E-3</v>
      </c>
      <c r="AU7" s="1">
        <v>53138</v>
      </c>
      <c r="AV7">
        <f t="shared" si="15"/>
        <v>1.1070416666666668E-3</v>
      </c>
      <c r="AX7" s="1">
        <v>50174</v>
      </c>
      <c r="AY7">
        <f t="shared" si="16"/>
        <v>1.0452916666666668E-3</v>
      </c>
      <c r="BA7" s="1">
        <v>44276</v>
      </c>
      <c r="BB7">
        <f t="shared" si="17"/>
        <v>9.2241666666666676E-4</v>
      </c>
      <c r="BD7" s="1">
        <v>41328</v>
      </c>
      <c r="BE7">
        <f t="shared" si="18"/>
        <v>8.61E-4</v>
      </c>
      <c r="BG7" s="1">
        <v>38386</v>
      </c>
      <c r="BH7">
        <f t="shared" si="19"/>
        <v>7.9970833333333337E-4</v>
      </c>
      <c r="BJ7" s="1">
        <v>35430</v>
      </c>
      <c r="BK7">
        <f t="shared" si="20"/>
        <v>7.3812500000000007E-4</v>
      </c>
      <c r="BM7" s="1">
        <v>32478</v>
      </c>
      <c r="BN7">
        <f t="shared" si="21"/>
        <v>6.7662500000000003E-4</v>
      </c>
      <c r="BP7" s="1">
        <v>31018</v>
      </c>
      <c r="BQ7">
        <f t="shared" si="22"/>
        <v>6.7662500000000003E-4</v>
      </c>
      <c r="BS7" s="1">
        <v>29540</v>
      </c>
      <c r="BT7">
        <f t="shared" si="23"/>
        <v>6.1541666666666667E-4</v>
      </c>
      <c r="BV7" s="1">
        <v>26592</v>
      </c>
      <c r="BW7">
        <f t="shared" si="24"/>
        <v>5.5400000000000002E-4</v>
      </c>
      <c r="BY7" s="1">
        <v>26590</v>
      </c>
      <c r="BZ7">
        <f t="shared" si="25"/>
        <v>5.5395833333333339E-4</v>
      </c>
      <c r="CB7" s="1">
        <v>25112</v>
      </c>
      <c r="CC7">
        <f t="shared" si="26"/>
        <v>5.2316666666666668E-4</v>
      </c>
    </row>
    <row r="8" spans="1:81" x14ac:dyDescent="0.2">
      <c r="B8" s="1">
        <v>81538</v>
      </c>
      <c r="C8">
        <f t="shared" si="0"/>
        <v>1.6987083333333335E-3</v>
      </c>
      <c r="E8" s="1">
        <v>81397</v>
      </c>
      <c r="F8">
        <f t="shared" si="1"/>
        <v>1.6957708333333334E-3</v>
      </c>
      <c r="H8" s="1">
        <v>245844</v>
      </c>
      <c r="I8">
        <f t="shared" si="2"/>
        <v>5.1217500000000004E-3</v>
      </c>
      <c r="K8" s="1">
        <v>246515</v>
      </c>
      <c r="L8">
        <f t="shared" si="3"/>
        <v>5.1357291666666669E-3</v>
      </c>
      <c r="M8">
        <v>200</v>
      </c>
      <c r="N8" s="1">
        <v>123061</v>
      </c>
      <c r="O8">
        <f t="shared" si="4"/>
        <v>2.5637708333333337E-3</v>
      </c>
      <c r="P8">
        <v>450</v>
      </c>
      <c r="Q8" s="1">
        <v>54598</v>
      </c>
      <c r="R8">
        <f t="shared" si="5"/>
        <v>1.1374583333333334E-3</v>
      </c>
      <c r="S8">
        <v>200</v>
      </c>
      <c r="T8" s="1">
        <v>121629</v>
      </c>
      <c r="U8">
        <f t="shared" si="6"/>
        <v>2.5339375000000002E-3</v>
      </c>
      <c r="V8">
        <v>350</v>
      </c>
      <c r="W8" s="1">
        <v>70804</v>
      </c>
      <c r="X8">
        <f t="shared" si="7"/>
        <v>1.4750833333333335E-3</v>
      </c>
      <c r="Y8">
        <v>400</v>
      </c>
      <c r="Z8" s="1">
        <v>61976</v>
      </c>
      <c r="AA8">
        <f t="shared" si="8"/>
        <v>1.2911666666666668E-3</v>
      </c>
      <c r="AB8">
        <v>400</v>
      </c>
      <c r="AC8" s="1">
        <v>60500</v>
      </c>
      <c r="AD8">
        <f t="shared" si="9"/>
        <v>1.2604166666666668E-3</v>
      </c>
      <c r="AE8">
        <v>420</v>
      </c>
      <c r="AF8" s="1">
        <v>59028</v>
      </c>
      <c r="AG8">
        <f t="shared" si="10"/>
        <v>1.2297500000000002E-3</v>
      </c>
      <c r="AH8">
        <v>450</v>
      </c>
      <c r="AI8" s="1">
        <v>54624</v>
      </c>
      <c r="AJ8">
        <f t="shared" si="11"/>
        <v>1.1380000000000001E-3</v>
      </c>
      <c r="AK8">
        <v>450</v>
      </c>
      <c r="AL8" s="1">
        <v>54614</v>
      </c>
      <c r="AM8">
        <f t="shared" si="12"/>
        <v>1.1377916666666667E-3</v>
      </c>
      <c r="AN8">
        <v>450</v>
      </c>
      <c r="AO8" s="1">
        <v>54578</v>
      </c>
      <c r="AP8">
        <f t="shared" si="13"/>
        <v>1.1370416666666668E-3</v>
      </c>
      <c r="AQ8">
        <v>450</v>
      </c>
      <c r="AR8" s="1">
        <v>54596</v>
      </c>
      <c r="AS8">
        <f t="shared" si="14"/>
        <v>1.1374166666666668E-3</v>
      </c>
      <c r="AU8" s="1">
        <v>53136</v>
      </c>
      <c r="AV8">
        <f t="shared" si="15"/>
        <v>1.1070000000000001E-3</v>
      </c>
      <c r="AX8" s="1">
        <v>50172</v>
      </c>
      <c r="AY8">
        <f t="shared" si="16"/>
        <v>1.04525E-3</v>
      </c>
      <c r="BA8" s="1">
        <v>44276</v>
      </c>
      <c r="BB8">
        <f t="shared" si="17"/>
        <v>9.2241666666666676E-4</v>
      </c>
      <c r="BD8" s="1">
        <v>41326</v>
      </c>
      <c r="BE8">
        <f t="shared" si="18"/>
        <v>8.6095833333333337E-4</v>
      </c>
      <c r="BG8" s="1">
        <v>38388</v>
      </c>
      <c r="BH8">
        <f t="shared" si="19"/>
        <v>7.9975000000000001E-4</v>
      </c>
      <c r="BJ8" s="1">
        <v>35430</v>
      </c>
      <c r="BK8">
        <f t="shared" si="20"/>
        <v>7.3812500000000007E-4</v>
      </c>
      <c r="BM8" s="1">
        <v>33952</v>
      </c>
      <c r="BN8">
        <f t="shared" si="21"/>
        <v>7.0733333333333336E-4</v>
      </c>
      <c r="BP8" s="1">
        <v>31018</v>
      </c>
      <c r="BQ8">
        <f t="shared" si="22"/>
        <v>7.0733333333333336E-4</v>
      </c>
      <c r="BS8" s="1">
        <v>28068</v>
      </c>
      <c r="BT8">
        <f t="shared" si="23"/>
        <v>5.8474999999999998E-4</v>
      </c>
      <c r="BV8" s="1">
        <v>28068</v>
      </c>
      <c r="BW8">
        <f t="shared" si="24"/>
        <v>5.8474999999999998E-4</v>
      </c>
      <c r="BY8" s="1">
        <v>26590</v>
      </c>
      <c r="BZ8">
        <f t="shared" si="25"/>
        <v>5.5395833333333339E-4</v>
      </c>
      <c r="CB8" s="1">
        <v>25112</v>
      </c>
      <c r="CC8">
        <f t="shared" si="26"/>
        <v>5.2316666666666668E-4</v>
      </c>
    </row>
    <row r="9" spans="1:81" x14ac:dyDescent="0.2">
      <c r="B9" s="1">
        <v>81425</v>
      </c>
      <c r="C9">
        <f t="shared" si="0"/>
        <v>1.6963541666666668E-3</v>
      </c>
      <c r="E9" s="1">
        <v>81498</v>
      </c>
      <c r="F9">
        <f t="shared" si="1"/>
        <v>1.6978750000000002E-3</v>
      </c>
      <c r="H9" s="1">
        <v>246212</v>
      </c>
      <c r="I9">
        <f t="shared" si="2"/>
        <v>5.1294166666666667E-3</v>
      </c>
      <c r="K9" s="1">
        <v>246551</v>
      </c>
      <c r="L9">
        <f t="shared" si="3"/>
        <v>5.1364791666666668E-3</v>
      </c>
      <c r="M9">
        <v>200</v>
      </c>
      <c r="N9" s="1">
        <v>123049</v>
      </c>
      <c r="O9">
        <f t="shared" si="4"/>
        <v>2.5635208333333334E-3</v>
      </c>
      <c r="P9">
        <v>450</v>
      </c>
      <c r="Q9" s="1">
        <v>54590</v>
      </c>
      <c r="R9">
        <f t="shared" si="5"/>
        <v>1.1372916666666667E-3</v>
      </c>
      <c r="S9">
        <v>200</v>
      </c>
      <c r="T9" s="1">
        <v>123107</v>
      </c>
      <c r="U9">
        <f t="shared" si="6"/>
        <v>2.564729166666667E-3</v>
      </c>
      <c r="V9">
        <v>350</v>
      </c>
      <c r="W9" s="1">
        <v>70806</v>
      </c>
      <c r="X9">
        <f t="shared" si="7"/>
        <v>1.4751250000000001E-3</v>
      </c>
      <c r="Y9">
        <v>400</v>
      </c>
      <c r="Z9" s="1">
        <v>60486</v>
      </c>
      <c r="AA9">
        <f t="shared" si="8"/>
        <v>1.2601250000000002E-3</v>
      </c>
      <c r="AB9">
        <v>400</v>
      </c>
      <c r="AC9" s="1">
        <v>60500</v>
      </c>
      <c r="AD9">
        <f t="shared" si="9"/>
        <v>1.2604166666666668E-3</v>
      </c>
      <c r="AE9">
        <v>420</v>
      </c>
      <c r="AF9" s="1">
        <v>59022</v>
      </c>
      <c r="AG9">
        <f t="shared" si="10"/>
        <v>1.229625E-3</v>
      </c>
      <c r="AH9">
        <v>450</v>
      </c>
      <c r="AI9" s="1">
        <v>54616</v>
      </c>
      <c r="AJ9">
        <f t="shared" si="11"/>
        <v>1.1378333333333334E-3</v>
      </c>
      <c r="AK9">
        <v>450</v>
      </c>
      <c r="AL9" s="1">
        <v>54614</v>
      </c>
      <c r="AM9">
        <f t="shared" si="12"/>
        <v>1.1377916666666667E-3</v>
      </c>
      <c r="AN9">
        <v>450</v>
      </c>
      <c r="AO9" s="1">
        <v>54580</v>
      </c>
      <c r="AP9">
        <f t="shared" si="13"/>
        <v>1.1370833333333335E-3</v>
      </c>
      <c r="AQ9">
        <v>450</v>
      </c>
      <c r="AR9" s="1">
        <v>56074</v>
      </c>
      <c r="AS9">
        <f t="shared" si="14"/>
        <v>1.1682083333333334E-3</v>
      </c>
      <c r="AU9" s="1">
        <v>51662</v>
      </c>
      <c r="AV9">
        <f t="shared" si="15"/>
        <v>1.0762916666666668E-3</v>
      </c>
      <c r="AX9" s="1">
        <v>50168</v>
      </c>
      <c r="AY9">
        <f t="shared" si="16"/>
        <v>1.0451666666666667E-3</v>
      </c>
      <c r="BA9" s="1">
        <v>45750</v>
      </c>
      <c r="BB9">
        <f t="shared" si="17"/>
        <v>9.5312500000000009E-4</v>
      </c>
      <c r="BD9" s="1">
        <v>41324</v>
      </c>
      <c r="BE9">
        <f t="shared" si="18"/>
        <v>8.6091666666666673E-4</v>
      </c>
      <c r="BG9" s="1">
        <v>36912</v>
      </c>
      <c r="BH9">
        <f t="shared" si="19"/>
        <v>7.6900000000000004E-4</v>
      </c>
      <c r="BJ9" s="1">
        <v>33956</v>
      </c>
      <c r="BK9">
        <f t="shared" si="20"/>
        <v>7.0741666666666674E-4</v>
      </c>
      <c r="BM9" s="1">
        <v>32480</v>
      </c>
      <c r="BN9">
        <f t="shared" si="21"/>
        <v>6.7666666666666667E-4</v>
      </c>
      <c r="BP9" s="1">
        <v>31020</v>
      </c>
      <c r="BQ9">
        <f t="shared" si="22"/>
        <v>6.7666666666666667E-4</v>
      </c>
      <c r="BS9" s="1">
        <v>28070</v>
      </c>
      <c r="BT9">
        <f t="shared" si="23"/>
        <v>5.8479166666666673E-4</v>
      </c>
      <c r="BV9" s="1">
        <v>28068</v>
      </c>
      <c r="BW9">
        <f t="shared" si="24"/>
        <v>5.8474999999999998E-4</v>
      </c>
      <c r="BY9" s="1">
        <v>26594</v>
      </c>
      <c r="BZ9">
        <f t="shared" si="25"/>
        <v>5.5404166666666666E-4</v>
      </c>
      <c r="CB9" s="1">
        <v>25114</v>
      </c>
      <c r="CC9">
        <f t="shared" si="26"/>
        <v>5.2320833333333332E-4</v>
      </c>
    </row>
    <row r="10" spans="1:81" x14ac:dyDescent="0.2">
      <c r="B10" s="1">
        <v>81538</v>
      </c>
      <c r="C10">
        <f t="shared" si="0"/>
        <v>1.6987083333333335E-3</v>
      </c>
      <c r="E10" s="1">
        <v>82584</v>
      </c>
      <c r="F10">
        <f t="shared" si="1"/>
        <v>1.7205E-3</v>
      </c>
      <c r="H10" s="1">
        <v>245782</v>
      </c>
      <c r="I10">
        <f t="shared" si="2"/>
        <v>5.1204583333333336E-3</v>
      </c>
      <c r="K10" s="1">
        <v>246476</v>
      </c>
      <c r="L10">
        <f t="shared" si="3"/>
        <v>5.134916666666667E-3</v>
      </c>
      <c r="M10">
        <v>200</v>
      </c>
      <c r="N10" s="1">
        <v>123053</v>
      </c>
      <c r="O10">
        <f t="shared" si="4"/>
        <v>2.5636041666666667E-3</v>
      </c>
      <c r="P10">
        <v>450</v>
      </c>
      <c r="Q10" s="1">
        <v>54598</v>
      </c>
      <c r="R10">
        <f t="shared" si="5"/>
        <v>1.1374583333333334E-3</v>
      </c>
      <c r="S10">
        <v>200</v>
      </c>
      <c r="T10" s="1">
        <v>123097</v>
      </c>
      <c r="U10">
        <f t="shared" si="6"/>
        <v>2.5645208333333336E-3</v>
      </c>
      <c r="V10">
        <v>350</v>
      </c>
      <c r="W10" s="1">
        <v>70806</v>
      </c>
      <c r="X10">
        <f t="shared" si="7"/>
        <v>1.4751250000000001E-3</v>
      </c>
      <c r="Y10">
        <v>400</v>
      </c>
      <c r="Z10" s="1">
        <v>61952</v>
      </c>
      <c r="AA10">
        <f t="shared" si="8"/>
        <v>1.2906666666666667E-3</v>
      </c>
      <c r="AB10">
        <v>400</v>
      </c>
      <c r="AC10" s="1">
        <v>61978</v>
      </c>
      <c r="AD10">
        <f t="shared" si="9"/>
        <v>1.2912083333333334E-3</v>
      </c>
      <c r="AE10">
        <v>420</v>
      </c>
      <c r="AF10" s="1">
        <v>59026</v>
      </c>
      <c r="AG10">
        <f t="shared" si="10"/>
        <v>1.2297083333333333E-3</v>
      </c>
      <c r="AH10">
        <v>450</v>
      </c>
      <c r="AI10" s="1">
        <v>54624</v>
      </c>
      <c r="AJ10">
        <f t="shared" si="11"/>
        <v>1.1380000000000001E-3</v>
      </c>
      <c r="AK10">
        <v>450</v>
      </c>
      <c r="AL10" s="1">
        <v>56096</v>
      </c>
      <c r="AM10">
        <f t="shared" si="12"/>
        <v>1.1686666666666668E-3</v>
      </c>
      <c r="AN10">
        <v>450</v>
      </c>
      <c r="AO10" s="1">
        <v>54570</v>
      </c>
      <c r="AP10">
        <f t="shared" si="13"/>
        <v>1.1368750000000001E-3</v>
      </c>
      <c r="AQ10">
        <v>450</v>
      </c>
      <c r="AR10" s="1">
        <v>54590</v>
      </c>
      <c r="AS10">
        <f t="shared" si="14"/>
        <v>1.1372916666666667E-3</v>
      </c>
      <c r="AU10" s="1">
        <v>53142</v>
      </c>
      <c r="AV10">
        <f t="shared" si="15"/>
        <v>1.107125E-3</v>
      </c>
      <c r="AX10" s="1">
        <v>48698</v>
      </c>
      <c r="AY10">
        <f t="shared" si="16"/>
        <v>1.0145416666666666E-3</v>
      </c>
      <c r="BA10" s="1">
        <v>45750</v>
      </c>
      <c r="BB10">
        <f t="shared" si="17"/>
        <v>9.5312500000000009E-4</v>
      </c>
      <c r="BD10" s="1">
        <v>39854</v>
      </c>
      <c r="BE10">
        <f t="shared" si="18"/>
        <v>8.3029166666666668E-4</v>
      </c>
      <c r="BG10" s="1">
        <v>38388</v>
      </c>
      <c r="BH10">
        <f t="shared" si="19"/>
        <v>7.9975000000000001E-4</v>
      </c>
      <c r="BJ10" s="1">
        <v>35432</v>
      </c>
      <c r="BK10">
        <f t="shared" si="20"/>
        <v>7.381666666666667E-4</v>
      </c>
      <c r="BM10" s="1">
        <v>32480</v>
      </c>
      <c r="BN10">
        <f t="shared" si="21"/>
        <v>6.7666666666666667E-4</v>
      </c>
      <c r="BP10" s="1">
        <v>31020</v>
      </c>
      <c r="BQ10">
        <f t="shared" si="22"/>
        <v>6.7666666666666667E-4</v>
      </c>
      <c r="BS10" s="1">
        <v>28072</v>
      </c>
      <c r="BT10">
        <f t="shared" si="23"/>
        <v>5.8483333333333336E-4</v>
      </c>
      <c r="BV10" s="1">
        <v>28068</v>
      </c>
      <c r="BW10">
        <f t="shared" si="24"/>
        <v>5.8474999999999998E-4</v>
      </c>
      <c r="BY10" s="1">
        <v>26592</v>
      </c>
      <c r="BZ10">
        <f t="shared" si="25"/>
        <v>5.5400000000000002E-4</v>
      </c>
      <c r="CB10" s="1">
        <v>25114</v>
      </c>
      <c r="CC10">
        <f t="shared" si="26"/>
        <v>5.2320833333333332E-4</v>
      </c>
    </row>
    <row r="11" spans="1:81" x14ac:dyDescent="0.2">
      <c r="B11" s="1">
        <v>81536</v>
      </c>
      <c r="C11">
        <f t="shared" si="0"/>
        <v>1.6986666666666667E-3</v>
      </c>
      <c r="E11" s="1">
        <v>81395</v>
      </c>
      <c r="F11">
        <f t="shared" si="1"/>
        <v>1.6957291666666668E-3</v>
      </c>
      <c r="H11" s="1">
        <v>246125</v>
      </c>
      <c r="I11">
        <f t="shared" si="2"/>
        <v>5.1276041666666666E-3</v>
      </c>
      <c r="K11" s="1">
        <v>246129</v>
      </c>
      <c r="L11">
        <f t="shared" si="3"/>
        <v>5.1276875000000003E-3</v>
      </c>
      <c r="M11">
        <v>200</v>
      </c>
      <c r="N11" s="1">
        <v>123059</v>
      </c>
      <c r="O11">
        <f t="shared" si="4"/>
        <v>2.5637291666666668E-3</v>
      </c>
      <c r="P11">
        <v>450</v>
      </c>
      <c r="Q11" s="1">
        <v>54592</v>
      </c>
      <c r="R11">
        <f t="shared" si="5"/>
        <v>1.1373333333333333E-3</v>
      </c>
      <c r="S11">
        <v>200</v>
      </c>
      <c r="T11" s="1">
        <v>123105</v>
      </c>
      <c r="U11">
        <f t="shared" si="6"/>
        <v>2.5646875000000001E-3</v>
      </c>
      <c r="V11">
        <v>350</v>
      </c>
      <c r="W11" s="1">
        <v>69336</v>
      </c>
      <c r="X11">
        <f t="shared" si="7"/>
        <v>1.4445E-3</v>
      </c>
      <c r="Y11">
        <v>400</v>
      </c>
      <c r="Z11" s="1">
        <v>61964</v>
      </c>
      <c r="AA11">
        <f t="shared" si="8"/>
        <v>1.2909166666666668E-3</v>
      </c>
      <c r="AB11">
        <v>400</v>
      </c>
      <c r="AC11" s="1">
        <v>61972</v>
      </c>
      <c r="AD11">
        <f t="shared" si="9"/>
        <v>1.2910833333333333E-3</v>
      </c>
      <c r="AE11">
        <v>420</v>
      </c>
      <c r="AF11" s="1">
        <v>59024</v>
      </c>
      <c r="AG11">
        <f t="shared" si="10"/>
        <v>1.2296666666666667E-3</v>
      </c>
      <c r="AH11">
        <v>450</v>
      </c>
      <c r="AI11" s="1">
        <v>56090</v>
      </c>
      <c r="AJ11">
        <f t="shared" si="11"/>
        <v>1.1685416666666667E-3</v>
      </c>
      <c r="AK11">
        <v>450</v>
      </c>
      <c r="AL11" s="1">
        <v>54616</v>
      </c>
      <c r="AM11">
        <f t="shared" si="12"/>
        <v>1.1378333333333334E-3</v>
      </c>
      <c r="AN11">
        <v>450</v>
      </c>
      <c r="AO11" s="1">
        <v>54580</v>
      </c>
      <c r="AP11">
        <f t="shared" si="13"/>
        <v>1.1370833333333335E-3</v>
      </c>
      <c r="AQ11">
        <v>450</v>
      </c>
      <c r="AR11" s="1">
        <v>53120</v>
      </c>
      <c r="AS11">
        <f t="shared" si="14"/>
        <v>1.1066666666666668E-3</v>
      </c>
      <c r="AU11" s="1">
        <v>51662</v>
      </c>
      <c r="AV11">
        <f t="shared" si="15"/>
        <v>1.0762916666666668E-3</v>
      </c>
      <c r="AX11" s="1">
        <v>48698</v>
      </c>
      <c r="AY11">
        <f t="shared" si="16"/>
        <v>1.0145416666666666E-3</v>
      </c>
      <c r="BA11" s="1">
        <v>44274</v>
      </c>
      <c r="BB11">
        <f t="shared" si="17"/>
        <v>9.2237500000000002E-4</v>
      </c>
      <c r="BD11" s="1">
        <v>39852</v>
      </c>
      <c r="BE11">
        <f t="shared" si="18"/>
        <v>8.3025000000000004E-4</v>
      </c>
      <c r="BG11" s="1">
        <v>38390</v>
      </c>
      <c r="BH11">
        <f t="shared" si="19"/>
        <v>7.9979166666666675E-4</v>
      </c>
      <c r="BJ11" s="1">
        <v>35432</v>
      </c>
      <c r="BK11">
        <f t="shared" si="20"/>
        <v>7.381666666666667E-4</v>
      </c>
      <c r="BM11" s="1">
        <v>33950</v>
      </c>
      <c r="BN11">
        <f t="shared" si="21"/>
        <v>7.0729166666666672E-4</v>
      </c>
      <c r="BP11" s="1">
        <v>31018</v>
      </c>
      <c r="BQ11">
        <f t="shared" si="22"/>
        <v>7.0729166666666672E-4</v>
      </c>
      <c r="BS11" s="1">
        <v>29550</v>
      </c>
      <c r="BT11">
        <f t="shared" si="23"/>
        <v>6.1562500000000007E-4</v>
      </c>
      <c r="BV11" s="1">
        <v>28066</v>
      </c>
      <c r="BW11">
        <f t="shared" si="24"/>
        <v>5.8470833333333335E-4</v>
      </c>
      <c r="BY11" s="1">
        <v>26594</v>
      </c>
      <c r="BZ11">
        <f t="shared" si="25"/>
        <v>5.5404166666666666E-4</v>
      </c>
      <c r="CB11" s="1">
        <v>23640</v>
      </c>
      <c r="CC11">
        <f t="shared" si="26"/>
        <v>4.9249999999999999E-4</v>
      </c>
    </row>
    <row r="12" spans="1:81" x14ac:dyDescent="0.2">
      <c r="B12" s="1">
        <v>81425</v>
      </c>
      <c r="C12">
        <f t="shared" si="0"/>
        <v>1.6963541666666668E-3</v>
      </c>
      <c r="E12" s="1">
        <v>82590</v>
      </c>
      <c r="F12">
        <f t="shared" si="1"/>
        <v>1.7206250000000001E-3</v>
      </c>
      <c r="H12" s="1">
        <v>245765</v>
      </c>
      <c r="I12">
        <f t="shared" si="2"/>
        <v>5.1201041666666669E-3</v>
      </c>
      <c r="K12" s="1">
        <v>245447</v>
      </c>
      <c r="L12">
        <f t="shared" si="3"/>
        <v>5.1134791666666672E-3</v>
      </c>
      <c r="M12">
        <v>200</v>
      </c>
      <c r="N12" s="1">
        <v>123059</v>
      </c>
      <c r="O12">
        <f t="shared" si="4"/>
        <v>2.5637291666666668E-3</v>
      </c>
      <c r="P12">
        <v>450</v>
      </c>
      <c r="Q12" s="1">
        <v>54594</v>
      </c>
      <c r="R12">
        <f t="shared" si="5"/>
        <v>1.1373750000000001E-3</v>
      </c>
      <c r="S12">
        <v>200</v>
      </c>
      <c r="T12" s="1">
        <v>123107</v>
      </c>
      <c r="U12">
        <f t="shared" si="6"/>
        <v>2.564729166666667E-3</v>
      </c>
      <c r="V12">
        <v>350</v>
      </c>
      <c r="W12" s="1">
        <v>70810</v>
      </c>
      <c r="X12">
        <f t="shared" si="7"/>
        <v>1.4752083333333334E-3</v>
      </c>
      <c r="Y12">
        <v>400</v>
      </c>
      <c r="Z12" s="1">
        <v>61960</v>
      </c>
      <c r="AA12">
        <f t="shared" si="8"/>
        <v>1.2908333333333335E-3</v>
      </c>
      <c r="AB12">
        <v>400</v>
      </c>
      <c r="AC12" s="1">
        <v>61978</v>
      </c>
      <c r="AD12">
        <f t="shared" si="9"/>
        <v>1.2912083333333334E-3</v>
      </c>
      <c r="AE12">
        <v>420</v>
      </c>
      <c r="AF12" s="1">
        <v>59022</v>
      </c>
      <c r="AG12">
        <f t="shared" si="10"/>
        <v>1.229625E-3</v>
      </c>
      <c r="AH12">
        <v>450</v>
      </c>
      <c r="AI12" s="1">
        <v>54622</v>
      </c>
      <c r="AJ12">
        <f t="shared" si="11"/>
        <v>1.1379583333333335E-3</v>
      </c>
      <c r="AK12">
        <v>450</v>
      </c>
      <c r="AL12" s="1">
        <v>54614</v>
      </c>
      <c r="AM12">
        <f t="shared" si="12"/>
        <v>1.1377916666666667E-3</v>
      </c>
      <c r="AN12">
        <v>450</v>
      </c>
      <c r="AO12" s="1">
        <v>54582</v>
      </c>
      <c r="AP12">
        <f t="shared" si="13"/>
        <v>1.1371250000000001E-3</v>
      </c>
      <c r="AQ12">
        <v>450</v>
      </c>
      <c r="AR12" s="1">
        <v>54598</v>
      </c>
      <c r="AS12">
        <f t="shared" si="14"/>
        <v>1.1374583333333334E-3</v>
      </c>
      <c r="AU12" s="1">
        <v>53132</v>
      </c>
      <c r="AV12">
        <f t="shared" si="15"/>
        <v>1.1069166666666666E-3</v>
      </c>
      <c r="AX12" s="1">
        <v>48702</v>
      </c>
      <c r="AY12">
        <f t="shared" si="16"/>
        <v>1.0146250000000001E-3</v>
      </c>
      <c r="BA12" s="1">
        <v>44272</v>
      </c>
      <c r="BB12">
        <f t="shared" si="17"/>
        <v>9.2233333333333338E-4</v>
      </c>
      <c r="BD12" s="1">
        <v>41326</v>
      </c>
      <c r="BE12">
        <f t="shared" si="18"/>
        <v>8.6095833333333337E-4</v>
      </c>
      <c r="BG12" s="1">
        <v>38390</v>
      </c>
      <c r="BH12">
        <f t="shared" si="19"/>
        <v>7.9979166666666675E-4</v>
      </c>
      <c r="BJ12" s="1">
        <v>35428</v>
      </c>
      <c r="BK12">
        <f t="shared" si="20"/>
        <v>7.3808333333333343E-4</v>
      </c>
      <c r="BM12" s="1">
        <v>32476</v>
      </c>
      <c r="BN12">
        <f t="shared" si="21"/>
        <v>6.765833333333334E-4</v>
      </c>
      <c r="BP12" s="1">
        <v>31018</v>
      </c>
      <c r="BQ12">
        <f t="shared" si="22"/>
        <v>6.765833333333334E-4</v>
      </c>
      <c r="BS12" s="1">
        <v>29546</v>
      </c>
      <c r="BT12">
        <f t="shared" si="23"/>
        <v>6.1554166666666669E-4</v>
      </c>
      <c r="BV12" s="1">
        <v>26592</v>
      </c>
      <c r="BW12">
        <f t="shared" si="24"/>
        <v>5.5400000000000002E-4</v>
      </c>
      <c r="BY12" s="1">
        <v>26592</v>
      </c>
      <c r="BZ12">
        <f t="shared" si="25"/>
        <v>5.5400000000000002E-4</v>
      </c>
      <c r="CB12" s="1">
        <v>25114</v>
      </c>
      <c r="CC12">
        <f t="shared" si="26"/>
        <v>5.2320833333333332E-4</v>
      </c>
    </row>
    <row r="13" spans="1:81" x14ac:dyDescent="0.2">
      <c r="B13" s="1">
        <v>80068</v>
      </c>
      <c r="C13">
        <f t="shared" si="0"/>
        <v>1.6680833333333335E-3</v>
      </c>
      <c r="E13" s="1">
        <v>81122</v>
      </c>
      <c r="F13">
        <f t="shared" si="1"/>
        <v>1.6900416666666667E-3</v>
      </c>
      <c r="H13" s="1">
        <v>246146</v>
      </c>
      <c r="I13">
        <f t="shared" si="2"/>
        <v>5.128041666666667E-3</v>
      </c>
      <c r="K13" s="1">
        <v>246259</v>
      </c>
      <c r="L13">
        <f t="shared" si="3"/>
        <v>5.130395833333334E-3</v>
      </c>
      <c r="M13">
        <v>200</v>
      </c>
      <c r="N13" s="1">
        <v>121583</v>
      </c>
      <c r="O13">
        <f t="shared" si="4"/>
        <v>2.5329791666666669E-3</v>
      </c>
      <c r="P13">
        <v>450</v>
      </c>
      <c r="Q13" s="1">
        <v>54594</v>
      </c>
      <c r="R13">
        <f t="shared" si="5"/>
        <v>1.1373750000000001E-3</v>
      </c>
      <c r="S13">
        <v>200</v>
      </c>
      <c r="T13" s="1">
        <v>121637</v>
      </c>
      <c r="U13">
        <f t="shared" si="6"/>
        <v>2.5341041666666667E-3</v>
      </c>
      <c r="V13">
        <v>350</v>
      </c>
      <c r="W13" s="1">
        <v>69336</v>
      </c>
      <c r="X13">
        <f t="shared" si="7"/>
        <v>1.4445E-3</v>
      </c>
      <c r="Y13">
        <v>400</v>
      </c>
      <c r="Z13" s="1">
        <v>61962</v>
      </c>
      <c r="AA13">
        <f t="shared" si="8"/>
        <v>1.2908750000000001E-3</v>
      </c>
      <c r="AB13">
        <v>400</v>
      </c>
      <c r="AC13" s="1">
        <v>60496</v>
      </c>
      <c r="AD13">
        <f t="shared" si="9"/>
        <v>1.2603333333333334E-3</v>
      </c>
      <c r="AE13">
        <v>420</v>
      </c>
      <c r="AF13" s="1">
        <v>59022</v>
      </c>
      <c r="AG13">
        <f t="shared" si="10"/>
        <v>1.229625E-3</v>
      </c>
      <c r="AH13">
        <v>450</v>
      </c>
      <c r="AI13" s="1">
        <v>54624</v>
      </c>
      <c r="AJ13">
        <f t="shared" si="11"/>
        <v>1.1380000000000001E-3</v>
      </c>
      <c r="AK13">
        <v>450</v>
      </c>
      <c r="AL13" s="1">
        <v>54614</v>
      </c>
      <c r="AM13">
        <f t="shared" si="12"/>
        <v>1.1377916666666667E-3</v>
      </c>
      <c r="AN13">
        <v>450</v>
      </c>
      <c r="AO13" s="1">
        <v>54584</v>
      </c>
      <c r="AP13">
        <f t="shared" si="13"/>
        <v>1.1371666666666668E-3</v>
      </c>
      <c r="AQ13">
        <v>450</v>
      </c>
      <c r="AR13" s="1">
        <v>54602</v>
      </c>
      <c r="AS13">
        <f t="shared" si="14"/>
        <v>1.1375416666666667E-3</v>
      </c>
      <c r="AU13" s="1">
        <v>53134</v>
      </c>
      <c r="AV13">
        <f t="shared" si="15"/>
        <v>1.1069583333333335E-3</v>
      </c>
      <c r="AX13" s="1">
        <v>48700</v>
      </c>
      <c r="AY13">
        <f t="shared" si="16"/>
        <v>1.0145833333333335E-3</v>
      </c>
      <c r="BA13" s="1">
        <v>44272</v>
      </c>
      <c r="BB13">
        <f t="shared" si="17"/>
        <v>9.2233333333333338E-4</v>
      </c>
      <c r="BD13" s="1">
        <v>41328</v>
      </c>
      <c r="BE13">
        <f t="shared" si="18"/>
        <v>8.61E-4</v>
      </c>
      <c r="BG13" s="1">
        <v>38390</v>
      </c>
      <c r="BH13">
        <f t="shared" si="19"/>
        <v>7.9979166666666675E-4</v>
      </c>
      <c r="BJ13" s="1">
        <v>35424</v>
      </c>
      <c r="BK13">
        <f t="shared" si="20"/>
        <v>7.3800000000000005E-4</v>
      </c>
      <c r="BM13" s="1">
        <v>33950</v>
      </c>
      <c r="BN13">
        <f t="shared" si="21"/>
        <v>7.0729166666666672E-4</v>
      </c>
      <c r="BP13" s="1">
        <v>31018</v>
      </c>
      <c r="BQ13">
        <f t="shared" si="22"/>
        <v>7.0729166666666672E-4</v>
      </c>
      <c r="BS13" s="1">
        <v>29544</v>
      </c>
      <c r="BT13">
        <f t="shared" si="23"/>
        <v>6.1550000000000005E-4</v>
      </c>
      <c r="BV13" s="1">
        <v>28068</v>
      </c>
      <c r="BW13">
        <f t="shared" si="24"/>
        <v>5.8474999999999998E-4</v>
      </c>
      <c r="BY13" s="1">
        <v>26590</v>
      </c>
      <c r="BZ13">
        <f t="shared" si="25"/>
        <v>5.5395833333333339E-4</v>
      </c>
      <c r="CB13" s="1">
        <v>23642</v>
      </c>
      <c r="CC13">
        <f t="shared" si="26"/>
        <v>4.9254166666666674E-4</v>
      </c>
    </row>
    <row r="14" spans="1:81" x14ac:dyDescent="0.2">
      <c r="B14" s="1">
        <v>81540</v>
      </c>
      <c r="C14">
        <f t="shared" si="0"/>
        <v>1.6987500000000002E-3</v>
      </c>
      <c r="E14" s="1">
        <v>82594</v>
      </c>
      <c r="F14">
        <f t="shared" si="1"/>
        <v>1.7207083333333334E-3</v>
      </c>
      <c r="H14" s="1">
        <v>246593</v>
      </c>
      <c r="I14">
        <f t="shared" si="2"/>
        <v>5.1373541666666668E-3</v>
      </c>
      <c r="K14" s="1">
        <v>245833</v>
      </c>
      <c r="L14">
        <f t="shared" si="3"/>
        <v>5.1215208333333338E-3</v>
      </c>
      <c r="M14">
        <v>200</v>
      </c>
      <c r="N14" s="1">
        <v>121577</v>
      </c>
      <c r="O14">
        <f t="shared" si="4"/>
        <v>2.5328541666666668E-3</v>
      </c>
      <c r="P14">
        <v>450</v>
      </c>
      <c r="Q14" s="1">
        <v>54598</v>
      </c>
      <c r="R14">
        <f t="shared" si="5"/>
        <v>1.1374583333333334E-3</v>
      </c>
      <c r="S14">
        <v>200</v>
      </c>
      <c r="T14" s="1">
        <v>121625</v>
      </c>
      <c r="U14">
        <f t="shared" si="6"/>
        <v>2.5338541666666669E-3</v>
      </c>
      <c r="V14">
        <v>350</v>
      </c>
      <c r="W14" s="1">
        <v>70808</v>
      </c>
      <c r="X14">
        <f t="shared" si="7"/>
        <v>1.4751666666666667E-3</v>
      </c>
      <c r="Y14">
        <v>400</v>
      </c>
      <c r="Z14" s="1">
        <v>60488</v>
      </c>
      <c r="AA14">
        <f t="shared" si="8"/>
        <v>1.2601666666666668E-3</v>
      </c>
      <c r="AB14">
        <v>400</v>
      </c>
      <c r="AC14" s="1">
        <v>60502</v>
      </c>
      <c r="AD14">
        <f t="shared" si="9"/>
        <v>1.2604583333333335E-3</v>
      </c>
      <c r="AE14">
        <v>420</v>
      </c>
      <c r="AF14" s="1">
        <v>59020</v>
      </c>
      <c r="AG14">
        <f t="shared" si="10"/>
        <v>1.2295833333333334E-3</v>
      </c>
      <c r="AH14">
        <v>450</v>
      </c>
      <c r="AI14" s="1">
        <v>56096</v>
      </c>
      <c r="AJ14">
        <f t="shared" si="11"/>
        <v>1.1686666666666668E-3</v>
      </c>
      <c r="AK14">
        <v>450</v>
      </c>
      <c r="AL14" s="1">
        <v>54616</v>
      </c>
      <c r="AM14">
        <f t="shared" si="12"/>
        <v>1.1378333333333334E-3</v>
      </c>
      <c r="AN14">
        <v>450</v>
      </c>
      <c r="AO14" s="1">
        <v>54580</v>
      </c>
      <c r="AP14">
        <f t="shared" si="13"/>
        <v>1.1370833333333335E-3</v>
      </c>
      <c r="AQ14">
        <v>450</v>
      </c>
      <c r="AR14" s="1">
        <v>54596</v>
      </c>
      <c r="AS14">
        <f t="shared" si="14"/>
        <v>1.1374166666666668E-3</v>
      </c>
      <c r="AU14" s="1">
        <v>53138</v>
      </c>
      <c r="AV14">
        <f t="shared" si="15"/>
        <v>1.1070416666666668E-3</v>
      </c>
      <c r="AX14" s="1">
        <v>48698</v>
      </c>
      <c r="AY14">
        <f t="shared" si="16"/>
        <v>1.0145416666666666E-3</v>
      </c>
      <c r="BA14" s="1">
        <v>44270</v>
      </c>
      <c r="BB14">
        <f t="shared" si="17"/>
        <v>9.2229166666666675E-4</v>
      </c>
      <c r="BD14" s="1">
        <v>41326</v>
      </c>
      <c r="BE14">
        <f t="shared" si="18"/>
        <v>8.6095833333333337E-4</v>
      </c>
      <c r="BG14" s="1">
        <v>38390</v>
      </c>
      <c r="BH14">
        <f t="shared" si="19"/>
        <v>7.9979166666666675E-4</v>
      </c>
      <c r="BJ14" s="1">
        <v>35432</v>
      </c>
      <c r="BK14">
        <f t="shared" si="20"/>
        <v>7.381666666666667E-4</v>
      </c>
      <c r="BM14" s="1">
        <v>32476</v>
      </c>
      <c r="BN14">
        <f t="shared" si="21"/>
        <v>6.765833333333334E-4</v>
      </c>
      <c r="BP14" s="1">
        <v>31016</v>
      </c>
      <c r="BQ14">
        <f t="shared" si="22"/>
        <v>6.765833333333334E-4</v>
      </c>
      <c r="BS14" s="1">
        <v>29546</v>
      </c>
      <c r="BT14">
        <f t="shared" si="23"/>
        <v>6.1554166666666669E-4</v>
      </c>
      <c r="BV14" s="1">
        <v>28068</v>
      </c>
      <c r="BW14">
        <f t="shared" si="24"/>
        <v>5.8474999999999998E-4</v>
      </c>
      <c r="BY14" s="1">
        <v>26592</v>
      </c>
      <c r="BZ14">
        <f t="shared" si="25"/>
        <v>5.5400000000000002E-4</v>
      </c>
      <c r="CB14" s="1">
        <v>25116</v>
      </c>
      <c r="CC14">
        <f t="shared" si="26"/>
        <v>5.2325000000000006E-4</v>
      </c>
    </row>
    <row r="15" spans="1:81" x14ac:dyDescent="0.2">
      <c r="B15" s="1">
        <v>82616</v>
      </c>
      <c r="C15">
        <f t="shared" si="0"/>
        <v>1.7211666666666669E-3</v>
      </c>
      <c r="E15" s="1">
        <v>81405</v>
      </c>
      <c r="F15">
        <f t="shared" si="1"/>
        <v>1.6959375000000002E-3</v>
      </c>
      <c r="H15" s="1">
        <v>245449</v>
      </c>
      <c r="I15">
        <f t="shared" si="2"/>
        <v>5.1135208333333336E-3</v>
      </c>
      <c r="K15" s="1">
        <v>246604</v>
      </c>
      <c r="L15">
        <f t="shared" si="3"/>
        <v>5.1375833333333334E-3</v>
      </c>
      <c r="M15">
        <v>200</v>
      </c>
      <c r="N15" s="1">
        <v>121581</v>
      </c>
      <c r="O15">
        <f t="shared" si="4"/>
        <v>2.5329375E-3</v>
      </c>
      <c r="P15">
        <v>450</v>
      </c>
      <c r="Q15" s="1">
        <v>54596</v>
      </c>
      <c r="R15">
        <f t="shared" si="5"/>
        <v>1.1374166666666668E-3</v>
      </c>
      <c r="S15">
        <v>200</v>
      </c>
      <c r="T15" s="1">
        <v>121611</v>
      </c>
      <c r="U15">
        <f t="shared" si="6"/>
        <v>2.5335625000000002E-3</v>
      </c>
      <c r="V15">
        <v>350</v>
      </c>
      <c r="W15" s="1">
        <v>70802</v>
      </c>
      <c r="X15">
        <f t="shared" si="7"/>
        <v>1.4750416666666668E-3</v>
      </c>
      <c r="Y15">
        <v>400</v>
      </c>
      <c r="Z15" s="1">
        <v>61960</v>
      </c>
      <c r="AA15">
        <f t="shared" si="8"/>
        <v>1.2908333333333335E-3</v>
      </c>
      <c r="AB15">
        <v>400</v>
      </c>
      <c r="AC15" s="1">
        <v>61970</v>
      </c>
      <c r="AD15">
        <f t="shared" si="9"/>
        <v>1.2910416666666667E-3</v>
      </c>
      <c r="AE15">
        <v>420</v>
      </c>
      <c r="AF15" s="1">
        <v>59018</v>
      </c>
      <c r="AG15">
        <f t="shared" si="10"/>
        <v>1.2295416666666668E-3</v>
      </c>
      <c r="AH15">
        <v>450</v>
      </c>
      <c r="AI15" s="1">
        <v>54622</v>
      </c>
      <c r="AJ15">
        <f t="shared" si="11"/>
        <v>1.1379583333333335E-3</v>
      </c>
      <c r="AK15">
        <v>450</v>
      </c>
      <c r="AL15" s="1">
        <v>54618</v>
      </c>
      <c r="AM15">
        <f t="shared" si="12"/>
        <v>1.137875E-3</v>
      </c>
      <c r="AN15">
        <v>450</v>
      </c>
      <c r="AO15" s="1">
        <v>56056</v>
      </c>
      <c r="AP15">
        <f t="shared" si="13"/>
        <v>1.1678333333333334E-3</v>
      </c>
      <c r="AQ15">
        <v>450</v>
      </c>
      <c r="AR15" s="1">
        <v>54594</v>
      </c>
      <c r="AS15">
        <f t="shared" si="14"/>
        <v>1.1373750000000001E-3</v>
      </c>
      <c r="AU15" s="1">
        <v>53134</v>
      </c>
      <c r="AV15">
        <f t="shared" si="15"/>
        <v>1.1069583333333335E-3</v>
      </c>
      <c r="AX15" s="1">
        <v>48698</v>
      </c>
      <c r="AY15">
        <f t="shared" si="16"/>
        <v>1.0145416666666666E-3</v>
      </c>
      <c r="BA15" s="1">
        <v>44272</v>
      </c>
      <c r="BB15">
        <f t="shared" si="17"/>
        <v>9.2233333333333338E-4</v>
      </c>
      <c r="BD15" s="1">
        <v>39852</v>
      </c>
      <c r="BE15">
        <f t="shared" si="18"/>
        <v>8.3025000000000004E-4</v>
      </c>
      <c r="BG15" s="1">
        <v>36916</v>
      </c>
      <c r="BH15">
        <f t="shared" si="19"/>
        <v>7.6908333333333342E-4</v>
      </c>
      <c r="BJ15" s="1">
        <v>35432</v>
      </c>
      <c r="BK15">
        <f t="shared" si="20"/>
        <v>7.381666666666667E-4</v>
      </c>
      <c r="BM15" s="1">
        <v>32476</v>
      </c>
      <c r="BN15">
        <f t="shared" si="21"/>
        <v>6.765833333333334E-4</v>
      </c>
      <c r="BP15" s="1">
        <v>31018</v>
      </c>
      <c r="BQ15">
        <f t="shared" si="22"/>
        <v>6.765833333333334E-4</v>
      </c>
      <c r="BS15" s="1">
        <v>29544</v>
      </c>
      <c r="BT15">
        <f t="shared" si="23"/>
        <v>6.1550000000000005E-4</v>
      </c>
      <c r="BV15" s="1">
        <v>28066</v>
      </c>
      <c r="BW15">
        <f t="shared" si="24"/>
        <v>5.8470833333333335E-4</v>
      </c>
      <c r="BY15" s="1">
        <v>26592</v>
      </c>
      <c r="BZ15">
        <f t="shared" si="25"/>
        <v>5.5400000000000002E-4</v>
      </c>
      <c r="CB15" s="1">
        <v>23642</v>
      </c>
      <c r="CC15">
        <f t="shared" si="26"/>
        <v>4.9254166666666674E-4</v>
      </c>
    </row>
    <row r="16" spans="1:81" x14ac:dyDescent="0.2">
      <c r="B16" s="1">
        <v>81140</v>
      </c>
      <c r="C16">
        <f t="shared" si="0"/>
        <v>1.6904166666666667E-3</v>
      </c>
      <c r="E16" s="1">
        <v>81504</v>
      </c>
      <c r="F16">
        <f t="shared" si="1"/>
        <v>1.6980000000000001E-3</v>
      </c>
      <c r="H16" s="1">
        <v>245882</v>
      </c>
      <c r="I16">
        <f t="shared" si="2"/>
        <v>5.1225416666666667E-3</v>
      </c>
      <c r="K16" s="1">
        <v>246574</v>
      </c>
      <c r="L16">
        <f t="shared" si="3"/>
        <v>5.1369583333333337E-3</v>
      </c>
      <c r="M16">
        <v>200</v>
      </c>
      <c r="N16" s="1">
        <v>123055</v>
      </c>
      <c r="O16">
        <f t="shared" si="4"/>
        <v>2.5636458333333336E-3</v>
      </c>
      <c r="P16">
        <v>450</v>
      </c>
      <c r="Q16" s="1">
        <v>56070</v>
      </c>
      <c r="R16">
        <f t="shared" si="5"/>
        <v>1.1681250000000001E-3</v>
      </c>
      <c r="S16">
        <v>200</v>
      </c>
      <c r="T16" s="1">
        <v>123087</v>
      </c>
      <c r="U16">
        <f t="shared" si="6"/>
        <v>2.5643125000000002E-3</v>
      </c>
      <c r="V16">
        <v>350</v>
      </c>
      <c r="W16" s="1">
        <v>70810</v>
      </c>
      <c r="X16">
        <f t="shared" si="7"/>
        <v>1.4752083333333334E-3</v>
      </c>
      <c r="Y16">
        <v>400</v>
      </c>
      <c r="Z16" s="1">
        <v>61956</v>
      </c>
      <c r="AA16">
        <f t="shared" si="8"/>
        <v>1.29075E-3</v>
      </c>
      <c r="AB16">
        <v>400</v>
      </c>
      <c r="AC16" s="1">
        <v>61976</v>
      </c>
      <c r="AD16">
        <f t="shared" si="9"/>
        <v>1.2911666666666668E-3</v>
      </c>
      <c r="AE16">
        <v>420</v>
      </c>
      <c r="AF16" s="1">
        <v>57548</v>
      </c>
      <c r="AG16">
        <f t="shared" si="10"/>
        <v>1.1989166666666667E-3</v>
      </c>
      <c r="AH16">
        <v>450</v>
      </c>
      <c r="AI16" s="1">
        <v>54620</v>
      </c>
      <c r="AJ16">
        <f t="shared" si="11"/>
        <v>1.1379166666666666E-3</v>
      </c>
      <c r="AK16">
        <v>450</v>
      </c>
      <c r="AL16" s="1">
        <v>54608</v>
      </c>
      <c r="AM16">
        <f t="shared" si="12"/>
        <v>1.1376666666666668E-3</v>
      </c>
      <c r="AN16">
        <v>450</v>
      </c>
      <c r="AO16" s="1">
        <v>54580</v>
      </c>
      <c r="AP16">
        <f t="shared" si="13"/>
        <v>1.1370833333333335E-3</v>
      </c>
      <c r="AQ16">
        <v>450</v>
      </c>
      <c r="AR16" s="1">
        <v>54596</v>
      </c>
      <c r="AS16">
        <f t="shared" si="14"/>
        <v>1.1374166666666668E-3</v>
      </c>
      <c r="AU16" s="1">
        <v>51660</v>
      </c>
      <c r="AV16">
        <f t="shared" si="15"/>
        <v>1.0762500000000002E-3</v>
      </c>
      <c r="AX16" s="1">
        <v>50172</v>
      </c>
      <c r="AY16">
        <f t="shared" si="16"/>
        <v>1.04525E-3</v>
      </c>
      <c r="BA16" s="1">
        <v>45748</v>
      </c>
      <c r="BB16">
        <f t="shared" si="17"/>
        <v>9.5308333333333334E-4</v>
      </c>
      <c r="BD16" s="1">
        <v>41324</v>
      </c>
      <c r="BE16">
        <f t="shared" si="18"/>
        <v>8.6091666666666673E-4</v>
      </c>
      <c r="BG16" s="1">
        <v>36912</v>
      </c>
      <c r="BH16">
        <f t="shared" si="19"/>
        <v>7.6900000000000004E-4</v>
      </c>
      <c r="BJ16" s="1">
        <v>35428</v>
      </c>
      <c r="BK16">
        <f t="shared" si="20"/>
        <v>7.3808333333333343E-4</v>
      </c>
      <c r="BM16" s="1">
        <v>33948</v>
      </c>
      <c r="BN16">
        <f t="shared" si="21"/>
        <v>7.0725000000000009E-4</v>
      </c>
      <c r="BP16" s="1">
        <v>29540</v>
      </c>
      <c r="BQ16">
        <f t="shared" si="22"/>
        <v>7.0725000000000009E-4</v>
      </c>
      <c r="BS16" s="1">
        <v>29546</v>
      </c>
      <c r="BT16">
        <f t="shared" si="23"/>
        <v>6.1554166666666669E-4</v>
      </c>
      <c r="BV16" s="1">
        <v>28068</v>
      </c>
      <c r="BW16">
        <f t="shared" si="24"/>
        <v>5.8474999999999998E-4</v>
      </c>
      <c r="BY16" s="1">
        <v>26592</v>
      </c>
      <c r="BZ16">
        <f t="shared" si="25"/>
        <v>5.5400000000000002E-4</v>
      </c>
      <c r="CB16" s="1">
        <v>25114</v>
      </c>
      <c r="CC16">
        <f t="shared" si="26"/>
        <v>5.2320833333333332E-4</v>
      </c>
    </row>
    <row r="17" spans="2:81" x14ac:dyDescent="0.2">
      <c r="B17" s="1">
        <v>81522</v>
      </c>
      <c r="C17">
        <f t="shared" si="0"/>
        <v>1.698375E-3</v>
      </c>
      <c r="E17" s="1">
        <v>82586</v>
      </c>
      <c r="F17">
        <f t="shared" si="1"/>
        <v>1.7205416666666669E-3</v>
      </c>
      <c r="H17" s="1">
        <v>246132</v>
      </c>
      <c r="I17">
        <f t="shared" si="2"/>
        <v>5.1277500000000004E-3</v>
      </c>
      <c r="K17" s="1">
        <v>245730</v>
      </c>
      <c r="L17">
        <f t="shared" si="3"/>
        <v>5.1193750000000007E-3</v>
      </c>
      <c r="M17">
        <v>200</v>
      </c>
      <c r="N17" s="1">
        <v>123061</v>
      </c>
      <c r="O17">
        <f t="shared" si="4"/>
        <v>2.5637708333333337E-3</v>
      </c>
      <c r="P17">
        <v>450</v>
      </c>
      <c r="Q17" s="1">
        <v>54594</v>
      </c>
      <c r="R17">
        <f t="shared" si="5"/>
        <v>1.1373750000000001E-3</v>
      </c>
      <c r="S17">
        <v>200</v>
      </c>
      <c r="T17" s="1">
        <v>123093</v>
      </c>
      <c r="U17">
        <f t="shared" si="6"/>
        <v>2.5644375000000003E-3</v>
      </c>
      <c r="V17">
        <v>350</v>
      </c>
      <c r="W17" s="1">
        <v>70806</v>
      </c>
      <c r="X17">
        <f t="shared" si="7"/>
        <v>1.4751250000000001E-3</v>
      </c>
      <c r="Y17">
        <v>400</v>
      </c>
      <c r="Z17" s="1">
        <v>61960</v>
      </c>
      <c r="AA17">
        <f t="shared" si="8"/>
        <v>1.2908333333333335E-3</v>
      </c>
      <c r="AB17">
        <v>400</v>
      </c>
      <c r="AC17" s="1">
        <v>61978</v>
      </c>
      <c r="AD17">
        <f t="shared" si="9"/>
        <v>1.2912083333333334E-3</v>
      </c>
      <c r="AE17">
        <v>420</v>
      </c>
      <c r="AF17" s="1">
        <v>57548</v>
      </c>
      <c r="AG17">
        <f t="shared" si="10"/>
        <v>1.1989166666666667E-3</v>
      </c>
      <c r="AH17">
        <v>450</v>
      </c>
      <c r="AI17" s="1">
        <v>54624</v>
      </c>
      <c r="AJ17">
        <f t="shared" si="11"/>
        <v>1.1380000000000001E-3</v>
      </c>
      <c r="AK17">
        <v>450</v>
      </c>
      <c r="AL17" s="1">
        <v>54618</v>
      </c>
      <c r="AM17">
        <f t="shared" si="12"/>
        <v>1.137875E-3</v>
      </c>
      <c r="AN17">
        <v>450</v>
      </c>
      <c r="AO17" s="1">
        <v>54582</v>
      </c>
      <c r="AP17">
        <f t="shared" si="13"/>
        <v>1.1371250000000001E-3</v>
      </c>
      <c r="AQ17">
        <v>450</v>
      </c>
      <c r="AR17" s="1">
        <v>56068</v>
      </c>
      <c r="AS17">
        <f t="shared" si="14"/>
        <v>1.1680833333333335E-3</v>
      </c>
      <c r="AU17" s="1">
        <v>53138</v>
      </c>
      <c r="AV17">
        <f t="shared" si="15"/>
        <v>1.1070416666666668E-3</v>
      </c>
      <c r="AX17" s="1">
        <v>50174</v>
      </c>
      <c r="AY17">
        <f t="shared" si="16"/>
        <v>1.0452916666666668E-3</v>
      </c>
      <c r="BA17" s="1">
        <v>45746</v>
      </c>
      <c r="BB17">
        <f t="shared" si="17"/>
        <v>9.5304166666666671E-4</v>
      </c>
      <c r="BD17" s="1">
        <v>41318</v>
      </c>
      <c r="BE17">
        <f t="shared" si="18"/>
        <v>8.6079166666666671E-4</v>
      </c>
      <c r="BG17" s="1">
        <v>36912</v>
      </c>
      <c r="BH17">
        <f t="shared" si="19"/>
        <v>7.6900000000000004E-4</v>
      </c>
      <c r="BJ17" s="1">
        <v>35430</v>
      </c>
      <c r="BK17">
        <f t="shared" si="20"/>
        <v>7.3812500000000007E-4</v>
      </c>
      <c r="BM17" s="1">
        <v>32476</v>
      </c>
      <c r="BN17">
        <f t="shared" si="21"/>
        <v>6.765833333333334E-4</v>
      </c>
      <c r="BP17" s="1">
        <v>31016</v>
      </c>
      <c r="BQ17">
        <f t="shared" si="22"/>
        <v>6.765833333333334E-4</v>
      </c>
      <c r="BS17" s="1">
        <v>29544</v>
      </c>
      <c r="BT17">
        <f t="shared" si="23"/>
        <v>6.1550000000000005E-4</v>
      </c>
      <c r="BV17" s="1">
        <v>26592</v>
      </c>
      <c r="BW17">
        <f t="shared" si="24"/>
        <v>5.5400000000000002E-4</v>
      </c>
      <c r="BY17" s="1">
        <v>26592</v>
      </c>
      <c r="BZ17">
        <f t="shared" si="25"/>
        <v>5.5400000000000002E-4</v>
      </c>
      <c r="CB17" s="1">
        <v>23640</v>
      </c>
      <c r="CC17">
        <f t="shared" si="26"/>
        <v>4.9249999999999999E-4</v>
      </c>
    </row>
    <row r="18" spans="2:81" x14ac:dyDescent="0.2">
      <c r="B18" s="1">
        <v>81419</v>
      </c>
      <c r="C18">
        <f t="shared" si="0"/>
        <v>1.6962291666666668E-3</v>
      </c>
      <c r="E18" s="1">
        <v>81110</v>
      </c>
      <c r="F18">
        <f t="shared" si="1"/>
        <v>1.6897916666666667E-3</v>
      </c>
      <c r="H18" s="1">
        <v>245709</v>
      </c>
      <c r="I18">
        <f t="shared" si="2"/>
        <v>5.1189375000000002E-3</v>
      </c>
      <c r="K18" s="1">
        <v>246111</v>
      </c>
      <c r="L18">
        <f t="shared" si="3"/>
        <v>5.1273124999999999E-3</v>
      </c>
      <c r="M18">
        <v>200</v>
      </c>
      <c r="N18" s="1">
        <v>123057</v>
      </c>
      <c r="O18">
        <f t="shared" si="4"/>
        <v>2.5636875E-3</v>
      </c>
      <c r="P18">
        <v>450</v>
      </c>
      <c r="Q18" s="1">
        <v>54594</v>
      </c>
      <c r="R18">
        <f t="shared" si="5"/>
        <v>1.1373750000000001E-3</v>
      </c>
      <c r="S18">
        <v>200</v>
      </c>
      <c r="T18" s="1">
        <v>123091</v>
      </c>
      <c r="U18">
        <f t="shared" si="6"/>
        <v>2.5643958333333335E-3</v>
      </c>
      <c r="V18">
        <v>350</v>
      </c>
      <c r="W18" s="1">
        <v>70810</v>
      </c>
      <c r="X18">
        <f t="shared" si="7"/>
        <v>1.4752083333333334E-3</v>
      </c>
      <c r="Y18">
        <v>400</v>
      </c>
      <c r="Z18" s="1">
        <v>61960</v>
      </c>
      <c r="AA18">
        <f t="shared" si="8"/>
        <v>1.2908333333333335E-3</v>
      </c>
      <c r="AB18">
        <v>400</v>
      </c>
      <c r="AC18" s="1">
        <v>61972</v>
      </c>
      <c r="AD18">
        <f t="shared" si="9"/>
        <v>1.2910833333333333E-3</v>
      </c>
      <c r="AE18">
        <v>420</v>
      </c>
      <c r="AF18" s="1">
        <v>59016</v>
      </c>
      <c r="AG18">
        <f t="shared" si="10"/>
        <v>1.2295000000000001E-3</v>
      </c>
      <c r="AH18">
        <v>450</v>
      </c>
      <c r="AI18" s="1">
        <v>54622</v>
      </c>
      <c r="AJ18">
        <f t="shared" si="11"/>
        <v>1.1379583333333335E-3</v>
      </c>
      <c r="AK18">
        <v>450</v>
      </c>
      <c r="AL18" s="1">
        <v>56090</v>
      </c>
      <c r="AM18">
        <f t="shared" si="12"/>
        <v>1.1685416666666667E-3</v>
      </c>
      <c r="AN18">
        <v>450</v>
      </c>
      <c r="AO18" s="1">
        <v>54576</v>
      </c>
      <c r="AP18">
        <f t="shared" si="13"/>
        <v>1.137E-3</v>
      </c>
      <c r="AQ18">
        <v>450</v>
      </c>
      <c r="AR18" s="1">
        <v>54596</v>
      </c>
      <c r="AS18">
        <f t="shared" si="14"/>
        <v>1.1374166666666668E-3</v>
      </c>
      <c r="AU18" s="1">
        <v>53134</v>
      </c>
      <c r="AV18">
        <f t="shared" si="15"/>
        <v>1.1069583333333335E-3</v>
      </c>
      <c r="AX18" s="1">
        <v>50178</v>
      </c>
      <c r="AY18">
        <f t="shared" si="16"/>
        <v>1.0453750000000001E-3</v>
      </c>
      <c r="BA18" s="1">
        <v>44272</v>
      </c>
      <c r="BB18">
        <f t="shared" si="17"/>
        <v>9.2233333333333338E-4</v>
      </c>
      <c r="BD18" s="1">
        <v>41322</v>
      </c>
      <c r="BE18">
        <f t="shared" si="18"/>
        <v>8.608750000000001E-4</v>
      </c>
      <c r="BG18" s="1">
        <v>38388</v>
      </c>
      <c r="BH18">
        <f t="shared" si="19"/>
        <v>7.9975000000000001E-4</v>
      </c>
      <c r="BJ18" s="1">
        <v>35432</v>
      </c>
      <c r="BK18">
        <f t="shared" si="20"/>
        <v>7.381666666666667E-4</v>
      </c>
      <c r="BM18" s="1">
        <v>32478</v>
      </c>
      <c r="BN18">
        <f t="shared" si="21"/>
        <v>6.7662500000000003E-4</v>
      </c>
      <c r="BP18" s="1">
        <v>31016</v>
      </c>
      <c r="BQ18">
        <f t="shared" si="22"/>
        <v>6.7662500000000003E-4</v>
      </c>
      <c r="BS18" s="1">
        <v>28072</v>
      </c>
      <c r="BT18">
        <f t="shared" si="23"/>
        <v>5.8483333333333336E-4</v>
      </c>
      <c r="BV18" s="1">
        <v>26594</v>
      </c>
      <c r="BW18">
        <f t="shared" si="24"/>
        <v>5.5404166666666666E-4</v>
      </c>
      <c r="BY18" s="1">
        <v>26594</v>
      </c>
      <c r="BZ18">
        <f t="shared" si="25"/>
        <v>5.5404166666666666E-4</v>
      </c>
      <c r="CB18" s="1">
        <v>25116</v>
      </c>
      <c r="CC18">
        <f t="shared" si="26"/>
        <v>5.2325000000000006E-4</v>
      </c>
    </row>
    <row r="19" spans="2:81" x14ac:dyDescent="0.2">
      <c r="B19" s="1">
        <v>81538</v>
      </c>
      <c r="C19">
        <f t="shared" si="0"/>
        <v>1.6987083333333335E-3</v>
      </c>
      <c r="E19" s="1">
        <v>82584</v>
      </c>
      <c r="F19">
        <f t="shared" si="1"/>
        <v>1.7205E-3</v>
      </c>
      <c r="H19" s="1">
        <v>245844</v>
      </c>
      <c r="I19">
        <f t="shared" si="2"/>
        <v>5.1217500000000004E-3</v>
      </c>
      <c r="K19" s="1">
        <v>246214</v>
      </c>
      <c r="L19">
        <f t="shared" si="3"/>
        <v>5.129458333333334E-3</v>
      </c>
      <c r="M19">
        <v>200</v>
      </c>
      <c r="N19" s="1">
        <v>121583</v>
      </c>
      <c r="O19">
        <f t="shared" si="4"/>
        <v>2.5329791666666669E-3</v>
      </c>
      <c r="P19">
        <v>450</v>
      </c>
      <c r="Q19" s="1">
        <v>54598</v>
      </c>
      <c r="R19">
        <f t="shared" si="5"/>
        <v>1.1374583333333334E-3</v>
      </c>
      <c r="S19">
        <v>200</v>
      </c>
      <c r="T19" s="1">
        <v>123085</v>
      </c>
      <c r="U19">
        <f t="shared" si="6"/>
        <v>2.5642708333333333E-3</v>
      </c>
      <c r="V19">
        <v>350</v>
      </c>
      <c r="W19" s="1">
        <v>69340</v>
      </c>
      <c r="X19">
        <f t="shared" si="7"/>
        <v>1.4445833333333335E-3</v>
      </c>
      <c r="Y19">
        <v>400</v>
      </c>
      <c r="Z19" s="1">
        <v>61958</v>
      </c>
      <c r="AA19">
        <f t="shared" si="8"/>
        <v>1.2907916666666666E-3</v>
      </c>
      <c r="AB19">
        <v>400</v>
      </c>
      <c r="AC19" s="1">
        <v>61978</v>
      </c>
      <c r="AD19">
        <f t="shared" si="9"/>
        <v>1.2912083333333334E-3</v>
      </c>
      <c r="AE19">
        <v>420</v>
      </c>
      <c r="AF19" s="1">
        <v>57552</v>
      </c>
      <c r="AG19">
        <f t="shared" si="10"/>
        <v>1.199E-3</v>
      </c>
      <c r="AH19">
        <v>450</v>
      </c>
      <c r="AI19" s="1">
        <v>54614</v>
      </c>
      <c r="AJ19">
        <f t="shared" si="11"/>
        <v>1.1377916666666667E-3</v>
      </c>
      <c r="AK19">
        <v>450</v>
      </c>
      <c r="AL19" s="1">
        <v>54618</v>
      </c>
      <c r="AM19">
        <f t="shared" si="12"/>
        <v>1.137875E-3</v>
      </c>
      <c r="AN19">
        <v>450</v>
      </c>
      <c r="AO19" s="1">
        <v>54578</v>
      </c>
      <c r="AP19">
        <f t="shared" si="13"/>
        <v>1.1370416666666668E-3</v>
      </c>
      <c r="AQ19">
        <v>450</v>
      </c>
      <c r="AR19" s="1">
        <v>54598</v>
      </c>
      <c r="AS19">
        <f t="shared" si="14"/>
        <v>1.1374583333333334E-3</v>
      </c>
      <c r="AU19" s="1">
        <v>53142</v>
      </c>
      <c r="AV19">
        <f t="shared" si="15"/>
        <v>1.107125E-3</v>
      </c>
      <c r="AX19" s="1">
        <v>50164</v>
      </c>
      <c r="AY19">
        <f t="shared" si="16"/>
        <v>1.0450833333333334E-3</v>
      </c>
      <c r="BA19" s="1">
        <v>44272</v>
      </c>
      <c r="BB19">
        <f t="shared" si="17"/>
        <v>9.2233333333333338E-4</v>
      </c>
      <c r="BD19" s="1">
        <v>41324</v>
      </c>
      <c r="BE19">
        <f t="shared" si="18"/>
        <v>8.6091666666666673E-4</v>
      </c>
      <c r="BG19" s="1">
        <v>38386</v>
      </c>
      <c r="BH19">
        <f t="shared" si="19"/>
        <v>7.9970833333333337E-4</v>
      </c>
      <c r="BJ19" s="1">
        <v>35430</v>
      </c>
      <c r="BK19">
        <f t="shared" si="20"/>
        <v>7.3812500000000007E-4</v>
      </c>
      <c r="BM19" s="1">
        <v>33954</v>
      </c>
      <c r="BN19">
        <f t="shared" si="21"/>
        <v>7.07375E-4</v>
      </c>
      <c r="BP19" s="1">
        <v>31014</v>
      </c>
      <c r="BQ19">
        <f t="shared" si="22"/>
        <v>7.07375E-4</v>
      </c>
      <c r="BS19" s="1">
        <v>28070</v>
      </c>
      <c r="BT19">
        <f t="shared" si="23"/>
        <v>5.8479166666666673E-4</v>
      </c>
      <c r="BV19" s="1">
        <v>26592</v>
      </c>
      <c r="BW19">
        <f t="shared" si="24"/>
        <v>5.5400000000000002E-4</v>
      </c>
      <c r="BY19" s="1">
        <v>25120</v>
      </c>
      <c r="BZ19">
        <f t="shared" si="25"/>
        <v>5.2333333333333333E-4</v>
      </c>
      <c r="CB19" s="1">
        <v>23642</v>
      </c>
      <c r="CC19">
        <f t="shared" si="26"/>
        <v>4.9254166666666674E-4</v>
      </c>
    </row>
    <row r="20" spans="2:81" x14ac:dyDescent="0.2">
      <c r="B20" s="1">
        <v>81538</v>
      </c>
      <c r="C20">
        <f t="shared" si="0"/>
        <v>1.6987083333333335E-3</v>
      </c>
      <c r="E20" s="1">
        <v>81112</v>
      </c>
      <c r="F20">
        <f t="shared" si="1"/>
        <v>1.6898333333333333E-3</v>
      </c>
      <c r="H20" s="1">
        <v>246191</v>
      </c>
      <c r="I20">
        <f t="shared" si="2"/>
        <v>5.1289791666666671E-3</v>
      </c>
      <c r="K20" s="1">
        <v>245848</v>
      </c>
      <c r="L20">
        <f t="shared" si="3"/>
        <v>5.1218333333333333E-3</v>
      </c>
      <c r="M20">
        <v>200</v>
      </c>
      <c r="N20" s="1">
        <v>121569</v>
      </c>
      <c r="O20">
        <f t="shared" si="4"/>
        <v>2.5326875000000002E-3</v>
      </c>
      <c r="P20">
        <v>450</v>
      </c>
      <c r="Q20" s="1">
        <v>54596</v>
      </c>
      <c r="R20">
        <f t="shared" si="5"/>
        <v>1.1374166666666668E-3</v>
      </c>
      <c r="S20">
        <v>200</v>
      </c>
      <c r="T20" s="1">
        <v>123087</v>
      </c>
      <c r="U20">
        <f t="shared" si="6"/>
        <v>2.5643125000000002E-3</v>
      </c>
      <c r="V20">
        <v>350</v>
      </c>
      <c r="W20" s="1">
        <v>69330</v>
      </c>
      <c r="X20">
        <f t="shared" si="7"/>
        <v>1.4443750000000001E-3</v>
      </c>
      <c r="Y20">
        <v>400</v>
      </c>
      <c r="Z20" s="1">
        <v>61966</v>
      </c>
      <c r="AA20">
        <f t="shared" si="8"/>
        <v>1.2909583333333334E-3</v>
      </c>
      <c r="AB20">
        <v>400</v>
      </c>
      <c r="AC20" s="1">
        <v>61974</v>
      </c>
      <c r="AD20">
        <f t="shared" si="9"/>
        <v>1.2911250000000002E-3</v>
      </c>
      <c r="AE20">
        <v>420</v>
      </c>
      <c r="AF20" s="1">
        <v>59024</v>
      </c>
      <c r="AG20">
        <f t="shared" si="10"/>
        <v>1.2296666666666667E-3</v>
      </c>
      <c r="AH20">
        <v>450</v>
      </c>
      <c r="AI20" s="1">
        <v>54614</v>
      </c>
      <c r="AJ20">
        <f t="shared" si="11"/>
        <v>1.1377916666666667E-3</v>
      </c>
      <c r="AK20">
        <v>450</v>
      </c>
      <c r="AL20" s="1">
        <v>54614</v>
      </c>
      <c r="AM20">
        <f t="shared" si="12"/>
        <v>1.1377916666666667E-3</v>
      </c>
      <c r="AN20">
        <v>450</v>
      </c>
      <c r="AO20" s="1">
        <v>56054</v>
      </c>
      <c r="AP20">
        <f t="shared" si="13"/>
        <v>1.1677916666666668E-3</v>
      </c>
      <c r="AQ20">
        <v>450</v>
      </c>
      <c r="AR20" s="1">
        <v>56068</v>
      </c>
      <c r="AS20">
        <f t="shared" si="14"/>
        <v>1.1680833333333335E-3</v>
      </c>
      <c r="AU20" s="1">
        <v>51664</v>
      </c>
      <c r="AV20">
        <f t="shared" si="15"/>
        <v>1.0763333333333334E-3</v>
      </c>
      <c r="AX20" s="1">
        <v>50164</v>
      </c>
      <c r="AY20">
        <f t="shared" si="16"/>
        <v>1.0450833333333334E-3</v>
      </c>
      <c r="BA20" s="1">
        <v>44272</v>
      </c>
      <c r="BB20">
        <f t="shared" si="17"/>
        <v>9.2233333333333338E-4</v>
      </c>
      <c r="BD20" s="1">
        <v>41326</v>
      </c>
      <c r="BE20">
        <f t="shared" si="18"/>
        <v>8.6095833333333337E-4</v>
      </c>
      <c r="BG20" s="1">
        <v>38386</v>
      </c>
      <c r="BH20">
        <f t="shared" si="19"/>
        <v>7.9970833333333337E-4</v>
      </c>
      <c r="BJ20" s="1">
        <v>33958</v>
      </c>
      <c r="BK20">
        <f t="shared" si="20"/>
        <v>7.0745833333333338E-4</v>
      </c>
      <c r="BM20" s="1">
        <v>32478</v>
      </c>
      <c r="BN20">
        <f t="shared" si="21"/>
        <v>6.7662500000000003E-4</v>
      </c>
      <c r="BP20" s="1">
        <v>31014</v>
      </c>
      <c r="BQ20">
        <f t="shared" si="22"/>
        <v>6.7662500000000003E-4</v>
      </c>
      <c r="BS20" s="1">
        <v>28070</v>
      </c>
      <c r="BT20">
        <f t="shared" si="23"/>
        <v>5.8479166666666673E-4</v>
      </c>
      <c r="BV20" s="1">
        <v>28064</v>
      </c>
      <c r="BW20">
        <f t="shared" si="24"/>
        <v>5.8466666666666671E-4</v>
      </c>
      <c r="BY20" s="1">
        <v>26590</v>
      </c>
      <c r="BZ20">
        <f t="shared" si="25"/>
        <v>5.5395833333333339E-4</v>
      </c>
      <c r="CB20" s="1">
        <v>25114</v>
      </c>
      <c r="CC20">
        <f t="shared" si="26"/>
        <v>5.2320833333333332E-4</v>
      </c>
    </row>
    <row r="21" spans="2:81" x14ac:dyDescent="0.2">
      <c r="B21" s="1">
        <v>80343</v>
      </c>
      <c r="C21">
        <f t="shared" si="0"/>
        <v>1.6738125000000002E-3</v>
      </c>
      <c r="E21" s="1">
        <v>82590</v>
      </c>
      <c r="F21">
        <f t="shared" si="1"/>
        <v>1.7206250000000001E-3</v>
      </c>
      <c r="H21" s="1">
        <v>245449</v>
      </c>
      <c r="I21">
        <f t="shared" si="2"/>
        <v>5.1135208333333336E-3</v>
      </c>
      <c r="K21" s="1">
        <v>245766</v>
      </c>
      <c r="L21">
        <f t="shared" si="3"/>
        <v>5.1201250000000005E-3</v>
      </c>
      <c r="M21">
        <v>200</v>
      </c>
      <c r="N21" s="1">
        <v>123051</v>
      </c>
      <c r="O21">
        <f t="shared" si="4"/>
        <v>2.5635625000000003E-3</v>
      </c>
      <c r="P21">
        <v>450</v>
      </c>
      <c r="Q21" s="1">
        <v>54596</v>
      </c>
      <c r="R21">
        <f t="shared" si="5"/>
        <v>1.1374166666666668E-3</v>
      </c>
      <c r="S21">
        <v>200</v>
      </c>
      <c r="T21" s="1">
        <v>121615</v>
      </c>
      <c r="U21">
        <f t="shared" si="6"/>
        <v>2.5336458333333335E-3</v>
      </c>
      <c r="V21">
        <v>350</v>
      </c>
      <c r="W21" s="1">
        <v>70806</v>
      </c>
      <c r="X21">
        <f t="shared" si="7"/>
        <v>1.4751250000000001E-3</v>
      </c>
      <c r="Y21">
        <v>400</v>
      </c>
      <c r="Z21" s="1">
        <v>61958</v>
      </c>
      <c r="AA21">
        <f t="shared" si="8"/>
        <v>1.2907916666666666E-3</v>
      </c>
      <c r="AB21">
        <v>400</v>
      </c>
      <c r="AC21" s="1">
        <v>60490</v>
      </c>
      <c r="AD21">
        <f t="shared" si="9"/>
        <v>1.2602083333333334E-3</v>
      </c>
      <c r="AE21">
        <v>420</v>
      </c>
      <c r="AF21" s="1">
        <v>59024</v>
      </c>
      <c r="AG21">
        <f t="shared" si="10"/>
        <v>1.2296666666666667E-3</v>
      </c>
      <c r="AH21">
        <v>450</v>
      </c>
      <c r="AI21" s="1">
        <v>54620</v>
      </c>
      <c r="AJ21">
        <f t="shared" si="11"/>
        <v>1.1379166666666666E-3</v>
      </c>
      <c r="AK21">
        <v>450</v>
      </c>
      <c r="AL21" s="1">
        <v>56084</v>
      </c>
      <c r="AM21">
        <f t="shared" si="12"/>
        <v>1.1684166666666668E-3</v>
      </c>
      <c r="AN21">
        <v>450</v>
      </c>
      <c r="AO21" s="1">
        <v>54578</v>
      </c>
      <c r="AP21">
        <f t="shared" si="13"/>
        <v>1.1370416666666668E-3</v>
      </c>
      <c r="AQ21">
        <v>450</v>
      </c>
      <c r="AR21" s="1">
        <v>54598</v>
      </c>
      <c r="AS21">
        <f t="shared" si="14"/>
        <v>1.1374583333333334E-3</v>
      </c>
      <c r="AU21" s="1">
        <v>51666</v>
      </c>
      <c r="AV21">
        <f t="shared" si="15"/>
        <v>1.0763750000000001E-3</v>
      </c>
      <c r="AX21" s="1">
        <v>50166</v>
      </c>
      <c r="AY21">
        <f t="shared" si="16"/>
        <v>1.045125E-3</v>
      </c>
      <c r="BA21" s="1">
        <v>45746</v>
      </c>
      <c r="BB21">
        <f t="shared" si="17"/>
        <v>9.5304166666666671E-4</v>
      </c>
      <c r="BD21" s="1">
        <v>41324</v>
      </c>
      <c r="BE21">
        <f t="shared" si="18"/>
        <v>8.6091666666666673E-4</v>
      </c>
      <c r="BG21" s="1">
        <v>38388</v>
      </c>
      <c r="BH21">
        <f t="shared" si="19"/>
        <v>7.9975000000000001E-4</v>
      </c>
      <c r="BJ21" s="1">
        <v>35430</v>
      </c>
      <c r="BK21">
        <f t="shared" si="20"/>
        <v>7.3812500000000007E-4</v>
      </c>
      <c r="BM21" s="1">
        <v>33952</v>
      </c>
      <c r="BN21">
        <f t="shared" si="21"/>
        <v>7.0733333333333336E-4</v>
      </c>
      <c r="BP21" s="1">
        <v>31016</v>
      </c>
      <c r="BQ21">
        <f t="shared" si="22"/>
        <v>7.0733333333333336E-4</v>
      </c>
      <c r="BS21" s="1">
        <v>29546</v>
      </c>
      <c r="BT21">
        <f t="shared" si="23"/>
        <v>6.1554166666666669E-4</v>
      </c>
      <c r="BV21" s="1">
        <v>26592</v>
      </c>
      <c r="BW21">
        <f t="shared" si="24"/>
        <v>5.5400000000000002E-4</v>
      </c>
      <c r="BY21" s="1">
        <v>26594</v>
      </c>
      <c r="BZ21">
        <f t="shared" si="25"/>
        <v>5.5404166666666666E-4</v>
      </c>
      <c r="CB21" s="1">
        <v>25116</v>
      </c>
      <c r="CC21">
        <f t="shared" si="26"/>
        <v>5.2325000000000006E-4</v>
      </c>
    </row>
    <row r="22" spans="2:81" x14ac:dyDescent="0.2">
      <c r="B22" s="1">
        <v>81427</v>
      </c>
      <c r="C22">
        <f t="shared" si="0"/>
        <v>1.6963958333333334E-3</v>
      </c>
      <c r="E22" s="1">
        <v>81393</v>
      </c>
      <c r="F22">
        <f t="shared" si="1"/>
        <v>1.6956875000000001E-3</v>
      </c>
      <c r="H22" s="1">
        <v>246224</v>
      </c>
      <c r="I22">
        <f t="shared" si="2"/>
        <v>5.1296666666666669E-3</v>
      </c>
      <c r="K22" s="1">
        <v>246220</v>
      </c>
      <c r="L22">
        <f t="shared" si="3"/>
        <v>5.1295833333333332E-3</v>
      </c>
      <c r="M22">
        <v>200</v>
      </c>
      <c r="N22" s="1">
        <v>121579</v>
      </c>
      <c r="O22">
        <f t="shared" si="4"/>
        <v>2.5328958333333336E-3</v>
      </c>
      <c r="P22">
        <v>450</v>
      </c>
      <c r="Q22" s="1">
        <v>54596</v>
      </c>
      <c r="R22">
        <f t="shared" si="5"/>
        <v>1.1374166666666668E-3</v>
      </c>
      <c r="S22">
        <v>200</v>
      </c>
      <c r="T22" s="1">
        <v>123095</v>
      </c>
      <c r="U22">
        <f t="shared" si="6"/>
        <v>2.5644791666666667E-3</v>
      </c>
      <c r="V22">
        <v>350</v>
      </c>
      <c r="W22" s="1">
        <v>70804</v>
      </c>
      <c r="X22">
        <f t="shared" si="7"/>
        <v>1.4750833333333335E-3</v>
      </c>
      <c r="Y22">
        <v>400</v>
      </c>
      <c r="Z22" s="1">
        <v>60488</v>
      </c>
      <c r="AA22">
        <f t="shared" si="8"/>
        <v>1.2601666666666668E-3</v>
      </c>
      <c r="AB22">
        <v>400</v>
      </c>
      <c r="AC22" s="1">
        <v>60500</v>
      </c>
      <c r="AD22">
        <f t="shared" si="9"/>
        <v>1.2604166666666668E-3</v>
      </c>
      <c r="AE22">
        <v>420</v>
      </c>
      <c r="AF22" s="1">
        <v>57548</v>
      </c>
      <c r="AG22">
        <f t="shared" si="10"/>
        <v>1.1989166666666667E-3</v>
      </c>
      <c r="AH22">
        <v>450</v>
      </c>
      <c r="AI22" s="1">
        <v>54618</v>
      </c>
      <c r="AJ22">
        <f t="shared" si="11"/>
        <v>1.137875E-3</v>
      </c>
      <c r="AK22">
        <v>450</v>
      </c>
      <c r="AL22" s="1">
        <v>54614</v>
      </c>
      <c r="AM22">
        <f t="shared" si="12"/>
        <v>1.1377916666666667E-3</v>
      </c>
      <c r="AN22">
        <v>450</v>
      </c>
      <c r="AO22" s="1">
        <v>54590</v>
      </c>
      <c r="AP22">
        <f t="shared" si="13"/>
        <v>1.1372916666666667E-3</v>
      </c>
      <c r="AQ22">
        <v>450</v>
      </c>
      <c r="AR22" s="1">
        <v>54596</v>
      </c>
      <c r="AS22">
        <f t="shared" si="14"/>
        <v>1.1374166666666668E-3</v>
      </c>
      <c r="AU22" s="1">
        <v>53136</v>
      </c>
      <c r="AV22">
        <f t="shared" si="15"/>
        <v>1.1070000000000001E-3</v>
      </c>
      <c r="AX22" s="1">
        <v>50166</v>
      </c>
      <c r="AY22">
        <f t="shared" si="16"/>
        <v>1.045125E-3</v>
      </c>
      <c r="BA22" s="1">
        <v>45748</v>
      </c>
      <c r="BB22">
        <f t="shared" si="17"/>
        <v>9.5308333333333334E-4</v>
      </c>
      <c r="BD22" s="1">
        <v>41330</v>
      </c>
      <c r="BE22">
        <f t="shared" si="18"/>
        <v>8.6104166666666675E-4</v>
      </c>
      <c r="BG22" s="1">
        <v>36914</v>
      </c>
      <c r="BH22">
        <f t="shared" si="19"/>
        <v>7.6904166666666668E-4</v>
      </c>
      <c r="BJ22" s="1">
        <v>33958</v>
      </c>
      <c r="BK22">
        <f t="shared" si="20"/>
        <v>7.0745833333333338E-4</v>
      </c>
      <c r="BM22" s="1">
        <v>32478</v>
      </c>
      <c r="BN22">
        <f t="shared" si="21"/>
        <v>6.7662500000000003E-4</v>
      </c>
      <c r="BP22" s="1">
        <v>31016</v>
      </c>
      <c r="BQ22">
        <f t="shared" si="22"/>
        <v>6.7662500000000003E-4</v>
      </c>
      <c r="BS22" s="1">
        <v>29548</v>
      </c>
      <c r="BT22">
        <f t="shared" si="23"/>
        <v>6.1558333333333333E-4</v>
      </c>
      <c r="BV22" s="1">
        <v>28070</v>
      </c>
      <c r="BW22">
        <f t="shared" si="24"/>
        <v>5.8479166666666673E-4</v>
      </c>
      <c r="BY22" s="1">
        <v>25118</v>
      </c>
      <c r="BZ22">
        <f t="shared" si="25"/>
        <v>5.232916666666667E-4</v>
      </c>
      <c r="CB22" s="1">
        <v>25116</v>
      </c>
      <c r="CC22">
        <f t="shared" si="26"/>
        <v>5.2325000000000006E-4</v>
      </c>
    </row>
    <row r="23" spans="2:81" x14ac:dyDescent="0.2">
      <c r="B23" s="1">
        <v>81540</v>
      </c>
      <c r="C23">
        <f t="shared" si="0"/>
        <v>1.6987500000000002E-3</v>
      </c>
      <c r="E23" s="1">
        <v>82590</v>
      </c>
      <c r="F23">
        <f t="shared" si="1"/>
        <v>1.7206250000000001E-3</v>
      </c>
      <c r="H23" s="1">
        <v>245804</v>
      </c>
      <c r="I23">
        <f t="shared" si="2"/>
        <v>5.1209166666666668E-3</v>
      </c>
      <c r="K23" s="1">
        <v>246740</v>
      </c>
      <c r="L23">
        <f t="shared" si="3"/>
        <v>5.1404166666666673E-3</v>
      </c>
      <c r="M23">
        <v>200</v>
      </c>
      <c r="N23" s="1">
        <v>123049</v>
      </c>
      <c r="O23">
        <f t="shared" si="4"/>
        <v>2.5635208333333334E-3</v>
      </c>
      <c r="P23">
        <v>450</v>
      </c>
      <c r="Q23" s="1">
        <v>54592</v>
      </c>
      <c r="R23">
        <f t="shared" si="5"/>
        <v>1.1373333333333333E-3</v>
      </c>
      <c r="S23">
        <v>200</v>
      </c>
      <c r="T23" s="1">
        <v>123089</v>
      </c>
      <c r="U23">
        <f t="shared" si="6"/>
        <v>2.564354166666667E-3</v>
      </c>
      <c r="V23">
        <v>350</v>
      </c>
      <c r="W23" s="1">
        <v>70812</v>
      </c>
      <c r="X23">
        <f t="shared" si="7"/>
        <v>1.47525E-3</v>
      </c>
      <c r="Y23">
        <v>400</v>
      </c>
      <c r="Z23" s="1">
        <v>61958</v>
      </c>
      <c r="AA23">
        <f t="shared" si="8"/>
        <v>1.2907916666666666E-3</v>
      </c>
      <c r="AB23">
        <v>400</v>
      </c>
      <c r="AC23" s="1">
        <v>61972</v>
      </c>
      <c r="AD23">
        <f t="shared" si="9"/>
        <v>1.2910833333333333E-3</v>
      </c>
      <c r="AE23">
        <v>420</v>
      </c>
      <c r="AF23" s="1">
        <v>59028</v>
      </c>
      <c r="AG23">
        <f t="shared" si="10"/>
        <v>1.2297500000000002E-3</v>
      </c>
      <c r="AH23">
        <v>450</v>
      </c>
      <c r="AI23" s="1">
        <v>54624</v>
      </c>
      <c r="AJ23">
        <f t="shared" si="11"/>
        <v>1.1380000000000001E-3</v>
      </c>
      <c r="AK23">
        <v>450</v>
      </c>
      <c r="AL23" s="1">
        <v>54612</v>
      </c>
      <c r="AM23">
        <f t="shared" si="12"/>
        <v>1.1377500000000001E-3</v>
      </c>
      <c r="AN23">
        <v>450</v>
      </c>
      <c r="AO23" s="1">
        <v>53118</v>
      </c>
      <c r="AP23">
        <f t="shared" si="13"/>
        <v>1.106625E-3</v>
      </c>
      <c r="AQ23">
        <v>450</v>
      </c>
      <c r="AR23" s="1">
        <v>54594</v>
      </c>
      <c r="AS23">
        <f t="shared" si="14"/>
        <v>1.1373750000000001E-3</v>
      </c>
      <c r="AU23" s="1">
        <v>53136</v>
      </c>
      <c r="AV23">
        <f t="shared" si="15"/>
        <v>1.1070000000000001E-3</v>
      </c>
      <c r="AX23" s="1">
        <v>48688</v>
      </c>
      <c r="AY23">
        <f t="shared" si="16"/>
        <v>1.0143333333333334E-3</v>
      </c>
      <c r="BA23" s="1">
        <v>45750</v>
      </c>
      <c r="BB23">
        <f t="shared" si="17"/>
        <v>9.5312500000000009E-4</v>
      </c>
      <c r="BD23" s="1">
        <v>41326</v>
      </c>
      <c r="BE23">
        <f t="shared" si="18"/>
        <v>8.6095833333333337E-4</v>
      </c>
      <c r="BG23" s="1">
        <v>36916</v>
      </c>
      <c r="BH23">
        <f t="shared" si="19"/>
        <v>7.6908333333333342E-4</v>
      </c>
      <c r="BJ23" s="1">
        <v>35430</v>
      </c>
      <c r="BK23">
        <f t="shared" si="20"/>
        <v>7.3812500000000007E-4</v>
      </c>
      <c r="BM23" s="1">
        <v>32476</v>
      </c>
      <c r="BN23">
        <f t="shared" si="21"/>
        <v>6.765833333333334E-4</v>
      </c>
      <c r="BP23" s="1">
        <v>31016</v>
      </c>
      <c r="BQ23">
        <f t="shared" si="22"/>
        <v>6.765833333333334E-4</v>
      </c>
      <c r="BS23" s="1">
        <v>29544</v>
      </c>
      <c r="BT23">
        <f t="shared" si="23"/>
        <v>6.1550000000000005E-4</v>
      </c>
      <c r="BV23" s="1">
        <v>26592</v>
      </c>
      <c r="BW23">
        <f t="shared" si="24"/>
        <v>5.5400000000000002E-4</v>
      </c>
      <c r="BY23" s="1">
        <v>26590</v>
      </c>
      <c r="BZ23">
        <f t="shared" si="25"/>
        <v>5.5395833333333339E-4</v>
      </c>
      <c r="CB23" s="1">
        <v>25114</v>
      </c>
      <c r="CC23">
        <f t="shared" si="26"/>
        <v>5.2320833333333332E-4</v>
      </c>
    </row>
    <row r="24" spans="2:81" x14ac:dyDescent="0.2">
      <c r="B24" s="1">
        <v>81540</v>
      </c>
      <c r="C24">
        <f t="shared" si="0"/>
        <v>1.6987500000000002E-3</v>
      </c>
      <c r="E24" s="1">
        <v>81389</v>
      </c>
      <c r="F24">
        <f t="shared" si="1"/>
        <v>1.6956041666666669E-3</v>
      </c>
      <c r="H24" s="1">
        <v>245886</v>
      </c>
      <c r="I24">
        <f t="shared" si="2"/>
        <v>5.1226250000000004E-3</v>
      </c>
      <c r="K24" s="1">
        <v>246164</v>
      </c>
      <c r="L24">
        <f t="shared" si="3"/>
        <v>5.1284166666666674E-3</v>
      </c>
      <c r="M24">
        <v>200</v>
      </c>
      <c r="N24" s="1">
        <v>123049</v>
      </c>
      <c r="O24">
        <f t="shared" si="4"/>
        <v>2.5635208333333334E-3</v>
      </c>
      <c r="P24">
        <v>450</v>
      </c>
      <c r="Q24" s="1">
        <v>56070</v>
      </c>
      <c r="R24">
        <f t="shared" si="5"/>
        <v>1.1681250000000001E-3</v>
      </c>
      <c r="S24">
        <v>200</v>
      </c>
      <c r="T24" s="1">
        <v>123097</v>
      </c>
      <c r="U24">
        <f t="shared" si="6"/>
        <v>2.5645208333333336E-3</v>
      </c>
      <c r="V24">
        <v>350</v>
      </c>
      <c r="W24" s="1">
        <v>70810</v>
      </c>
      <c r="X24">
        <f t="shared" si="7"/>
        <v>1.4752083333333334E-3</v>
      </c>
      <c r="Y24">
        <v>400</v>
      </c>
      <c r="Z24" s="1">
        <v>61958</v>
      </c>
      <c r="AA24">
        <f t="shared" si="8"/>
        <v>1.2907916666666666E-3</v>
      </c>
      <c r="AB24">
        <v>400</v>
      </c>
      <c r="AC24" s="1">
        <v>61976</v>
      </c>
      <c r="AD24">
        <f t="shared" si="9"/>
        <v>1.2911666666666668E-3</v>
      </c>
      <c r="AE24">
        <v>420</v>
      </c>
      <c r="AF24" s="1"/>
      <c r="AH24">
        <v>450</v>
      </c>
      <c r="AI24" s="1">
        <v>54614</v>
      </c>
      <c r="AJ24">
        <f t="shared" si="11"/>
        <v>1.1377916666666667E-3</v>
      </c>
      <c r="AK24">
        <v>450</v>
      </c>
      <c r="AL24" s="1">
        <v>56092</v>
      </c>
      <c r="AM24">
        <f t="shared" si="12"/>
        <v>1.1685833333333333E-3</v>
      </c>
      <c r="AN24">
        <v>450</v>
      </c>
      <c r="AO24" s="1">
        <v>54592</v>
      </c>
      <c r="AP24">
        <f t="shared" si="13"/>
        <v>1.1373333333333333E-3</v>
      </c>
      <c r="AQ24">
        <v>450</v>
      </c>
      <c r="AR24" s="1">
        <v>54596</v>
      </c>
      <c r="AS24">
        <f t="shared" si="14"/>
        <v>1.1374166666666668E-3</v>
      </c>
      <c r="AU24" s="1">
        <v>53140</v>
      </c>
      <c r="AV24">
        <f t="shared" si="15"/>
        <v>1.1070833333333334E-3</v>
      </c>
      <c r="AX24" s="1">
        <v>50164</v>
      </c>
      <c r="AY24">
        <f t="shared" si="16"/>
        <v>1.0450833333333334E-3</v>
      </c>
      <c r="BA24" s="1">
        <v>45744</v>
      </c>
      <c r="BB24">
        <f t="shared" si="17"/>
        <v>9.5300000000000007E-4</v>
      </c>
      <c r="BD24" s="1">
        <v>41332</v>
      </c>
      <c r="BE24">
        <f t="shared" si="18"/>
        <v>8.6108333333333338E-4</v>
      </c>
      <c r="BG24" s="1">
        <v>38388</v>
      </c>
      <c r="BH24">
        <f t="shared" si="19"/>
        <v>7.9975000000000001E-4</v>
      </c>
      <c r="BJ24" s="1">
        <v>35430</v>
      </c>
      <c r="BK24">
        <f t="shared" si="20"/>
        <v>7.3812500000000007E-4</v>
      </c>
      <c r="BM24" s="1">
        <v>33952</v>
      </c>
      <c r="BN24">
        <f t="shared" si="21"/>
        <v>7.0733333333333336E-4</v>
      </c>
      <c r="BP24" s="1">
        <v>31014</v>
      </c>
      <c r="BQ24">
        <f t="shared" si="22"/>
        <v>7.0733333333333336E-4</v>
      </c>
      <c r="BS24" s="1">
        <v>29544</v>
      </c>
      <c r="BT24">
        <f t="shared" si="23"/>
        <v>6.1550000000000005E-4</v>
      </c>
      <c r="BV24" s="1">
        <v>26590</v>
      </c>
      <c r="BW24">
        <f t="shared" si="24"/>
        <v>5.5395833333333339E-4</v>
      </c>
      <c r="BY24" s="1">
        <v>26590</v>
      </c>
      <c r="BZ24">
        <f t="shared" si="25"/>
        <v>5.5395833333333339E-4</v>
      </c>
      <c r="CB24" s="1">
        <v>25114</v>
      </c>
      <c r="CC24">
        <f t="shared" si="26"/>
        <v>5.2320833333333332E-4</v>
      </c>
    </row>
    <row r="25" spans="2:81" x14ac:dyDescent="0.2">
      <c r="B25" s="1">
        <v>80349</v>
      </c>
      <c r="C25">
        <f t="shared" si="0"/>
        <v>1.6739375000000001E-3</v>
      </c>
      <c r="E25" s="1">
        <v>82586</v>
      </c>
      <c r="F25">
        <f t="shared" si="1"/>
        <v>1.7205416666666669E-3</v>
      </c>
      <c r="H25" s="1">
        <v>245100</v>
      </c>
      <c r="I25">
        <f t="shared" si="2"/>
        <v>5.1062500000000005E-3</v>
      </c>
      <c r="K25" s="1">
        <v>246300</v>
      </c>
      <c r="L25">
        <f t="shared" si="3"/>
        <v>5.1312500000000004E-3</v>
      </c>
      <c r="M25">
        <v>200</v>
      </c>
      <c r="N25" s="1">
        <v>121583</v>
      </c>
      <c r="O25">
        <f t="shared" si="4"/>
        <v>2.5329791666666669E-3</v>
      </c>
      <c r="P25">
        <v>450</v>
      </c>
      <c r="Q25" s="1">
        <v>54604</v>
      </c>
      <c r="R25">
        <f t="shared" si="5"/>
        <v>1.1375833333333333E-3</v>
      </c>
      <c r="S25">
        <v>200</v>
      </c>
      <c r="T25" s="1">
        <v>123097</v>
      </c>
      <c r="U25">
        <f t="shared" si="6"/>
        <v>2.5645208333333336E-3</v>
      </c>
      <c r="V25">
        <v>350</v>
      </c>
      <c r="W25" s="1">
        <v>70814</v>
      </c>
      <c r="X25">
        <f t="shared" si="7"/>
        <v>1.4752916666666669E-3</v>
      </c>
      <c r="Y25">
        <v>400</v>
      </c>
      <c r="Z25" s="1">
        <v>61960</v>
      </c>
      <c r="AA25">
        <f t="shared" si="8"/>
        <v>1.2908333333333335E-3</v>
      </c>
      <c r="AB25">
        <v>400</v>
      </c>
      <c r="AC25" s="1">
        <v>61968</v>
      </c>
      <c r="AD25">
        <f t="shared" si="9"/>
        <v>1.291E-3</v>
      </c>
      <c r="AE25">
        <v>420</v>
      </c>
      <c r="AF25" s="1">
        <v>57550</v>
      </c>
      <c r="AG25">
        <f t="shared" si="10"/>
        <v>1.1989583333333333E-3</v>
      </c>
      <c r="AH25">
        <v>450</v>
      </c>
      <c r="AI25" s="1">
        <v>54624</v>
      </c>
      <c r="AJ25">
        <f t="shared" si="11"/>
        <v>1.1380000000000001E-3</v>
      </c>
      <c r="AK25">
        <v>450</v>
      </c>
      <c r="AL25" s="1">
        <v>54616</v>
      </c>
      <c r="AM25">
        <f t="shared" si="12"/>
        <v>1.1378333333333334E-3</v>
      </c>
      <c r="AN25">
        <v>450</v>
      </c>
      <c r="AO25" s="1">
        <v>54590</v>
      </c>
      <c r="AP25">
        <f t="shared" si="13"/>
        <v>1.1372916666666667E-3</v>
      </c>
      <c r="AQ25">
        <v>450</v>
      </c>
      <c r="AR25" s="1">
        <v>54594</v>
      </c>
      <c r="AS25">
        <f t="shared" si="14"/>
        <v>1.1373750000000001E-3</v>
      </c>
      <c r="AU25" s="1">
        <v>53140</v>
      </c>
      <c r="AV25">
        <f t="shared" si="15"/>
        <v>1.1070833333333334E-3</v>
      </c>
      <c r="AX25" s="1">
        <v>48690</v>
      </c>
      <c r="AY25">
        <f t="shared" si="16"/>
        <v>1.0143750000000001E-3</v>
      </c>
      <c r="BA25" s="1">
        <v>44274</v>
      </c>
      <c r="BB25">
        <f t="shared" si="17"/>
        <v>9.2237500000000002E-4</v>
      </c>
      <c r="BD25" s="1">
        <v>41328</v>
      </c>
      <c r="BE25">
        <f t="shared" si="18"/>
        <v>8.61E-4</v>
      </c>
      <c r="BG25" s="1">
        <v>38386</v>
      </c>
      <c r="BH25">
        <f t="shared" si="19"/>
        <v>7.9970833333333337E-4</v>
      </c>
      <c r="BJ25" s="1">
        <v>33956</v>
      </c>
      <c r="BK25">
        <f t="shared" si="20"/>
        <v>7.0741666666666674E-4</v>
      </c>
      <c r="BM25" s="1">
        <v>32478</v>
      </c>
      <c r="BN25">
        <f t="shared" si="21"/>
        <v>6.7662500000000003E-4</v>
      </c>
      <c r="BP25" s="1">
        <v>31016</v>
      </c>
      <c r="BQ25">
        <f t="shared" si="22"/>
        <v>6.7662500000000003E-4</v>
      </c>
      <c r="BS25" s="1">
        <v>29546</v>
      </c>
      <c r="BT25">
        <f t="shared" si="23"/>
        <v>6.1554166666666669E-4</v>
      </c>
      <c r="BV25" s="1">
        <v>26594</v>
      </c>
      <c r="BW25">
        <f t="shared" si="24"/>
        <v>5.5404166666666666E-4</v>
      </c>
      <c r="BY25" s="1">
        <v>26592</v>
      </c>
      <c r="BZ25">
        <f t="shared" si="25"/>
        <v>5.5400000000000002E-4</v>
      </c>
      <c r="CB25" s="1">
        <v>25116</v>
      </c>
      <c r="CC25">
        <f t="shared" si="26"/>
        <v>5.2325000000000006E-4</v>
      </c>
    </row>
    <row r="26" spans="2:81" x14ac:dyDescent="0.2">
      <c r="B26" s="1">
        <v>81427</v>
      </c>
      <c r="C26">
        <f t="shared" si="0"/>
        <v>1.6963958333333334E-3</v>
      </c>
      <c r="E26" s="1">
        <v>81397</v>
      </c>
      <c r="F26">
        <f t="shared" si="1"/>
        <v>1.6957708333333334E-3</v>
      </c>
      <c r="H26" s="1">
        <v>246250</v>
      </c>
      <c r="I26">
        <f t="shared" si="2"/>
        <v>5.1302083333333338E-3</v>
      </c>
      <c r="K26" s="1">
        <v>246264</v>
      </c>
      <c r="L26">
        <f t="shared" si="3"/>
        <v>5.1305000000000005E-3</v>
      </c>
      <c r="M26">
        <v>200</v>
      </c>
      <c r="N26" s="1">
        <v>121581</v>
      </c>
      <c r="O26">
        <f t="shared" si="4"/>
        <v>2.5329375E-3</v>
      </c>
      <c r="P26">
        <v>450</v>
      </c>
      <c r="Q26" s="1">
        <v>54598</v>
      </c>
      <c r="R26">
        <f t="shared" si="5"/>
        <v>1.1374583333333334E-3</v>
      </c>
      <c r="S26">
        <v>200</v>
      </c>
      <c r="T26" s="1">
        <v>123097</v>
      </c>
      <c r="U26">
        <f t="shared" si="6"/>
        <v>2.5645208333333336E-3</v>
      </c>
      <c r="V26">
        <v>350</v>
      </c>
      <c r="W26" s="1">
        <v>70812</v>
      </c>
      <c r="X26">
        <f t="shared" si="7"/>
        <v>1.47525E-3</v>
      </c>
      <c r="Y26">
        <v>400</v>
      </c>
      <c r="Z26" s="1">
        <v>61960</v>
      </c>
      <c r="AA26">
        <f t="shared" si="8"/>
        <v>1.2908333333333335E-3</v>
      </c>
      <c r="AB26">
        <v>400</v>
      </c>
      <c r="AC26" s="1">
        <v>61974</v>
      </c>
      <c r="AD26">
        <f t="shared" si="9"/>
        <v>1.2911250000000002E-3</v>
      </c>
      <c r="AE26">
        <v>420</v>
      </c>
      <c r="AF26" s="1">
        <v>59030</v>
      </c>
      <c r="AG26">
        <f t="shared" si="10"/>
        <v>1.2297916666666668E-3</v>
      </c>
      <c r="AH26">
        <v>450</v>
      </c>
      <c r="AI26" s="1">
        <v>54624</v>
      </c>
      <c r="AJ26">
        <f t="shared" si="11"/>
        <v>1.1380000000000001E-3</v>
      </c>
      <c r="AK26">
        <v>450</v>
      </c>
      <c r="AL26" s="1">
        <v>54612</v>
      </c>
      <c r="AM26">
        <f t="shared" si="12"/>
        <v>1.1377500000000001E-3</v>
      </c>
      <c r="AN26">
        <v>450</v>
      </c>
      <c r="AO26" s="1">
        <v>54590</v>
      </c>
      <c r="AP26">
        <f t="shared" si="13"/>
        <v>1.1372916666666667E-3</v>
      </c>
      <c r="AQ26">
        <v>450</v>
      </c>
      <c r="AR26" s="1">
        <v>54598</v>
      </c>
      <c r="AS26">
        <f t="shared" si="14"/>
        <v>1.1374583333333334E-3</v>
      </c>
      <c r="AU26" s="1">
        <v>53140</v>
      </c>
      <c r="AV26">
        <f t="shared" si="15"/>
        <v>1.1070833333333334E-3</v>
      </c>
      <c r="AX26" s="1">
        <v>48688</v>
      </c>
      <c r="AY26">
        <f t="shared" si="16"/>
        <v>1.0143333333333334E-3</v>
      </c>
      <c r="BA26" s="1">
        <v>44270</v>
      </c>
      <c r="BB26">
        <f t="shared" si="17"/>
        <v>9.2229166666666675E-4</v>
      </c>
      <c r="BD26" s="1">
        <v>41332</v>
      </c>
      <c r="BE26">
        <f t="shared" si="18"/>
        <v>8.6108333333333338E-4</v>
      </c>
      <c r="BG26" s="1">
        <v>38386</v>
      </c>
      <c r="BH26">
        <f t="shared" si="19"/>
        <v>7.9970833333333337E-4</v>
      </c>
      <c r="BJ26" s="1">
        <v>35432</v>
      </c>
      <c r="BK26">
        <f t="shared" si="20"/>
        <v>7.381666666666667E-4</v>
      </c>
      <c r="BM26" s="1">
        <v>33950</v>
      </c>
      <c r="BN26">
        <f t="shared" si="21"/>
        <v>7.0729166666666672E-4</v>
      </c>
      <c r="BP26" s="1">
        <v>31014</v>
      </c>
      <c r="BQ26">
        <f t="shared" si="22"/>
        <v>7.0729166666666672E-4</v>
      </c>
      <c r="BS26" s="1">
        <v>29544</v>
      </c>
      <c r="BT26">
        <f t="shared" si="23"/>
        <v>6.1550000000000005E-4</v>
      </c>
      <c r="BV26" s="1">
        <v>28068</v>
      </c>
      <c r="BW26">
        <f t="shared" si="24"/>
        <v>5.8474999999999998E-4</v>
      </c>
      <c r="BY26" s="1">
        <v>25116</v>
      </c>
      <c r="BZ26">
        <f t="shared" si="25"/>
        <v>5.2325000000000006E-4</v>
      </c>
      <c r="CB26" s="1">
        <v>23642</v>
      </c>
      <c r="CC26">
        <f t="shared" si="26"/>
        <v>4.9254166666666674E-4</v>
      </c>
    </row>
    <row r="27" spans="2:81" x14ac:dyDescent="0.2">
      <c r="B27" s="1">
        <v>81538</v>
      </c>
      <c r="C27">
        <f t="shared" si="0"/>
        <v>1.6987083333333335E-3</v>
      </c>
      <c r="E27" s="1">
        <v>81114</v>
      </c>
      <c r="F27">
        <f t="shared" si="1"/>
        <v>1.6898750000000002E-3</v>
      </c>
      <c r="H27" s="1">
        <v>245452</v>
      </c>
      <c r="I27">
        <f t="shared" si="2"/>
        <v>5.1135833333333337E-3</v>
      </c>
      <c r="K27" s="1">
        <v>245496</v>
      </c>
      <c r="L27">
        <f t="shared" si="3"/>
        <v>5.1145000000000001E-3</v>
      </c>
      <c r="M27">
        <v>200</v>
      </c>
      <c r="N27" s="1">
        <v>123055</v>
      </c>
      <c r="O27">
        <f t="shared" si="4"/>
        <v>2.5636458333333336E-3</v>
      </c>
      <c r="P27">
        <v>450</v>
      </c>
      <c r="Q27" s="1"/>
      <c r="S27">
        <v>200</v>
      </c>
      <c r="T27" s="1">
        <v>123099</v>
      </c>
      <c r="U27">
        <f t="shared" si="6"/>
        <v>2.5645625E-3</v>
      </c>
      <c r="V27">
        <v>350</v>
      </c>
      <c r="W27" s="1">
        <v>70810</v>
      </c>
      <c r="X27">
        <f t="shared" si="7"/>
        <v>1.4752083333333334E-3</v>
      </c>
      <c r="Y27">
        <v>400</v>
      </c>
      <c r="Z27" s="1">
        <v>61960</v>
      </c>
      <c r="AA27">
        <f t="shared" si="8"/>
        <v>1.2908333333333335E-3</v>
      </c>
      <c r="AB27">
        <v>400</v>
      </c>
      <c r="AC27" s="1">
        <v>61978</v>
      </c>
      <c r="AD27">
        <f t="shared" si="9"/>
        <v>1.2912083333333334E-3</v>
      </c>
      <c r="AE27">
        <v>420</v>
      </c>
      <c r="AF27" s="1">
        <v>59028</v>
      </c>
      <c r="AG27">
        <f t="shared" si="10"/>
        <v>1.2297500000000002E-3</v>
      </c>
      <c r="AH27">
        <v>450</v>
      </c>
      <c r="AI27" s="1">
        <v>54628</v>
      </c>
      <c r="AJ27">
        <f t="shared" si="11"/>
        <v>1.1380833333333334E-3</v>
      </c>
      <c r="AK27">
        <v>450</v>
      </c>
      <c r="AL27" s="1">
        <v>54616</v>
      </c>
      <c r="AM27">
        <f t="shared" si="12"/>
        <v>1.1378333333333334E-3</v>
      </c>
      <c r="AN27">
        <v>450</v>
      </c>
      <c r="AO27" s="1">
        <v>54592</v>
      </c>
      <c r="AP27">
        <f t="shared" si="13"/>
        <v>1.1373333333333333E-3</v>
      </c>
      <c r="AQ27">
        <v>450</v>
      </c>
      <c r="AR27" s="1">
        <v>54596</v>
      </c>
      <c r="AS27">
        <f t="shared" si="14"/>
        <v>1.1374166666666668E-3</v>
      </c>
      <c r="AU27" s="1">
        <v>51664</v>
      </c>
      <c r="AV27">
        <f t="shared" si="15"/>
        <v>1.0763333333333334E-3</v>
      </c>
      <c r="AX27" s="1">
        <v>48688</v>
      </c>
      <c r="AY27">
        <f t="shared" si="16"/>
        <v>1.0143333333333334E-3</v>
      </c>
      <c r="BA27" s="1">
        <v>44268</v>
      </c>
      <c r="BB27">
        <f t="shared" si="17"/>
        <v>9.2225000000000011E-4</v>
      </c>
      <c r="BD27" s="1">
        <v>41330</v>
      </c>
      <c r="BE27">
        <f t="shared" si="18"/>
        <v>8.6104166666666675E-4</v>
      </c>
      <c r="BG27" s="1">
        <v>36910</v>
      </c>
      <c r="BH27">
        <f t="shared" si="19"/>
        <v>7.6895833333333341E-4</v>
      </c>
      <c r="BJ27" s="1">
        <v>35432</v>
      </c>
      <c r="BK27">
        <f t="shared" si="20"/>
        <v>7.381666666666667E-4</v>
      </c>
      <c r="BM27" s="1">
        <v>33948</v>
      </c>
      <c r="BN27">
        <f t="shared" si="21"/>
        <v>7.0725000000000009E-4</v>
      </c>
      <c r="BP27" s="1">
        <v>31010</v>
      </c>
      <c r="BQ27">
        <f t="shared" si="22"/>
        <v>7.0725000000000009E-4</v>
      </c>
      <c r="BS27" s="1">
        <v>29542</v>
      </c>
      <c r="BT27">
        <f t="shared" si="23"/>
        <v>6.1545833333333342E-4</v>
      </c>
      <c r="BV27" s="1">
        <v>28068</v>
      </c>
      <c r="BW27">
        <f t="shared" si="24"/>
        <v>5.8474999999999998E-4</v>
      </c>
      <c r="BY27" s="1">
        <v>25120</v>
      </c>
      <c r="BZ27">
        <f t="shared" si="25"/>
        <v>5.2333333333333333E-4</v>
      </c>
      <c r="CB27" s="1">
        <v>25112</v>
      </c>
      <c r="CC27">
        <f t="shared" si="26"/>
        <v>5.2316666666666668E-4</v>
      </c>
    </row>
    <row r="28" spans="2:81" x14ac:dyDescent="0.2">
      <c r="B28" s="1">
        <v>81429</v>
      </c>
      <c r="C28">
        <f t="shared" si="0"/>
        <v>1.6964375E-3</v>
      </c>
      <c r="E28" s="1">
        <v>81823</v>
      </c>
      <c r="F28">
        <f t="shared" si="1"/>
        <v>1.7046458333333334E-3</v>
      </c>
      <c r="H28" s="1">
        <v>245830</v>
      </c>
      <c r="I28">
        <f t="shared" si="2"/>
        <v>5.1214583333333338E-3</v>
      </c>
      <c r="K28" s="1">
        <v>246234</v>
      </c>
      <c r="L28">
        <f t="shared" si="3"/>
        <v>5.1298749999999999E-3</v>
      </c>
      <c r="M28">
        <v>200</v>
      </c>
      <c r="N28" s="1">
        <v>121579</v>
      </c>
      <c r="O28">
        <f t="shared" si="4"/>
        <v>2.5328958333333336E-3</v>
      </c>
      <c r="P28">
        <v>450</v>
      </c>
      <c r="Q28" s="1">
        <v>54602</v>
      </c>
      <c r="R28">
        <f t="shared" si="5"/>
        <v>1.1375416666666667E-3</v>
      </c>
      <c r="S28">
        <v>200</v>
      </c>
      <c r="T28" s="1">
        <v>121623</v>
      </c>
      <c r="U28">
        <f t="shared" si="6"/>
        <v>2.5338125E-3</v>
      </c>
      <c r="V28">
        <v>350</v>
      </c>
      <c r="W28" s="1">
        <v>69336</v>
      </c>
      <c r="X28">
        <f t="shared" si="7"/>
        <v>1.4445E-3</v>
      </c>
      <c r="Y28">
        <v>400</v>
      </c>
      <c r="Z28" s="1">
        <v>60486</v>
      </c>
      <c r="AA28">
        <f t="shared" si="8"/>
        <v>1.2601250000000002E-3</v>
      </c>
      <c r="AB28">
        <v>400</v>
      </c>
      <c r="AC28" s="1">
        <v>61976</v>
      </c>
      <c r="AD28">
        <f t="shared" si="9"/>
        <v>1.2911666666666668E-3</v>
      </c>
      <c r="AE28">
        <v>420</v>
      </c>
      <c r="AF28" s="1">
        <v>59034</v>
      </c>
      <c r="AG28">
        <f t="shared" si="10"/>
        <v>1.2298750000000001E-3</v>
      </c>
      <c r="AH28">
        <v>450</v>
      </c>
      <c r="AI28" s="1">
        <v>56096</v>
      </c>
      <c r="AJ28">
        <f t="shared" si="11"/>
        <v>1.1686666666666668E-3</v>
      </c>
      <c r="AK28">
        <v>450</v>
      </c>
      <c r="AL28" s="1">
        <v>54618</v>
      </c>
      <c r="AM28">
        <f t="shared" si="12"/>
        <v>1.137875E-3</v>
      </c>
      <c r="AN28">
        <v>450</v>
      </c>
      <c r="AO28" s="1">
        <v>54590</v>
      </c>
      <c r="AP28">
        <f t="shared" si="13"/>
        <v>1.1372916666666667E-3</v>
      </c>
      <c r="AQ28">
        <v>450</v>
      </c>
      <c r="AR28" s="1">
        <v>54590</v>
      </c>
      <c r="AS28">
        <f t="shared" si="14"/>
        <v>1.1372916666666667E-3</v>
      </c>
      <c r="AU28" s="1">
        <v>53138</v>
      </c>
      <c r="AV28">
        <f t="shared" si="15"/>
        <v>1.1070416666666668E-3</v>
      </c>
      <c r="AX28" s="1">
        <v>48688</v>
      </c>
      <c r="AY28">
        <f t="shared" si="16"/>
        <v>1.0143333333333334E-3</v>
      </c>
      <c r="BA28" s="1">
        <v>45746</v>
      </c>
      <c r="BB28">
        <f t="shared" si="17"/>
        <v>9.5304166666666671E-4</v>
      </c>
      <c r="BD28" s="1">
        <v>39852</v>
      </c>
      <c r="BE28">
        <f t="shared" si="18"/>
        <v>8.3025000000000004E-4</v>
      </c>
      <c r="BG28" s="1">
        <v>36914</v>
      </c>
      <c r="BH28">
        <f t="shared" si="19"/>
        <v>7.6904166666666668E-4</v>
      </c>
      <c r="BJ28" s="1">
        <v>35430</v>
      </c>
      <c r="BK28">
        <f t="shared" si="20"/>
        <v>7.3812500000000007E-4</v>
      </c>
      <c r="BM28" s="1">
        <v>32478</v>
      </c>
      <c r="BN28">
        <f t="shared" si="21"/>
        <v>6.7662500000000003E-4</v>
      </c>
      <c r="BP28" s="1">
        <v>29538</v>
      </c>
      <c r="BQ28">
        <f t="shared" si="22"/>
        <v>6.7662500000000003E-4</v>
      </c>
      <c r="BS28" s="1">
        <v>28072</v>
      </c>
      <c r="BT28">
        <f t="shared" si="23"/>
        <v>5.8483333333333336E-4</v>
      </c>
      <c r="BV28" s="1">
        <v>26594</v>
      </c>
      <c r="BW28">
        <f t="shared" si="24"/>
        <v>5.5404166666666666E-4</v>
      </c>
      <c r="BY28" s="1">
        <v>25118</v>
      </c>
      <c r="BZ28">
        <f t="shared" si="25"/>
        <v>5.232916666666667E-4</v>
      </c>
      <c r="CB28" s="1">
        <v>23638</v>
      </c>
      <c r="CC28">
        <f t="shared" si="26"/>
        <v>4.9245833333333335E-4</v>
      </c>
    </row>
    <row r="29" spans="2:81" x14ac:dyDescent="0.2">
      <c r="B29" s="1">
        <v>81813</v>
      </c>
      <c r="C29">
        <f t="shared" si="0"/>
        <v>1.7044375E-3</v>
      </c>
      <c r="E29" s="1">
        <v>81395</v>
      </c>
      <c r="F29">
        <f t="shared" si="1"/>
        <v>1.6957291666666668E-3</v>
      </c>
      <c r="H29" s="1">
        <v>245785</v>
      </c>
      <c r="I29">
        <f t="shared" si="2"/>
        <v>5.1205208333333337E-3</v>
      </c>
      <c r="K29" s="1">
        <v>246854</v>
      </c>
      <c r="L29">
        <f t="shared" si="3"/>
        <v>5.142791666666667E-3</v>
      </c>
      <c r="M29">
        <v>200</v>
      </c>
      <c r="N29" s="1">
        <v>123059</v>
      </c>
      <c r="O29">
        <f t="shared" si="4"/>
        <v>2.5637291666666668E-3</v>
      </c>
      <c r="P29">
        <v>450</v>
      </c>
      <c r="Q29" s="1">
        <v>54602</v>
      </c>
      <c r="R29">
        <f t="shared" si="5"/>
        <v>1.1375416666666667E-3</v>
      </c>
      <c r="S29">
        <v>200</v>
      </c>
      <c r="T29" s="1">
        <v>123089</v>
      </c>
      <c r="U29">
        <f t="shared" si="6"/>
        <v>2.564354166666667E-3</v>
      </c>
      <c r="V29">
        <v>350</v>
      </c>
      <c r="W29" s="1">
        <v>70808</v>
      </c>
      <c r="X29">
        <f t="shared" si="7"/>
        <v>1.4751666666666667E-3</v>
      </c>
      <c r="Y29">
        <v>400</v>
      </c>
      <c r="Z29" s="1">
        <v>60482</v>
      </c>
      <c r="AA29">
        <f t="shared" si="8"/>
        <v>1.2600416666666667E-3</v>
      </c>
      <c r="AB29">
        <v>400</v>
      </c>
      <c r="AC29" s="1">
        <v>61974</v>
      </c>
      <c r="AD29">
        <f t="shared" si="9"/>
        <v>1.2911250000000002E-3</v>
      </c>
      <c r="AE29">
        <v>420</v>
      </c>
      <c r="AF29" s="1">
        <v>59028</v>
      </c>
      <c r="AG29">
        <f t="shared" si="10"/>
        <v>1.2297500000000002E-3</v>
      </c>
      <c r="AH29">
        <v>450</v>
      </c>
      <c r="AI29" s="1">
        <v>54622</v>
      </c>
      <c r="AJ29">
        <f t="shared" si="11"/>
        <v>1.1379583333333335E-3</v>
      </c>
      <c r="AK29">
        <v>450</v>
      </c>
      <c r="AL29" s="1">
        <v>56090</v>
      </c>
      <c r="AM29">
        <f t="shared" si="12"/>
        <v>1.1685416666666667E-3</v>
      </c>
      <c r="AN29">
        <v>450</v>
      </c>
      <c r="AO29" s="1">
        <v>54586</v>
      </c>
      <c r="AP29">
        <f t="shared" si="13"/>
        <v>1.1372083333333334E-3</v>
      </c>
      <c r="AQ29">
        <v>450</v>
      </c>
      <c r="AR29" s="1">
        <v>54590</v>
      </c>
      <c r="AS29">
        <f t="shared" si="14"/>
        <v>1.1372916666666667E-3</v>
      </c>
      <c r="AU29" s="1">
        <v>51668</v>
      </c>
      <c r="AV29">
        <f t="shared" si="15"/>
        <v>1.0764166666666667E-3</v>
      </c>
      <c r="AX29" s="1">
        <v>48686</v>
      </c>
      <c r="AY29">
        <f t="shared" si="16"/>
        <v>1.0142916666666668E-3</v>
      </c>
      <c r="BA29" s="1">
        <v>45744</v>
      </c>
      <c r="BB29">
        <f t="shared" si="17"/>
        <v>9.5300000000000007E-4</v>
      </c>
      <c r="BD29" s="1">
        <v>41322</v>
      </c>
      <c r="BE29">
        <f t="shared" si="18"/>
        <v>8.608750000000001E-4</v>
      </c>
      <c r="BG29" s="1">
        <v>36914</v>
      </c>
      <c r="BH29">
        <f t="shared" si="19"/>
        <v>7.6904166666666668E-4</v>
      </c>
      <c r="BJ29" s="1">
        <v>35432</v>
      </c>
      <c r="BK29">
        <f t="shared" si="20"/>
        <v>7.381666666666667E-4</v>
      </c>
      <c r="BM29" s="1">
        <v>33952</v>
      </c>
      <c r="BN29">
        <f t="shared" si="21"/>
        <v>7.0733333333333336E-4</v>
      </c>
      <c r="BP29" s="1">
        <v>31010</v>
      </c>
      <c r="BQ29">
        <f t="shared" si="22"/>
        <v>7.0733333333333336E-4</v>
      </c>
      <c r="BS29" s="1">
        <v>28072</v>
      </c>
      <c r="BT29">
        <f t="shared" si="23"/>
        <v>5.8483333333333336E-4</v>
      </c>
      <c r="BV29" s="1">
        <v>26594</v>
      </c>
      <c r="BW29">
        <f t="shared" si="24"/>
        <v>5.5404166666666666E-4</v>
      </c>
      <c r="BY29" s="1">
        <v>25116</v>
      </c>
      <c r="BZ29">
        <f t="shared" si="25"/>
        <v>5.2325000000000006E-4</v>
      </c>
      <c r="CB29" s="1">
        <v>25114</v>
      </c>
      <c r="CC29">
        <f t="shared" si="26"/>
        <v>5.2320833333333332E-4</v>
      </c>
    </row>
    <row r="30" spans="2:81" x14ac:dyDescent="0.2">
      <c r="B30" s="1">
        <v>81536</v>
      </c>
      <c r="C30">
        <f t="shared" si="0"/>
        <v>1.6986666666666667E-3</v>
      </c>
      <c r="E30" s="1">
        <v>82580</v>
      </c>
      <c r="F30">
        <f t="shared" si="1"/>
        <v>1.7204166666666668E-3</v>
      </c>
      <c r="H30" s="1">
        <v>245167</v>
      </c>
      <c r="I30">
        <f t="shared" si="2"/>
        <v>5.1076458333333338E-3</v>
      </c>
      <c r="K30" s="1">
        <v>246167</v>
      </c>
      <c r="L30">
        <f t="shared" si="3"/>
        <v>5.1284791666666666E-3</v>
      </c>
      <c r="M30">
        <v>200</v>
      </c>
      <c r="N30" s="1">
        <v>123049</v>
      </c>
      <c r="O30">
        <f t="shared" si="4"/>
        <v>2.5635208333333334E-3</v>
      </c>
      <c r="P30">
        <v>450</v>
      </c>
      <c r="Q30" s="1">
        <v>54600</v>
      </c>
      <c r="R30">
        <f t="shared" si="5"/>
        <v>1.1375000000000001E-3</v>
      </c>
      <c r="S30">
        <v>200</v>
      </c>
      <c r="T30" s="1">
        <v>123093</v>
      </c>
      <c r="U30">
        <f t="shared" si="6"/>
        <v>2.5644375000000003E-3</v>
      </c>
      <c r="V30">
        <v>350</v>
      </c>
      <c r="W30" s="1">
        <v>70812</v>
      </c>
      <c r="X30">
        <f t="shared" si="7"/>
        <v>1.47525E-3</v>
      </c>
      <c r="Y30">
        <v>400</v>
      </c>
      <c r="Z30" s="1">
        <v>61964</v>
      </c>
      <c r="AA30">
        <f t="shared" si="8"/>
        <v>1.2909166666666668E-3</v>
      </c>
      <c r="AB30">
        <v>400</v>
      </c>
      <c r="AC30" s="1">
        <v>61972</v>
      </c>
      <c r="AD30">
        <f t="shared" si="9"/>
        <v>1.2910833333333333E-3</v>
      </c>
      <c r="AE30">
        <v>420</v>
      </c>
      <c r="AF30" s="1">
        <v>59028</v>
      </c>
      <c r="AG30">
        <f t="shared" si="10"/>
        <v>1.2297500000000002E-3</v>
      </c>
      <c r="AH30">
        <v>450</v>
      </c>
      <c r="AI30" s="1">
        <v>54624</v>
      </c>
      <c r="AJ30">
        <f t="shared" si="11"/>
        <v>1.1380000000000001E-3</v>
      </c>
      <c r="AK30">
        <v>450</v>
      </c>
      <c r="AL30" s="1">
        <v>54616</v>
      </c>
      <c r="AM30">
        <f t="shared" si="12"/>
        <v>1.1378333333333334E-3</v>
      </c>
      <c r="AN30">
        <v>450</v>
      </c>
      <c r="AO30" s="1">
        <v>54586</v>
      </c>
      <c r="AP30">
        <f t="shared" si="13"/>
        <v>1.1372083333333334E-3</v>
      </c>
      <c r="AQ30">
        <v>450</v>
      </c>
      <c r="AR30" s="1">
        <v>54592</v>
      </c>
      <c r="AS30">
        <f t="shared" si="14"/>
        <v>1.1373333333333333E-3</v>
      </c>
      <c r="AU30" s="1">
        <v>51666</v>
      </c>
      <c r="AV30">
        <f t="shared" si="15"/>
        <v>1.0763750000000001E-3</v>
      </c>
      <c r="AX30" s="1">
        <v>50164</v>
      </c>
      <c r="AY30">
        <f t="shared" si="16"/>
        <v>1.0450833333333334E-3</v>
      </c>
      <c r="BA30" s="1">
        <v>45744</v>
      </c>
      <c r="BB30">
        <f t="shared" si="17"/>
        <v>9.5300000000000007E-4</v>
      </c>
      <c r="BD30" s="1">
        <v>41328</v>
      </c>
      <c r="BE30">
        <f t="shared" si="18"/>
        <v>8.61E-4</v>
      </c>
      <c r="BG30" s="1">
        <v>38388</v>
      </c>
      <c r="BH30">
        <f t="shared" si="19"/>
        <v>7.9975000000000001E-4</v>
      </c>
      <c r="BJ30" s="1">
        <v>35426</v>
      </c>
      <c r="BK30">
        <f t="shared" si="20"/>
        <v>7.3804166666666669E-4</v>
      </c>
      <c r="BM30" s="1">
        <v>32478</v>
      </c>
      <c r="BN30">
        <f t="shared" si="21"/>
        <v>6.7662500000000003E-4</v>
      </c>
      <c r="BP30" s="1">
        <v>31014</v>
      </c>
      <c r="BQ30">
        <f t="shared" si="22"/>
        <v>6.7662500000000003E-4</v>
      </c>
      <c r="BS30" s="1">
        <v>29544</v>
      </c>
      <c r="BT30">
        <f t="shared" si="23"/>
        <v>6.1550000000000005E-4</v>
      </c>
      <c r="BV30" s="1">
        <v>28070</v>
      </c>
      <c r="BW30">
        <f t="shared" si="24"/>
        <v>5.8479166666666673E-4</v>
      </c>
      <c r="BY30" s="1">
        <v>25116</v>
      </c>
      <c r="BZ30">
        <f t="shared" si="25"/>
        <v>5.2325000000000006E-4</v>
      </c>
      <c r="CB30" s="1">
        <v>23640</v>
      </c>
      <c r="CC30">
        <f t="shared" si="26"/>
        <v>4.9249999999999999E-4</v>
      </c>
    </row>
    <row r="31" spans="2:81" x14ac:dyDescent="0.2">
      <c r="B31" s="1">
        <v>81423</v>
      </c>
      <c r="C31">
        <f t="shared" si="0"/>
        <v>1.6963125000000001E-3</v>
      </c>
      <c r="E31" s="1">
        <v>81387</v>
      </c>
      <c r="F31">
        <f t="shared" si="1"/>
        <v>1.6955625E-3</v>
      </c>
      <c r="H31" s="1">
        <v>246229</v>
      </c>
      <c r="I31">
        <f t="shared" si="2"/>
        <v>5.1297708333333334E-3</v>
      </c>
      <c r="K31" s="1">
        <v>246111</v>
      </c>
      <c r="L31">
        <f t="shared" si="3"/>
        <v>5.1273124999999999E-3</v>
      </c>
      <c r="M31">
        <v>200</v>
      </c>
      <c r="N31" s="1">
        <v>121577</v>
      </c>
      <c r="O31">
        <f t="shared" si="4"/>
        <v>2.5328541666666668E-3</v>
      </c>
      <c r="P31">
        <v>450</v>
      </c>
      <c r="Q31" s="1">
        <v>54600</v>
      </c>
      <c r="R31">
        <f t="shared" si="5"/>
        <v>1.1375000000000001E-3</v>
      </c>
      <c r="S31">
        <v>200</v>
      </c>
      <c r="T31" s="1">
        <v>123091</v>
      </c>
      <c r="U31">
        <f t="shared" si="6"/>
        <v>2.5643958333333335E-3</v>
      </c>
      <c r="V31">
        <v>350</v>
      </c>
      <c r="W31" s="1">
        <v>69334</v>
      </c>
      <c r="X31">
        <f t="shared" si="7"/>
        <v>1.4444583333333334E-3</v>
      </c>
      <c r="Y31">
        <v>400</v>
      </c>
      <c r="Z31" s="1">
        <v>61958</v>
      </c>
      <c r="AA31">
        <f t="shared" si="8"/>
        <v>1.2907916666666666E-3</v>
      </c>
      <c r="AB31">
        <v>400</v>
      </c>
      <c r="AC31" s="1">
        <v>61980</v>
      </c>
      <c r="AD31">
        <f t="shared" si="9"/>
        <v>1.2912500000000001E-3</v>
      </c>
      <c r="AE31">
        <v>420</v>
      </c>
      <c r="AF31" s="1">
        <v>59030</v>
      </c>
      <c r="AG31">
        <f t="shared" si="10"/>
        <v>1.2297916666666668E-3</v>
      </c>
      <c r="AH31">
        <v>450</v>
      </c>
      <c r="AI31" s="1">
        <v>56094</v>
      </c>
      <c r="AJ31">
        <f t="shared" si="11"/>
        <v>1.1686250000000002E-3</v>
      </c>
      <c r="AK31">
        <v>450</v>
      </c>
      <c r="AL31" s="1">
        <v>54622</v>
      </c>
      <c r="AM31">
        <f t="shared" si="12"/>
        <v>1.1379583333333335E-3</v>
      </c>
      <c r="AN31">
        <v>450</v>
      </c>
      <c r="AO31" s="1">
        <v>54592</v>
      </c>
      <c r="AP31">
        <f t="shared" si="13"/>
        <v>1.1373333333333333E-3</v>
      </c>
      <c r="AQ31">
        <v>450</v>
      </c>
      <c r="AR31" s="1">
        <v>56068</v>
      </c>
      <c r="AS31">
        <f t="shared" si="14"/>
        <v>1.1680833333333335E-3</v>
      </c>
      <c r="AU31" s="1">
        <v>53144</v>
      </c>
      <c r="AV31">
        <f t="shared" si="15"/>
        <v>1.1071666666666667E-3</v>
      </c>
      <c r="AX31" s="1">
        <v>50160</v>
      </c>
      <c r="AY31">
        <f t="shared" si="16"/>
        <v>1.0450000000000001E-3</v>
      </c>
      <c r="BA31" s="1">
        <v>44274</v>
      </c>
      <c r="BB31">
        <f t="shared" si="17"/>
        <v>9.2237500000000002E-4</v>
      </c>
      <c r="BD31" s="1">
        <v>41326</v>
      </c>
      <c r="BE31">
        <f t="shared" si="18"/>
        <v>8.6095833333333337E-4</v>
      </c>
      <c r="BG31" s="1">
        <v>38388</v>
      </c>
      <c r="BH31">
        <f t="shared" si="19"/>
        <v>7.9975000000000001E-4</v>
      </c>
      <c r="BJ31" s="1">
        <v>35432</v>
      </c>
      <c r="BK31">
        <f t="shared" si="20"/>
        <v>7.381666666666667E-4</v>
      </c>
      <c r="BM31" s="1">
        <v>32478</v>
      </c>
      <c r="BN31">
        <f t="shared" si="21"/>
        <v>6.7662500000000003E-4</v>
      </c>
      <c r="BP31" s="1">
        <v>31014</v>
      </c>
      <c r="BQ31">
        <f t="shared" si="22"/>
        <v>6.7662500000000003E-4</v>
      </c>
      <c r="BS31" s="1">
        <v>28072</v>
      </c>
      <c r="BT31">
        <f t="shared" si="23"/>
        <v>5.8483333333333336E-4</v>
      </c>
      <c r="BV31" s="1">
        <v>28068</v>
      </c>
      <c r="BW31">
        <f t="shared" si="24"/>
        <v>5.8474999999999998E-4</v>
      </c>
      <c r="BY31" s="1">
        <v>25114</v>
      </c>
      <c r="BZ31">
        <f t="shared" si="25"/>
        <v>5.2320833333333332E-4</v>
      </c>
      <c r="CB31" s="1">
        <v>25114</v>
      </c>
      <c r="CC31">
        <f t="shared" si="26"/>
        <v>5.2320833333333332E-4</v>
      </c>
    </row>
    <row r="32" spans="2:81" x14ac:dyDescent="0.2">
      <c r="B32" s="1">
        <v>81144</v>
      </c>
      <c r="C32">
        <f t="shared" si="0"/>
        <v>1.6905000000000002E-3</v>
      </c>
      <c r="E32" s="1">
        <v>81504</v>
      </c>
      <c r="F32">
        <f t="shared" si="1"/>
        <v>1.6980000000000001E-3</v>
      </c>
      <c r="H32" s="1">
        <v>246269</v>
      </c>
      <c r="I32">
        <f t="shared" si="2"/>
        <v>5.130604166666667E-3</v>
      </c>
      <c r="K32" s="1">
        <v>245934</v>
      </c>
      <c r="L32">
        <f t="shared" si="3"/>
        <v>5.1236250000000006E-3</v>
      </c>
      <c r="M32">
        <v>200</v>
      </c>
      <c r="N32" s="1">
        <v>123053</v>
      </c>
      <c r="O32">
        <f t="shared" si="4"/>
        <v>2.5636041666666667E-3</v>
      </c>
      <c r="P32">
        <v>450</v>
      </c>
      <c r="Q32" s="1">
        <v>54598</v>
      </c>
      <c r="R32">
        <f t="shared" si="5"/>
        <v>1.1374583333333334E-3</v>
      </c>
      <c r="S32">
        <v>200</v>
      </c>
      <c r="T32" s="1">
        <v>123081</v>
      </c>
      <c r="U32">
        <f t="shared" si="6"/>
        <v>2.5641875000000001E-3</v>
      </c>
      <c r="V32">
        <v>350</v>
      </c>
      <c r="W32" s="1">
        <v>69326</v>
      </c>
      <c r="X32">
        <f t="shared" si="7"/>
        <v>1.4442916666666669E-3</v>
      </c>
      <c r="Y32">
        <v>400</v>
      </c>
      <c r="Z32" s="1">
        <v>61960</v>
      </c>
      <c r="AA32">
        <f t="shared" si="8"/>
        <v>1.2908333333333335E-3</v>
      </c>
      <c r="AB32">
        <v>400</v>
      </c>
      <c r="AC32" s="1">
        <v>61984</v>
      </c>
      <c r="AD32">
        <f t="shared" si="9"/>
        <v>1.2913333333333334E-3</v>
      </c>
      <c r="AE32">
        <v>420</v>
      </c>
      <c r="AF32" s="1">
        <v>59028</v>
      </c>
      <c r="AG32">
        <f t="shared" si="10"/>
        <v>1.2297500000000002E-3</v>
      </c>
      <c r="AH32">
        <v>450</v>
      </c>
      <c r="AI32" s="1">
        <v>54622</v>
      </c>
      <c r="AJ32">
        <f t="shared" si="11"/>
        <v>1.1379583333333335E-3</v>
      </c>
      <c r="AK32">
        <v>450</v>
      </c>
      <c r="AL32" s="1">
        <v>54618</v>
      </c>
      <c r="AM32">
        <f t="shared" si="12"/>
        <v>1.137875E-3</v>
      </c>
      <c r="AN32">
        <v>450</v>
      </c>
      <c r="AO32" s="1">
        <v>54594</v>
      </c>
      <c r="AP32">
        <f t="shared" si="13"/>
        <v>1.1373750000000001E-3</v>
      </c>
      <c r="AQ32">
        <v>450</v>
      </c>
      <c r="AR32" s="1">
        <v>54598</v>
      </c>
      <c r="AS32">
        <f t="shared" si="14"/>
        <v>1.1374583333333334E-3</v>
      </c>
      <c r="AU32" s="1">
        <v>51666</v>
      </c>
      <c r="AV32">
        <f t="shared" si="15"/>
        <v>1.0763750000000001E-3</v>
      </c>
      <c r="AX32" s="1">
        <v>50164</v>
      </c>
      <c r="AY32">
        <f t="shared" si="16"/>
        <v>1.0450833333333334E-3</v>
      </c>
      <c r="BA32" s="1">
        <v>44270</v>
      </c>
      <c r="BB32">
        <f t="shared" si="17"/>
        <v>9.2229166666666675E-4</v>
      </c>
      <c r="BD32" s="1">
        <v>39856</v>
      </c>
      <c r="BE32">
        <f t="shared" si="18"/>
        <v>8.3033333333333342E-4</v>
      </c>
      <c r="BG32" s="1">
        <v>38384</v>
      </c>
      <c r="BH32">
        <f t="shared" si="19"/>
        <v>7.9966666666666673E-4</v>
      </c>
      <c r="BJ32" s="1">
        <v>35430</v>
      </c>
      <c r="BK32">
        <f t="shared" si="20"/>
        <v>7.3812500000000007E-4</v>
      </c>
      <c r="BM32" s="1">
        <v>33950</v>
      </c>
      <c r="BN32">
        <f t="shared" si="21"/>
        <v>7.0729166666666672E-4</v>
      </c>
      <c r="BP32" s="1">
        <v>31014</v>
      </c>
      <c r="BQ32">
        <f t="shared" si="22"/>
        <v>7.0729166666666672E-4</v>
      </c>
      <c r="BS32" s="1">
        <v>29542</v>
      </c>
      <c r="BT32">
        <f t="shared" si="23"/>
        <v>6.1545833333333342E-4</v>
      </c>
      <c r="BV32" s="1">
        <v>28068</v>
      </c>
      <c r="BW32">
        <f t="shared" si="24"/>
        <v>5.8474999999999998E-4</v>
      </c>
      <c r="BY32" s="1">
        <v>25116</v>
      </c>
      <c r="BZ32">
        <f t="shared" si="25"/>
        <v>5.2325000000000006E-4</v>
      </c>
      <c r="CB32" s="1">
        <v>23638</v>
      </c>
      <c r="CC32">
        <f t="shared" si="26"/>
        <v>4.9245833333333335E-4</v>
      </c>
    </row>
    <row r="33" spans="2:81" x14ac:dyDescent="0.2">
      <c r="B33" s="1">
        <v>82622</v>
      </c>
      <c r="C33">
        <f t="shared" si="0"/>
        <v>1.7212916666666668E-3</v>
      </c>
      <c r="E33" s="1">
        <v>82586</v>
      </c>
      <c r="F33">
        <f t="shared" si="1"/>
        <v>1.7205416666666669E-3</v>
      </c>
      <c r="H33" s="1">
        <v>246169</v>
      </c>
      <c r="I33">
        <f t="shared" si="2"/>
        <v>5.1285208333333339E-3</v>
      </c>
      <c r="K33" s="1">
        <v>245764</v>
      </c>
      <c r="L33">
        <f t="shared" si="3"/>
        <v>5.1200833333333333E-3</v>
      </c>
      <c r="M33">
        <v>200</v>
      </c>
      <c r="N33" s="1">
        <v>121579</v>
      </c>
      <c r="O33">
        <f t="shared" si="4"/>
        <v>2.5328958333333336E-3</v>
      </c>
      <c r="P33">
        <v>450</v>
      </c>
      <c r="Q33" s="1">
        <v>56070</v>
      </c>
      <c r="R33">
        <f t="shared" si="5"/>
        <v>1.1681250000000001E-3</v>
      </c>
      <c r="S33">
        <v>200</v>
      </c>
      <c r="T33" s="1">
        <v>121617</v>
      </c>
      <c r="U33">
        <f t="shared" si="6"/>
        <v>2.5336875000000003E-3</v>
      </c>
      <c r="V33">
        <v>350</v>
      </c>
      <c r="W33" s="1">
        <v>70804</v>
      </c>
      <c r="X33">
        <f t="shared" si="7"/>
        <v>1.4750833333333335E-3</v>
      </c>
      <c r="Y33">
        <v>400</v>
      </c>
      <c r="Z33" s="1">
        <v>61960</v>
      </c>
      <c r="AA33">
        <f t="shared" si="8"/>
        <v>1.2908333333333335E-3</v>
      </c>
      <c r="AB33">
        <v>400</v>
      </c>
      <c r="AC33" s="1">
        <v>61986</v>
      </c>
      <c r="AD33">
        <f t="shared" si="9"/>
        <v>1.291375E-3</v>
      </c>
      <c r="AE33">
        <v>420</v>
      </c>
      <c r="AF33" s="1">
        <v>59024</v>
      </c>
      <c r="AG33">
        <f t="shared" si="10"/>
        <v>1.2296666666666667E-3</v>
      </c>
      <c r="AH33">
        <v>450</v>
      </c>
      <c r="AI33" s="1">
        <v>54626</v>
      </c>
      <c r="AJ33">
        <f t="shared" si="11"/>
        <v>1.1380416666666668E-3</v>
      </c>
      <c r="AK33">
        <v>450</v>
      </c>
      <c r="AL33" s="1">
        <v>54616</v>
      </c>
      <c r="AM33">
        <f t="shared" si="12"/>
        <v>1.1378333333333334E-3</v>
      </c>
      <c r="AN33">
        <v>450</v>
      </c>
      <c r="AO33" s="1">
        <v>54594</v>
      </c>
      <c r="AP33">
        <f t="shared" si="13"/>
        <v>1.1373750000000001E-3</v>
      </c>
      <c r="AQ33">
        <v>450</v>
      </c>
      <c r="AR33" s="1">
        <v>54598</v>
      </c>
      <c r="AS33">
        <f t="shared" si="14"/>
        <v>1.1374583333333334E-3</v>
      </c>
      <c r="AU33" s="1">
        <v>53150</v>
      </c>
      <c r="AV33">
        <f t="shared" si="15"/>
        <v>1.1072916666666668E-3</v>
      </c>
      <c r="AX33" s="1">
        <v>50164</v>
      </c>
      <c r="AY33">
        <f t="shared" si="16"/>
        <v>1.0450833333333334E-3</v>
      </c>
      <c r="BA33" s="1">
        <v>44274</v>
      </c>
      <c r="BB33">
        <f t="shared" si="17"/>
        <v>9.2237500000000002E-4</v>
      </c>
      <c r="BD33" s="1">
        <v>41324</v>
      </c>
      <c r="BE33">
        <f t="shared" si="18"/>
        <v>8.6091666666666673E-4</v>
      </c>
      <c r="BG33" s="1">
        <v>36916</v>
      </c>
      <c r="BH33">
        <f t="shared" si="19"/>
        <v>7.6908333333333342E-4</v>
      </c>
      <c r="BJ33" s="1">
        <v>33958</v>
      </c>
      <c r="BK33">
        <f t="shared" si="20"/>
        <v>7.0745833333333338E-4</v>
      </c>
      <c r="BM33" s="1">
        <v>32478</v>
      </c>
      <c r="BN33">
        <f t="shared" si="21"/>
        <v>6.7662500000000003E-4</v>
      </c>
      <c r="BP33" s="1">
        <v>31016</v>
      </c>
      <c r="BQ33">
        <f t="shared" si="22"/>
        <v>6.7662500000000003E-4</v>
      </c>
      <c r="BS33" s="1">
        <v>29538</v>
      </c>
      <c r="BT33">
        <f t="shared" si="23"/>
        <v>6.1537500000000004E-4</v>
      </c>
      <c r="BV33" s="1">
        <v>28066</v>
      </c>
      <c r="BW33">
        <f t="shared" si="24"/>
        <v>5.8470833333333335E-4</v>
      </c>
      <c r="BY33" s="1">
        <v>25116</v>
      </c>
      <c r="BZ33">
        <f t="shared" si="25"/>
        <v>5.2325000000000006E-4</v>
      </c>
      <c r="CB33" s="1">
        <v>25116</v>
      </c>
      <c r="CC33">
        <f t="shared" si="26"/>
        <v>5.2325000000000006E-4</v>
      </c>
    </row>
    <row r="34" spans="2:81" x14ac:dyDescent="0.2">
      <c r="B34" s="1">
        <v>81144</v>
      </c>
      <c r="C34">
        <f t="shared" si="0"/>
        <v>1.6905000000000002E-3</v>
      </c>
      <c r="E34" s="1">
        <v>81393</v>
      </c>
      <c r="F34">
        <f t="shared" si="1"/>
        <v>1.6956875000000001E-3</v>
      </c>
      <c r="H34" s="1">
        <v>246278</v>
      </c>
      <c r="I34">
        <f t="shared" si="2"/>
        <v>5.1307916666666672E-3</v>
      </c>
      <c r="K34" s="1">
        <v>245778</v>
      </c>
      <c r="L34">
        <f t="shared" si="3"/>
        <v>5.1203749999999999E-3</v>
      </c>
      <c r="M34">
        <v>200</v>
      </c>
      <c r="N34" s="1">
        <v>121589</v>
      </c>
      <c r="O34">
        <f t="shared" si="4"/>
        <v>2.533104166666667E-3</v>
      </c>
      <c r="P34">
        <v>450</v>
      </c>
      <c r="Q34" s="1">
        <v>54598</v>
      </c>
      <c r="R34">
        <f t="shared" si="5"/>
        <v>1.1374583333333334E-3</v>
      </c>
      <c r="S34">
        <v>200</v>
      </c>
      <c r="T34" s="1">
        <v>121609</v>
      </c>
      <c r="U34">
        <f t="shared" si="6"/>
        <v>2.5335208333333334E-3</v>
      </c>
      <c r="V34">
        <v>350</v>
      </c>
      <c r="W34" s="1">
        <v>70802</v>
      </c>
      <c r="X34">
        <f t="shared" si="7"/>
        <v>1.4750416666666668E-3</v>
      </c>
      <c r="Y34">
        <v>400</v>
      </c>
      <c r="Z34" s="1">
        <v>61958</v>
      </c>
      <c r="AA34">
        <f t="shared" si="8"/>
        <v>1.2907916666666666E-3</v>
      </c>
      <c r="AB34">
        <v>400</v>
      </c>
      <c r="AC34" s="1">
        <v>60510</v>
      </c>
      <c r="AD34">
        <f t="shared" si="9"/>
        <v>1.260625E-3</v>
      </c>
      <c r="AE34">
        <v>420</v>
      </c>
      <c r="AF34" s="1">
        <v>59026</v>
      </c>
      <c r="AG34">
        <f t="shared" si="10"/>
        <v>1.2297083333333333E-3</v>
      </c>
      <c r="AH34">
        <v>450</v>
      </c>
      <c r="AI34" s="1">
        <v>54622</v>
      </c>
      <c r="AJ34">
        <f t="shared" si="11"/>
        <v>1.1379583333333335E-3</v>
      </c>
      <c r="AK34">
        <v>450</v>
      </c>
      <c r="AL34" s="1">
        <v>54620</v>
      </c>
      <c r="AM34">
        <f t="shared" si="12"/>
        <v>1.1379166666666666E-3</v>
      </c>
      <c r="AN34">
        <v>450</v>
      </c>
      <c r="AO34" s="1">
        <v>53118</v>
      </c>
      <c r="AP34">
        <f t="shared" si="13"/>
        <v>1.106625E-3</v>
      </c>
      <c r="AQ34">
        <v>450</v>
      </c>
      <c r="AR34" s="1">
        <v>54598</v>
      </c>
      <c r="AS34">
        <f t="shared" si="14"/>
        <v>1.1374583333333334E-3</v>
      </c>
      <c r="AU34" s="1">
        <v>51664</v>
      </c>
      <c r="AV34">
        <f t="shared" si="15"/>
        <v>1.0763333333333334E-3</v>
      </c>
      <c r="AX34" s="1">
        <v>50166</v>
      </c>
      <c r="AY34">
        <f t="shared" si="16"/>
        <v>1.045125E-3</v>
      </c>
      <c r="BA34" s="1">
        <v>44268</v>
      </c>
      <c r="BB34">
        <f t="shared" si="17"/>
        <v>9.2225000000000011E-4</v>
      </c>
      <c r="BD34" s="1">
        <v>41322</v>
      </c>
      <c r="BE34">
        <f t="shared" si="18"/>
        <v>8.608750000000001E-4</v>
      </c>
      <c r="BG34" s="1">
        <v>38390</v>
      </c>
      <c r="BH34">
        <f t="shared" si="19"/>
        <v>7.9979166666666675E-4</v>
      </c>
      <c r="BJ34" s="1">
        <v>35430</v>
      </c>
      <c r="BK34">
        <f t="shared" si="20"/>
        <v>7.3812500000000007E-4</v>
      </c>
      <c r="BM34" s="1">
        <v>33956</v>
      </c>
      <c r="BN34">
        <f t="shared" si="21"/>
        <v>7.0741666666666674E-4</v>
      </c>
      <c r="BP34" s="1">
        <v>31012</v>
      </c>
      <c r="BQ34">
        <f t="shared" si="22"/>
        <v>7.0741666666666674E-4</v>
      </c>
      <c r="BS34" s="1">
        <v>29540</v>
      </c>
      <c r="BT34">
        <f t="shared" si="23"/>
        <v>6.1541666666666667E-4</v>
      </c>
      <c r="BV34" s="1">
        <v>26592</v>
      </c>
      <c r="BW34">
        <f t="shared" si="24"/>
        <v>5.5400000000000002E-4</v>
      </c>
      <c r="BY34" s="1">
        <v>25120</v>
      </c>
      <c r="BZ34">
        <f t="shared" si="25"/>
        <v>5.2333333333333333E-4</v>
      </c>
      <c r="CB34" s="1">
        <v>25116</v>
      </c>
      <c r="CC34">
        <f t="shared" si="26"/>
        <v>5.2325000000000006E-4</v>
      </c>
    </row>
    <row r="35" spans="2:81" x14ac:dyDescent="0.2">
      <c r="B35" s="1">
        <v>81536</v>
      </c>
      <c r="C35">
        <f t="shared" si="0"/>
        <v>1.6986666666666667E-3</v>
      </c>
      <c r="E35" s="1">
        <v>82584</v>
      </c>
      <c r="F35">
        <f t="shared" si="1"/>
        <v>1.7205E-3</v>
      </c>
      <c r="H35" s="1">
        <v>246240</v>
      </c>
      <c r="I35">
        <f t="shared" si="2"/>
        <v>5.13E-3</v>
      </c>
      <c r="K35" s="1">
        <v>246265</v>
      </c>
      <c r="L35">
        <f t="shared" si="3"/>
        <v>5.1305208333333333E-3</v>
      </c>
      <c r="M35">
        <v>200</v>
      </c>
      <c r="N35" s="1">
        <v>123053</v>
      </c>
      <c r="O35">
        <f t="shared" si="4"/>
        <v>2.5636041666666667E-3</v>
      </c>
      <c r="P35">
        <v>450</v>
      </c>
      <c r="Q35" s="1">
        <v>54592</v>
      </c>
      <c r="R35">
        <f t="shared" si="5"/>
        <v>1.1373333333333333E-3</v>
      </c>
      <c r="S35">
        <v>200</v>
      </c>
      <c r="T35" s="1">
        <v>123089</v>
      </c>
      <c r="U35">
        <f t="shared" si="6"/>
        <v>2.564354166666667E-3</v>
      </c>
      <c r="V35">
        <v>350</v>
      </c>
      <c r="W35" s="1">
        <v>69328</v>
      </c>
      <c r="X35">
        <f t="shared" si="7"/>
        <v>1.4443333333333335E-3</v>
      </c>
      <c r="Y35">
        <v>400</v>
      </c>
      <c r="Z35" s="1">
        <v>60482</v>
      </c>
      <c r="AA35">
        <f t="shared" si="8"/>
        <v>1.2600416666666667E-3</v>
      </c>
      <c r="AB35">
        <v>400</v>
      </c>
      <c r="AC35" s="1">
        <v>61982</v>
      </c>
      <c r="AD35">
        <f t="shared" si="9"/>
        <v>1.2912916666666667E-3</v>
      </c>
      <c r="AE35">
        <v>420</v>
      </c>
      <c r="AF35" s="1">
        <v>59018</v>
      </c>
      <c r="AG35">
        <f t="shared" si="10"/>
        <v>1.2295416666666668E-3</v>
      </c>
      <c r="AH35">
        <v>450</v>
      </c>
      <c r="AI35" s="1">
        <v>54622</v>
      </c>
      <c r="AJ35">
        <f t="shared" si="11"/>
        <v>1.1379583333333335E-3</v>
      </c>
      <c r="AK35">
        <v>450</v>
      </c>
      <c r="AL35" s="1">
        <v>56094</v>
      </c>
      <c r="AM35">
        <f t="shared" si="12"/>
        <v>1.1686250000000002E-3</v>
      </c>
      <c r="AN35">
        <v>450</v>
      </c>
      <c r="AO35" s="1">
        <v>54588</v>
      </c>
      <c r="AP35">
        <f t="shared" si="13"/>
        <v>1.13725E-3</v>
      </c>
      <c r="AQ35">
        <v>450</v>
      </c>
      <c r="AR35" s="1">
        <v>54602</v>
      </c>
      <c r="AS35">
        <f t="shared" si="14"/>
        <v>1.1375416666666667E-3</v>
      </c>
      <c r="AU35" s="1">
        <v>53140</v>
      </c>
      <c r="AV35">
        <f t="shared" si="15"/>
        <v>1.1070833333333334E-3</v>
      </c>
      <c r="AX35" s="1">
        <v>50160</v>
      </c>
      <c r="AY35">
        <f t="shared" si="16"/>
        <v>1.0450000000000001E-3</v>
      </c>
      <c r="BA35" s="1">
        <v>45746</v>
      </c>
      <c r="BB35">
        <f t="shared" si="17"/>
        <v>9.5304166666666671E-4</v>
      </c>
      <c r="BD35" s="1">
        <v>41324</v>
      </c>
      <c r="BE35">
        <f t="shared" si="18"/>
        <v>8.6091666666666673E-4</v>
      </c>
      <c r="BG35" s="1">
        <v>36914</v>
      </c>
      <c r="BH35">
        <f t="shared" si="19"/>
        <v>7.6904166666666668E-4</v>
      </c>
      <c r="BJ35" s="1">
        <v>35428</v>
      </c>
      <c r="BK35">
        <f t="shared" si="20"/>
        <v>7.3808333333333343E-4</v>
      </c>
      <c r="BM35" s="1">
        <v>32476</v>
      </c>
      <c r="BN35">
        <f t="shared" si="21"/>
        <v>6.765833333333334E-4</v>
      </c>
      <c r="BP35" s="1">
        <v>31014</v>
      </c>
      <c r="BQ35">
        <f t="shared" si="22"/>
        <v>6.765833333333334E-4</v>
      </c>
      <c r="BS35" s="1">
        <v>29540</v>
      </c>
      <c r="BT35">
        <f t="shared" si="23"/>
        <v>6.1541666666666667E-4</v>
      </c>
      <c r="BV35" s="1">
        <v>26592</v>
      </c>
      <c r="BW35">
        <f t="shared" si="24"/>
        <v>5.5400000000000002E-4</v>
      </c>
      <c r="BY35" s="1">
        <v>25118</v>
      </c>
      <c r="BZ35">
        <f t="shared" si="25"/>
        <v>5.232916666666667E-4</v>
      </c>
      <c r="CB35" s="1">
        <v>25116</v>
      </c>
      <c r="CC35">
        <f t="shared" si="26"/>
        <v>5.2325000000000006E-4</v>
      </c>
    </row>
    <row r="36" spans="2:81" x14ac:dyDescent="0.2">
      <c r="B36" s="1">
        <v>81427</v>
      </c>
      <c r="C36">
        <f t="shared" si="0"/>
        <v>1.6963958333333334E-3</v>
      </c>
      <c r="E36" s="1">
        <v>81393</v>
      </c>
      <c r="F36">
        <f t="shared" si="1"/>
        <v>1.6956875000000001E-3</v>
      </c>
      <c r="H36" s="1">
        <v>245145</v>
      </c>
      <c r="I36">
        <f t="shared" si="2"/>
        <v>5.1071875000000006E-3</v>
      </c>
      <c r="K36" s="1">
        <v>245805</v>
      </c>
      <c r="L36">
        <f t="shared" si="3"/>
        <v>5.1209375000000005E-3</v>
      </c>
      <c r="M36">
        <v>200</v>
      </c>
      <c r="N36" s="1">
        <v>123055</v>
      </c>
      <c r="O36">
        <f t="shared" si="4"/>
        <v>2.5636458333333336E-3</v>
      </c>
      <c r="P36">
        <v>450</v>
      </c>
      <c r="Q36" s="1">
        <v>54598</v>
      </c>
      <c r="R36">
        <f t="shared" si="5"/>
        <v>1.1374583333333334E-3</v>
      </c>
      <c r="S36">
        <v>200</v>
      </c>
      <c r="T36" s="1">
        <v>123081</v>
      </c>
      <c r="U36">
        <f t="shared" si="6"/>
        <v>2.5641875000000001E-3</v>
      </c>
      <c r="V36">
        <v>350</v>
      </c>
      <c r="W36" s="1">
        <v>70802</v>
      </c>
      <c r="X36">
        <f t="shared" si="7"/>
        <v>1.4750416666666668E-3</v>
      </c>
      <c r="Y36">
        <v>400</v>
      </c>
      <c r="Z36" s="1">
        <v>61958</v>
      </c>
      <c r="AA36">
        <f t="shared" si="8"/>
        <v>1.2907916666666666E-3</v>
      </c>
      <c r="AB36">
        <v>400</v>
      </c>
      <c r="AC36" s="1">
        <v>61980</v>
      </c>
      <c r="AD36">
        <f t="shared" si="9"/>
        <v>1.2912500000000001E-3</v>
      </c>
      <c r="AE36">
        <v>420</v>
      </c>
      <c r="AF36" s="1">
        <v>59022</v>
      </c>
      <c r="AG36">
        <f t="shared" si="10"/>
        <v>1.229625E-3</v>
      </c>
      <c r="AH36">
        <v>450</v>
      </c>
      <c r="AI36" s="1">
        <v>56094</v>
      </c>
      <c r="AJ36">
        <f t="shared" si="11"/>
        <v>1.1686250000000002E-3</v>
      </c>
      <c r="AK36">
        <v>450</v>
      </c>
      <c r="AL36" s="1">
        <v>54616</v>
      </c>
      <c r="AM36">
        <f t="shared" si="12"/>
        <v>1.1378333333333334E-3</v>
      </c>
      <c r="AN36">
        <v>450</v>
      </c>
      <c r="AO36" s="1">
        <v>54590</v>
      </c>
      <c r="AP36">
        <f t="shared" si="13"/>
        <v>1.1372916666666667E-3</v>
      </c>
      <c r="AQ36">
        <v>450</v>
      </c>
      <c r="AR36" s="1">
        <v>56078</v>
      </c>
      <c r="AS36">
        <f t="shared" si="14"/>
        <v>1.1682916666666667E-3</v>
      </c>
      <c r="AU36" s="1">
        <v>53134</v>
      </c>
      <c r="AV36">
        <f t="shared" si="15"/>
        <v>1.1069583333333335E-3</v>
      </c>
      <c r="AX36" s="1">
        <v>50162</v>
      </c>
      <c r="AY36">
        <f t="shared" si="16"/>
        <v>1.0450416666666668E-3</v>
      </c>
      <c r="BA36" s="1">
        <v>45744</v>
      </c>
      <c r="BB36">
        <f t="shared" si="17"/>
        <v>9.5300000000000007E-4</v>
      </c>
      <c r="BD36" s="1">
        <v>39850</v>
      </c>
      <c r="BE36">
        <f t="shared" si="18"/>
        <v>8.3020833333333341E-4</v>
      </c>
      <c r="BG36" s="1">
        <v>38392</v>
      </c>
      <c r="BH36">
        <f t="shared" si="19"/>
        <v>7.9983333333333339E-4</v>
      </c>
      <c r="BJ36" s="1">
        <v>35428</v>
      </c>
      <c r="BK36">
        <f t="shared" si="20"/>
        <v>7.3808333333333343E-4</v>
      </c>
      <c r="BM36" s="1">
        <v>32478</v>
      </c>
      <c r="BN36">
        <f t="shared" si="21"/>
        <v>6.7662500000000003E-4</v>
      </c>
      <c r="BP36" s="1">
        <v>31010</v>
      </c>
      <c r="BQ36">
        <f t="shared" si="22"/>
        <v>6.7662500000000003E-4</v>
      </c>
      <c r="BS36" s="1">
        <v>29542</v>
      </c>
      <c r="BT36">
        <f t="shared" si="23"/>
        <v>6.1545833333333342E-4</v>
      </c>
      <c r="BV36" s="1">
        <v>26592</v>
      </c>
      <c r="BW36">
        <f t="shared" si="24"/>
        <v>5.5400000000000002E-4</v>
      </c>
      <c r="BY36" s="1">
        <v>25120</v>
      </c>
      <c r="BZ36">
        <f t="shared" si="25"/>
        <v>5.2333333333333333E-4</v>
      </c>
      <c r="CB36" s="1">
        <v>25114</v>
      </c>
      <c r="CC36">
        <f t="shared" si="26"/>
        <v>5.2320833333333332E-4</v>
      </c>
    </row>
    <row r="37" spans="2:81" x14ac:dyDescent="0.2">
      <c r="B37" s="1">
        <v>81538</v>
      </c>
      <c r="C37">
        <f t="shared" si="0"/>
        <v>1.6987083333333335E-3</v>
      </c>
      <c r="E37" s="1">
        <v>82588</v>
      </c>
      <c r="F37">
        <f t="shared" si="1"/>
        <v>1.7205833333333335E-3</v>
      </c>
      <c r="H37" s="1">
        <v>246109</v>
      </c>
      <c r="I37">
        <f t="shared" si="2"/>
        <v>5.1272708333333335E-3</v>
      </c>
      <c r="K37" s="1">
        <v>246189</v>
      </c>
      <c r="L37">
        <f t="shared" si="3"/>
        <v>5.1289375000000007E-3</v>
      </c>
      <c r="M37">
        <v>200</v>
      </c>
      <c r="N37" s="1">
        <v>123057</v>
      </c>
      <c r="O37">
        <f t="shared" si="4"/>
        <v>2.5636875E-3</v>
      </c>
      <c r="P37">
        <v>450</v>
      </c>
      <c r="Q37" s="1">
        <v>54600</v>
      </c>
      <c r="R37">
        <f t="shared" si="5"/>
        <v>1.1375000000000001E-3</v>
      </c>
      <c r="S37">
        <v>200</v>
      </c>
      <c r="T37" s="1">
        <v>123087</v>
      </c>
      <c r="U37">
        <f t="shared" si="6"/>
        <v>2.5643125000000002E-3</v>
      </c>
      <c r="V37">
        <v>350</v>
      </c>
      <c r="W37" s="1">
        <v>70800</v>
      </c>
      <c r="X37">
        <f t="shared" si="7"/>
        <v>1.4750000000000002E-3</v>
      </c>
      <c r="Y37">
        <v>400</v>
      </c>
      <c r="Z37" s="1">
        <v>61960</v>
      </c>
      <c r="AA37">
        <f t="shared" si="8"/>
        <v>1.2908333333333335E-3</v>
      </c>
      <c r="AB37">
        <v>400</v>
      </c>
      <c r="AC37" s="1">
        <v>61980</v>
      </c>
      <c r="AD37">
        <f t="shared" si="9"/>
        <v>1.2912500000000001E-3</v>
      </c>
      <c r="AE37">
        <v>420</v>
      </c>
      <c r="AF37" s="1">
        <v>59034</v>
      </c>
      <c r="AG37">
        <f t="shared" si="10"/>
        <v>1.2298750000000001E-3</v>
      </c>
      <c r="AH37">
        <v>450</v>
      </c>
      <c r="AI37" s="1">
        <v>54620</v>
      </c>
      <c r="AJ37">
        <f t="shared" si="11"/>
        <v>1.1379166666666666E-3</v>
      </c>
      <c r="AK37">
        <v>450</v>
      </c>
      <c r="AL37" s="1">
        <v>54616</v>
      </c>
      <c r="AM37">
        <f t="shared" si="12"/>
        <v>1.1378333333333334E-3</v>
      </c>
      <c r="AN37">
        <v>450</v>
      </c>
      <c r="AO37" s="1">
        <v>56062</v>
      </c>
      <c r="AP37">
        <f t="shared" si="13"/>
        <v>1.1679583333333333E-3</v>
      </c>
      <c r="AQ37">
        <v>450</v>
      </c>
      <c r="AR37" s="1">
        <v>54602</v>
      </c>
      <c r="AS37">
        <f t="shared" si="14"/>
        <v>1.1375416666666667E-3</v>
      </c>
      <c r="AU37" s="1">
        <v>53136</v>
      </c>
      <c r="AV37">
        <f t="shared" si="15"/>
        <v>1.1070000000000001E-3</v>
      </c>
      <c r="AX37" s="1">
        <v>48690</v>
      </c>
      <c r="AY37">
        <f t="shared" si="16"/>
        <v>1.0143750000000001E-3</v>
      </c>
      <c r="BA37" s="1">
        <v>44272</v>
      </c>
      <c r="BB37">
        <f t="shared" si="17"/>
        <v>9.2233333333333338E-4</v>
      </c>
      <c r="BD37" s="1">
        <v>41326</v>
      </c>
      <c r="BE37">
        <f t="shared" si="18"/>
        <v>8.6095833333333337E-4</v>
      </c>
      <c r="BG37" s="1">
        <v>38388</v>
      </c>
      <c r="BH37">
        <f t="shared" si="19"/>
        <v>7.9975000000000001E-4</v>
      </c>
      <c r="BJ37" s="1">
        <v>35432</v>
      </c>
      <c r="BK37">
        <f t="shared" si="20"/>
        <v>7.381666666666667E-4</v>
      </c>
      <c r="BM37" s="1">
        <v>33954</v>
      </c>
      <c r="BN37">
        <f t="shared" si="21"/>
        <v>7.07375E-4</v>
      </c>
      <c r="BP37" s="1">
        <v>31014</v>
      </c>
      <c r="BQ37">
        <f t="shared" si="22"/>
        <v>7.07375E-4</v>
      </c>
      <c r="BS37" s="1">
        <v>28066</v>
      </c>
      <c r="BT37">
        <f t="shared" si="23"/>
        <v>5.8470833333333335E-4</v>
      </c>
      <c r="BV37" s="1">
        <v>28068</v>
      </c>
      <c r="BW37">
        <f t="shared" si="24"/>
        <v>5.8474999999999998E-4</v>
      </c>
      <c r="BY37" s="1">
        <v>25118</v>
      </c>
      <c r="BZ37">
        <f t="shared" si="25"/>
        <v>5.232916666666667E-4</v>
      </c>
      <c r="CB37" s="1">
        <v>23640</v>
      </c>
      <c r="CC37">
        <f t="shared" si="26"/>
        <v>4.9249999999999999E-4</v>
      </c>
    </row>
    <row r="38" spans="2:81" x14ac:dyDescent="0.2">
      <c r="B38" s="1">
        <v>81530</v>
      </c>
      <c r="C38">
        <f t="shared" si="0"/>
        <v>1.6985416666666668E-3</v>
      </c>
      <c r="E38" s="1">
        <v>82592</v>
      </c>
      <c r="F38">
        <f t="shared" si="1"/>
        <v>1.7206666666666668E-3</v>
      </c>
      <c r="H38" s="1">
        <v>246945</v>
      </c>
      <c r="I38">
        <f t="shared" si="2"/>
        <v>5.1446875E-3</v>
      </c>
      <c r="K38" s="1">
        <v>246199</v>
      </c>
      <c r="L38">
        <f t="shared" si="3"/>
        <v>5.1291458333333336E-3</v>
      </c>
      <c r="M38">
        <v>200</v>
      </c>
      <c r="N38" s="1">
        <v>123053</v>
      </c>
      <c r="O38">
        <f t="shared" si="4"/>
        <v>2.5636041666666667E-3</v>
      </c>
      <c r="P38">
        <v>450</v>
      </c>
      <c r="Q38" s="1"/>
      <c r="S38">
        <v>200</v>
      </c>
      <c r="T38" s="1">
        <v>123087</v>
      </c>
      <c r="U38">
        <f t="shared" si="6"/>
        <v>2.5643125000000002E-3</v>
      </c>
      <c r="V38">
        <v>350</v>
      </c>
      <c r="W38" s="1">
        <v>70806</v>
      </c>
      <c r="X38">
        <f t="shared" si="7"/>
        <v>1.4751250000000001E-3</v>
      </c>
      <c r="Y38">
        <v>400</v>
      </c>
      <c r="Z38" s="1">
        <v>61958</v>
      </c>
      <c r="AA38">
        <f t="shared" si="8"/>
        <v>1.2907916666666666E-3</v>
      </c>
      <c r="AB38">
        <v>400</v>
      </c>
      <c r="AC38" s="1">
        <v>61984</v>
      </c>
      <c r="AD38">
        <f t="shared" si="9"/>
        <v>1.2913333333333334E-3</v>
      </c>
      <c r="AE38">
        <v>420</v>
      </c>
      <c r="AF38" s="1">
        <v>57552</v>
      </c>
      <c r="AG38">
        <f t="shared" si="10"/>
        <v>1.199E-3</v>
      </c>
      <c r="AH38">
        <v>450</v>
      </c>
      <c r="AI38" s="1">
        <v>54620</v>
      </c>
      <c r="AJ38">
        <f t="shared" si="11"/>
        <v>1.1379166666666666E-3</v>
      </c>
      <c r="AK38">
        <v>450</v>
      </c>
      <c r="AL38" s="1">
        <v>54616</v>
      </c>
      <c r="AM38">
        <f t="shared" si="12"/>
        <v>1.1378333333333334E-3</v>
      </c>
      <c r="AN38">
        <v>450</v>
      </c>
      <c r="AO38" s="1">
        <v>54578</v>
      </c>
      <c r="AP38">
        <f t="shared" si="13"/>
        <v>1.1370416666666668E-3</v>
      </c>
      <c r="AQ38">
        <v>450</v>
      </c>
      <c r="AR38" s="1">
        <v>54604</v>
      </c>
      <c r="AS38">
        <f t="shared" si="14"/>
        <v>1.1375833333333333E-3</v>
      </c>
      <c r="AU38" s="1">
        <v>53136</v>
      </c>
      <c r="AV38">
        <f t="shared" si="15"/>
        <v>1.1070000000000001E-3</v>
      </c>
      <c r="AX38" s="1">
        <v>48690</v>
      </c>
      <c r="AY38">
        <f t="shared" si="16"/>
        <v>1.0143750000000001E-3</v>
      </c>
      <c r="BA38" s="1">
        <v>44278</v>
      </c>
      <c r="BB38">
        <f t="shared" si="17"/>
        <v>9.224583333333334E-4</v>
      </c>
      <c r="BD38" s="1">
        <v>41324</v>
      </c>
      <c r="BE38">
        <f t="shared" si="18"/>
        <v>8.6091666666666673E-4</v>
      </c>
      <c r="BG38" s="1">
        <v>38386</v>
      </c>
      <c r="BH38">
        <f t="shared" si="19"/>
        <v>7.9970833333333337E-4</v>
      </c>
      <c r="BJ38" s="1">
        <v>35424</v>
      </c>
      <c r="BK38">
        <f t="shared" si="20"/>
        <v>7.3800000000000005E-4</v>
      </c>
      <c r="BM38" s="1">
        <v>32478</v>
      </c>
      <c r="BN38">
        <f t="shared" si="21"/>
        <v>6.7662500000000003E-4</v>
      </c>
      <c r="BP38" s="1">
        <v>31006</v>
      </c>
      <c r="BQ38">
        <f t="shared" si="22"/>
        <v>6.7662500000000003E-4</v>
      </c>
      <c r="BS38" s="1">
        <v>28068</v>
      </c>
      <c r="BT38">
        <f t="shared" si="23"/>
        <v>5.8474999999999998E-4</v>
      </c>
      <c r="BV38" s="1">
        <v>28068</v>
      </c>
      <c r="BW38">
        <f t="shared" si="24"/>
        <v>5.8474999999999998E-4</v>
      </c>
      <c r="BY38" s="1">
        <v>25116</v>
      </c>
      <c r="BZ38">
        <f t="shared" si="25"/>
        <v>5.2325000000000006E-4</v>
      </c>
      <c r="CB38" s="1">
        <v>25116</v>
      </c>
      <c r="CC38">
        <f t="shared" si="26"/>
        <v>5.2325000000000006E-4</v>
      </c>
    </row>
    <row r="39" spans="2:81" x14ac:dyDescent="0.2">
      <c r="B39" s="1">
        <v>80347</v>
      </c>
      <c r="C39">
        <f t="shared" si="0"/>
        <v>1.6738958333333334E-3</v>
      </c>
      <c r="E39" s="1">
        <v>81124</v>
      </c>
      <c r="F39">
        <f t="shared" si="1"/>
        <v>1.6900833333333334E-3</v>
      </c>
      <c r="H39" s="1">
        <v>246597</v>
      </c>
      <c r="I39">
        <f t="shared" si="2"/>
        <v>5.1374375000000005E-3</v>
      </c>
      <c r="K39" s="1">
        <v>245809</v>
      </c>
      <c r="L39">
        <f t="shared" si="3"/>
        <v>5.1210208333333333E-3</v>
      </c>
      <c r="M39">
        <v>200</v>
      </c>
      <c r="N39" s="1">
        <v>121585</v>
      </c>
      <c r="O39">
        <f t="shared" si="4"/>
        <v>2.5330208333333333E-3</v>
      </c>
      <c r="P39">
        <v>450</v>
      </c>
      <c r="Q39" s="1">
        <v>54598</v>
      </c>
      <c r="R39">
        <f t="shared" si="5"/>
        <v>1.1374583333333334E-3</v>
      </c>
      <c r="S39">
        <v>200</v>
      </c>
      <c r="T39" s="1">
        <v>123097</v>
      </c>
      <c r="U39">
        <f t="shared" si="6"/>
        <v>2.5645208333333336E-3</v>
      </c>
      <c r="V39">
        <v>350</v>
      </c>
      <c r="W39" s="1">
        <v>70798</v>
      </c>
      <c r="X39">
        <f t="shared" si="7"/>
        <v>1.4749583333333333E-3</v>
      </c>
      <c r="Y39">
        <v>400</v>
      </c>
      <c r="Z39" s="1">
        <v>61958</v>
      </c>
      <c r="AA39">
        <f t="shared" si="8"/>
        <v>1.2907916666666666E-3</v>
      </c>
      <c r="AB39">
        <v>400</v>
      </c>
      <c r="AC39" s="1">
        <v>61972</v>
      </c>
      <c r="AD39">
        <f t="shared" si="9"/>
        <v>1.2910833333333333E-3</v>
      </c>
      <c r="AE39">
        <v>420</v>
      </c>
      <c r="AF39" s="1">
        <v>59024</v>
      </c>
      <c r="AG39">
        <f t="shared" si="10"/>
        <v>1.2296666666666667E-3</v>
      </c>
      <c r="AH39">
        <v>450</v>
      </c>
      <c r="AI39" s="1">
        <v>54620</v>
      </c>
      <c r="AJ39">
        <f t="shared" si="11"/>
        <v>1.1379166666666666E-3</v>
      </c>
      <c r="AK39">
        <v>450</v>
      </c>
      <c r="AL39" s="1">
        <v>54612</v>
      </c>
      <c r="AM39">
        <f t="shared" si="12"/>
        <v>1.1377500000000001E-3</v>
      </c>
      <c r="AN39">
        <v>450</v>
      </c>
      <c r="AO39" s="1">
        <v>54586</v>
      </c>
      <c r="AP39">
        <f t="shared" si="13"/>
        <v>1.1372083333333334E-3</v>
      </c>
      <c r="AQ39">
        <v>450</v>
      </c>
      <c r="AR39" s="1">
        <v>54598</v>
      </c>
      <c r="AS39">
        <f t="shared" si="14"/>
        <v>1.1374583333333334E-3</v>
      </c>
      <c r="AU39" s="1">
        <v>51662</v>
      </c>
      <c r="AV39">
        <f t="shared" si="15"/>
        <v>1.0762916666666668E-3</v>
      </c>
      <c r="AX39" s="1">
        <v>48690</v>
      </c>
      <c r="AY39">
        <f t="shared" si="16"/>
        <v>1.0143750000000001E-3</v>
      </c>
      <c r="BA39" s="1">
        <v>44274</v>
      </c>
      <c r="BB39">
        <f t="shared" si="17"/>
        <v>9.2237500000000002E-4</v>
      </c>
      <c r="BD39" s="1">
        <v>41326</v>
      </c>
      <c r="BE39">
        <f t="shared" si="18"/>
        <v>8.6095833333333337E-4</v>
      </c>
      <c r="BG39" s="1">
        <v>36916</v>
      </c>
      <c r="BH39">
        <f t="shared" si="19"/>
        <v>7.6908333333333342E-4</v>
      </c>
      <c r="BJ39" s="1">
        <v>35430</v>
      </c>
      <c r="BK39">
        <f t="shared" si="20"/>
        <v>7.3812500000000007E-4</v>
      </c>
      <c r="BM39" s="1">
        <v>32478</v>
      </c>
      <c r="BN39">
        <f t="shared" si="21"/>
        <v>6.7662500000000003E-4</v>
      </c>
      <c r="BP39" s="1">
        <v>29538</v>
      </c>
      <c r="BQ39">
        <f t="shared" si="22"/>
        <v>6.7662500000000003E-4</v>
      </c>
      <c r="BS39" s="1">
        <v>28066</v>
      </c>
      <c r="BT39">
        <f t="shared" si="23"/>
        <v>5.8470833333333335E-4</v>
      </c>
      <c r="BV39" s="1">
        <v>26590</v>
      </c>
      <c r="BW39">
        <f t="shared" si="24"/>
        <v>5.5395833333333339E-4</v>
      </c>
      <c r="BY39" s="1">
        <v>25120</v>
      </c>
      <c r="BZ39">
        <f t="shared" si="25"/>
        <v>5.2333333333333333E-4</v>
      </c>
      <c r="CB39" s="1">
        <v>23642</v>
      </c>
      <c r="CC39">
        <f t="shared" si="26"/>
        <v>4.9254166666666674E-4</v>
      </c>
    </row>
    <row r="40" spans="2:81" x14ac:dyDescent="0.2">
      <c r="B40" s="1">
        <v>81431</v>
      </c>
      <c r="C40">
        <f t="shared" si="0"/>
        <v>1.6964791666666667E-3</v>
      </c>
      <c r="E40" s="1">
        <v>82588</v>
      </c>
      <c r="F40">
        <f t="shared" si="1"/>
        <v>1.7205833333333335E-3</v>
      </c>
      <c r="H40" s="1">
        <v>245894</v>
      </c>
      <c r="I40">
        <f t="shared" si="2"/>
        <v>5.122791666666667E-3</v>
      </c>
      <c r="K40" s="1">
        <v>246084</v>
      </c>
      <c r="L40">
        <f t="shared" si="3"/>
        <v>5.1267500000000002E-3</v>
      </c>
      <c r="M40">
        <v>200</v>
      </c>
      <c r="N40" s="1">
        <v>121587</v>
      </c>
      <c r="O40">
        <f t="shared" si="4"/>
        <v>2.5330625000000002E-3</v>
      </c>
      <c r="P40">
        <v>450</v>
      </c>
      <c r="Q40" s="1">
        <v>51650</v>
      </c>
      <c r="R40">
        <f t="shared" si="5"/>
        <v>1.0760416666666668E-3</v>
      </c>
      <c r="S40">
        <v>200</v>
      </c>
      <c r="T40" s="1">
        <v>123101</v>
      </c>
      <c r="U40">
        <f t="shared" si="6"/>
        <v>2.5646041666666669E-3</v>
      </c>
      <c r="V40">
        <v>350</v>
      </c>
      <c r="W40" s="1">
        <v>70802</v>
      </c>
      <c r="X40">
        <f t="shared" si="7"/>
        <v>1.4750416666666668E-3</v>
      </c>
      <c r="Y40">
        <v>400</v>
      </c>
      <c r="Z40" s="1">
        <v>61958</v>
      </c>
      <c r="AA40">
        <f t="shared" si="8"/>
        <v>1.2907916666666666E-3</v>
      </c>
      <c r="AB40">
        <v>400</v>
      </c>
      <c r="AC40" s="1">
        <v>61972</v>
      </c>
      <c r="AD40">
        <f t="shared" si="9"/>
        <v>1.2910833333333333E-3</v>
      </c>
      <c r="AE40">
        <v>420</v>
      </c>
      <c r="AF40" s="1">
        <v>57550</v>
      </c>
      <c r="AG40">
        <f t="shared" si="10"/>
        <v>1.1989583333333333E-3</v>
      </c>
      <c r="AH40">
        <v>450</v>
      </c>
      <c r="AI40" s="1">
        <v>54618</v>
      </c>
      <c r="AJ40">
        <f t="shared" si="11"/>
        <v>1.137875E-3</v>
      </c>
      <c r="AK40">
        <v>450</v>
      </c>
      <c r="AL40" s="1">
        <v>54614</v>
      </c>
      <c r="AN40">
        <v>450</v>
      </c>
      <c r="AO40" s="1"/>
      <c r="AQ40">
        <v>450</v>
      </c>
      <c r="AR40" s="1">
        <v>54600</v>
      </c>
      <c r="AU40" s="1">
        <v>53138</v>
      </c>
      <c r="AV40">
        <f t="shared" si="15"/>
        <v>1.1070416666666668E-3</v>
      </c>
      <c r="AX40" s="1">
        <v>48692</v>
      </c>
      <c r="AY40">
        <f t="shared" si="16"/>
        <v>1.0144166666666667E-3</v>
      </c>
      <c r="BA40" s="1">
        <v>44272</v>
      </c>
      <c r="BB40">
        <f t="shared" si="17"/>
        <v>9.2233333333333338E-4</v>
      </c>
      <c r="BD40" s="1">
        <v>41326</v>
      </c>
      <c r="BE40">
        <f t="shared" si="18"/>
        <v>8.6095833333333337E-4</v>
      </c>
      <c r="BG40" s="1">
        <v>36914</v>
      </c>
      <c r="BH40">
        <f t="shared" si="19"/>
        <v>7.6904166666666668E-4</v>
      </c>
      <c r="BJ40" s="1">
        <v>35428</v>
      </c>
      <c r="BK40">
        <f t="shared" si="20"/>
        <v>7.3808333333333343E-4</v>
      </c>
      <c r="BM40" s="1">
        <v>32476</v>
      </c>
      <c r="BN40">
        <f t="shared" si="21"/>
        <v>6.765833333333334E-4</v>
      </c>
      <c r="BP40" s="1">
        <v>32486</v>
      </c>
      <c r="BQ40">
        <f t="shared" si="22"/>
        <v>6.765833333333334E-4</v>
      </c>
      <c r="BS40" s="1">
        <v>29538</v>
      </c>
      <c r="BT40">
        <f t="shared" si="23"/>
        <v>6.1537500000000004E-4</v>
      </c>
      <c r="BV40" s="1">
        <v>26594</v>
      </c>
      <c r="BW40">
        <f t="shared" si="24"/>
        <v>5.5404166666666666E-4</v>
      </c>
      <c r="BY40" s="1">
        <v>25114</v>
      </c>
      <c r="BZ40">
        <f t="shared" si="25"/>
        <v>5.2320833333333332E-4</v>
      </c>
      <c r="CB40" s="1">
        <v>25114</v>
      </c>
      <c r="CC40">
        <f t="shared" si="26"/>
        <v>5.2320833333333332E-4</v>
      </c>
    </row>
    <row r="41" spans="2:81" x14ac:dyDescent="0.2">
      <c r="B41" s="1">
        <v>81538</v>
      </c>
      <c r="C41">
        <f t="shared" si="0"/>
        <v>1.6987083333333335E-3</v>
      </c>
      <c r="E41" s="1">
        <v>81787</v>
      </c>
      <c r="F41">
        <f t="shared" si="1"/>
        <v>1.7038958333333335E-3</v>
      </c>
      <c r="H41" s="1">
        <v>245584</v>
      </c>
      <c r="I41">
        <f t="shared" si="2"/>
        <v>5.1163333333333338E-3</v>
      </c>
      <c r="K41" s="1">
        <v>245929</v>
      </c>
      <c r="L41">
        <f t="shared" si="3"/>
        <v>5.1235208333333332E-3</v>
      </c>
      <c r="M41">
        <v>200</v>
      </c>
      <c r="N41" s="1">
        <v>123063</v>
      </c>
      <c r="O41">
        <f t="shared" si="4"/>
        <v>2.5638125000000001E-3</v>
      </c>
      <c r="P41">
        <v>450</v>
      </c>
      <c r="Q41" s="1">
        <v>56072</v>
      </c>
      <c r="R41">
        <f t="shared" si="5"/>
        <v>1.1681666666666667E-3</v>
      </c>
      <c r="S41">
        <v>200</v>
      </c>
      <c r="T41" s="1">
        <v>123093</v>
      </c>
      <c r="U41">
        <f t="shared" si="6"/>
        <v>2.5644375000000003E-3</v>
      </c>
      <c r="V41">
        <v>350</v>
      </c>
      <c r="W41" s="1">
        <v>70802</v>
      </c>
      <c r="X41">
        <f t="shared" si="7"/>
        <v>1.4750416666666668E-3</v>
      </c>
      <c r="Y41">
        <v>400</v>
      </c>
      <c r="Z41" s="1">
        <v>60482</v>
      </c>
      <c r="AA41">
        <f t="shared" si="8"/>
        <v>1.2600416666666667E-3</v>
      </c>
      <c r="AB41">
        <v>400</v>
      </c>
      <c r="AC41" s="1">
        <v>60502</v>
      </c>
      <c r="AD41">
        <f t="shared" si="9"/>
        <v>1.2604583333333335E-3</v>
      </c>
      <c r="AE41">
        <v>420</v>
      </c>
      <c r="AF41" s="1">
        <v>59030</v>
      </c>
      <c r="AG41">
        <f t="shared" si="10"/>
        <v>1.2297916666666668E-3</v>
      </c>
      <c r="AH41">
        <v>450</v>
      </c>
      <c r="AI41" s="1">
        <v>54616</v>
      </c>
      <c r="AJ41">
        <f t="shared" si="11"/>
        <v>1.1378333333333334E-3</v>
      </c>
      <c r="AK41">
        <v>450</v>
      </c>
      <c r="AL41" s="1">
        <v>54612</v>
      </c>
      <c r="AM41">
        <f t="shared" si="12"/>
        <v>1.1377500000000001E-3</v>
      </c>
      <c r="AN41">
        <v>450</v>
      </c>
      <c r="AO41" s="1">
        <v>54582</v>
      </c>
      <c r="AP41">
        <f t="shared" si="13"/>
        <v>1.1371250000000001E-3</v>
      </c>
      <c r="AQ41">
        <v>450</v>
      </c>
      <c r="AR41" s="1">
        <v>54600</v>
      </c>
      <c r="AS41">
        <f t="shared" si="14"/>
        <v>1.1375000000000001E-3</v>
      </c>
      <c r="AU41" s="1">
        <v>53138</v>
      </c>
      <c r="AV41">
        <f t="shared" si="15"/>
        <v>1.1070416666666668E-3</v>
      </c>
      <c r="AX41" s="1">
        <v>48690</v>
      </c>
      <c r="AY41">
        <f t="shared" si="16"/>
        <v>1.0143750000000001E-3</v>
      </c>
      <c r="BA41" s="1">
        <v>45742</v>
      </c>
      <c r="BB41">
        <f t="shared" si="17"/>
        <v>9.5295833333333343E-4</v>
      </c>
      <c r="BD41" s="1">
        <v>41324</v>
      </c>
      <c r="BE41">
        <f t="shared" si="18"/>
        <v>8.6091666666666673E-4</v>
      </c>
      <c r="BG41" s="1">
        <v>38386</v>
      </c>
      <c r="BH41">
        <f t="shared" si="19"/>
        <v>7.9970833333333337E-4</v>
      </c>
      <c r="BJ41" s="1">
        <v>35430</v>
      </c>
      <c r="BK41">
        <f t="shared" si="20"/>
        <v>7.3812500000000007E-4</v>
      </c>
      <c r="BM41" s="1">
        <v>32478</v>
      </c>
      <c r="BN41">
        <f t="shared" si="21"/>
        <v>6.7662500000000003E-4</v>
      </c>
      <c r="BP41" s="1">
        <v>29538</v>
      </c>
      <c r="BQ41">
        <f t="shared" si="22"/>
        <v>6.7662500000000003E-4</v>
      </c>
      <c r="BS41" s="1">
        <v>29542</v>
      </c>
      <c r="BT41">
        <f t="shared" si="23"/>
        <v>6.1545833333333342E-4</v>
      </c>
      <c r="BV41" s="1">
        <v>26592</v>
      </c>
      <c r="BW41">
        <f t="shared" si="24"/>
        <v>5.5400000000000002E-4</v>
      </c>
      <c r="BY41" s="1">
        <v>25114</v>
      </c>
      <c r="BZ41">
        <f t="shared" si="25"/>
        <v>5.2320833333333332E-4</v>
      </c>
      <c r="CB41" s="1">
        <v>23636</v>
      </c>
      <c r="CC41">
        <f t="shared" si="26"/>
        <v>4.9241666666666672E-4</v>
      </c>
    </row>
    <row r="42" spans="2:81" x14ac:dyDescent="0.2">
      <c r="B42" s="1">
        <v>82622</v>
      </c>
      <c r="C42">
        <f t="shared" si="0"/>
        <v>1.7212916666666668E-3</v>
      </c>
      <c r="E42" s="1">
        <v>81134</v>
      </c>
      <c r="F42">
        <f t="shared" si="1"/>
        <v>1.6902916666666668E-3</v>
      </c>
      <c r="H42" s="1">
        <v>246425</v>
      </c>
      <c r="I42">
        <f t="shared" si="2"/>
        <v>5.1338541666666668E-3</v>
      </c>
      <c r="K42" s="1">
        <v>246163</v>
      </c>
      <c r="L42">
        <f t="shared" si="3"/>
        <v>5.1283958333333338E-3</v>
      </c>
      <c r="M42">
        <v>200</v>
      </c>
      <c r="N42" s="1">
        <v>121589</v>
      </c>
      <c r="O42">
        <f t="shared" si="4"/>
        <v>2.533104166666667E-3</v>
      </c>
      <c r="P42">
        <v>450</v>
      </c>
      <c r="Q42" s="1">
        <v>54598</v>
      </c>
      <c r="R42">
        <f t="shared" si="5"/>
        <v>1.1374583333333334E-3</v>
      </c>
      <c r="S42">
        <v>200</v>
      </c>
      <c r="T42" s="1">
        <v>123097</v>
      </c>
      <c r="U42">
        <f t="shared" si="6"/>
        <v>2.5645208333333336E-3</v>
      </c>
      <c r="V42">
        <v>350</v>
      </c>
      <c r="W42" s="1">
        <v>70802</v>
      </c>
      <c r="X42">
        <f t="shared" si="7"/>
        <v>1.4750416666666668E-3</v>
      </c>
      <c r="Y42">
        <v>400</v>
      </c>
      <c r="Z42" s="1">
        <v>60486</v>
      </c>
      <c r="AA42">
        <f t="shared" si="8"/>
        <v>1.2601250000000002E-3</v>
      </c>
      <c r="AB42">
        <v>400</v>
      </c>
      <c r="AC42" s="1">
        <v>61972</v>
      </c>
      <c r="AD42">
        <f t="shared" si="9"/>
        <v>1.2910833333333333E-3</v>
      </c>
      <c r="AE42">
        <v>420</v>
      </c>
      <c r="AF42" s="1">
        <v>57554</v>
      </c>
      <c r="AG42">
        <f t="shared" si="10"/>
        <v>1.1990416666666668E-3</v>
      </c>
      <c r="AH42">
        <v>450</v>
      </c>
      <c r="AI42" s="1">
        <v>56094</v>
      </c>
      <c r="AJ42">
        <f t="shared" si="11"/>
        <v>1.1686250000000002E-3</v>
      </c>
      <c r="AK42">
        <v>450</v>
      </c>
      <c r="AL42" s="1">
        <v>54616</v>
      </c>
      <c r="AM42">
        <f t="shared" si="12"/>
        <v>1.1378333333333334E-3</v>
      </c>
      <c r="AN42">
        <v>450</v>
      </c>
      <c r="AO42" s="1">
        <v>54582</v>
      </c>
      <c r="AP42">
        <f t="shared" si="13"/>
        <v>1.1371250000000001E-3</v>
      </c>
      <c r="AQ42">
        <v>450</v>
      </c>
      <c r="AR42" s="1">
        <v>54604</v>
      </c>
      <c r="AS42">
        <f t="shared" si="14"/>
        <v>1.1375833333333333E-3</v>
      </c>
      <c r="AU42" s="1">
        <v>53134</v>
      </c>
      <c r="AV42">
        <f t="shared" si="15"/>
        <v>1.1069583333333335E-3</v>
      </c>
      <c r="AX42" s="1">
        <v>50162</v>
      </c>
      <c r="AY42">
        <f t="shared" si="16"/>
        <v>1.0450416666666668E-3</v>
      </c>
      <c r="BA42" s="1">
        <v>45746</v>
      </c>
      <c r="BB42">
        <f t="shared" si="17"/>
        <v>9.5304166666666671E-4</v>
      </c>
      <c r="BD42" s="1">
        <v>41328</v>
      </c>
      <c r="BE42">
        <f t="shared" si="18"/>
        <v>8.61E-4</v>
      </c>
      <c r="BG42" s="1">
        <v>38388</v>
      </c>
      <c r="BH42">
        <f t="shared" si="19"/>
        <v>7.9975000000000001E-4</v>
      </c>
      <c r="BJ42" s="1">
        <v>35428</v>
      </c>
      <c r="BK42">
        <f t="shared" si="20"/>
        <v>7.3808333333333343E-4</v>
      </c>
      <c r="BM42" s="1">
        <v>33952</v>
      </c>
      <c r="BN42">
        <f t="shared" si="21"/>
        <v>7.0733333333333336E-4</v>
      </c>
      <c r="BP42" s="1">
        <v>31008</v>
      </c>
      <c r="BQ42">
        <f t="shared" si="22"/>
        <v>7.0733333333333336E-4</v>
      </c>
      <c r="BS42" s="1">
        <v>29540</v>
      </c>
      <c r="BT42">
        <f t="shared" si="23"/>
        <v>6.1541666666666667E-4</v>
      </c>
      <c r="BV42" s="1">
        <v>28066</v>
      </c>
      <c r="BW42">
        <f t="shared" si="24"/>
        <v>5.8470833333333335E-4</v>
      </c>
      <c r="BY42" s="1">
        <v>25114</v>
      </c>
      <c r="BZ42">
        <f t="shared" si="25"/>
        <v>5.2320833333333332E-4</v>
      </c>
      <c r="CB42" s="1">
        <v>25112</v>
      </c>
      <c r="CC42">
        <f t="shared" si="26"/>
        <v>5.2316666666666668E-4</v>
      </c>
    </row>
    <row r="43" spans="2:81" x14ac:dyDescent="0.2">
      <c r="B43" s="1">
        <v>81146</v>
      </c>
      <c r="C43">
        <f t="shared" si="0"/>
        <v>1.6905416666666668E-3</v>
      </c>
      <c r="E43" s="1">
        <v>82600</v>
      </c>
      <c r="F43">
        <f t="shared" si="1"/>
        <v>1.7208333333333333E-3</v>
      </c>
      <c r="H43" s="1">
        <v>246214</v>
      </c>
      <c r="I43">
        <f t="shared" si="2"/>
        <v>5.129458333333334E-3</v>
      </c>
      <c r="K43" s="1">
        <v>245824</v>
      </c>
      <c r="L43">
        <f t="shared" si="3"/>
        <v>5.1213333333333336E-3</v>
      </c>
      <c r="M43">
        <v>200</v>
      </c>
      <c r="N43" s="1">
        <v>123061</v>
      </c>
      <c r="O43">
        <f t="shared" si="4"/>
        <v>2.5637708333333337E-3</v>
      </c>
      <c r="P43">
        <v>450</v>
      </c>
      <c r="Q43" s="1">
        <v>54596</v>
      </c>
      <c r="R43">
        <f t="shared" si="5"/>
        <v>1.1374166666666668E-3</v>
      </c>
      <c r="S43">
        <v>200</v>
      </c>
      <c r="T43" s="1">
        <v>123099</v>
      </c>
      <c r="U43">
        <f t="shared" si="6"/>
        <v>2.5645625E-3</v>
      </c>
      <c r="V43">
        <v>350</v>
      </c>
      <c r="W43" s="1">
        <v>70808</v>
      </c>
      <c r="X43">
        <f t="shared" si="7"/>
        <v>1.4751666666666667E-3</v>
      </c>
      <c r="Y43">
        <v>400</v>
      </c>
      <c r="Z43" s="1">
        <v>61958</v>
      </c>
      <c r="AA43">
        <f t="shared" si="8"/>
        <v>1.2907916666666666E-3</v>
      </c>
      <c r="AB43">
        <v>400</v>
      </c>
      <c r="AC43" s="1">
        <v>61972</v>
      </c>
      <c r="AD43">
        <f t="shared" si="9"/>
        <v>1.2910833333333333E-3</v>
      </c>
      <c r="AE43">
        <v>420</v>
      </c>
      <c r="AF43" s="1">
        <v>57550</v>
      </c>
      <c r="AG43">
        <f t="shared" si="10"/>
        <v>1.1989583333333333E-3</v>
      </c>
      <c r="AH43">
        <v>450</v>
      </c>
      <c r="AI43" s="1">
        <v>54618</v>
      </c>
      <c r="AJ43">
        <f t="shared" si="11"/>
        <v>1.137875E-3</v>
      </c>
      <c r="AK43">
        <v>450</v>
      </c>
      <c r="AL43" s="1">
        <v>54616</v>
      </c>
      <c r="AM43">
        <f t="shared" si="12"/>
        <v>1.1378333333333334E-3</v>
      </c>
      <c r="AN43">
        <v>450</v>
      </c>
      <c r="AO43" s="1">
        <v>54578</v>
      </c>
      <c r="AP43">
        <f t="shared" si="13"/>
        <v>1.1370416666666668E-3</v>
      </c>
      <c r="AQ43">
        <v>450</v>
      </c>
      <c r="AR43" s="1">
        <v>54598</v>
      </c>
      <c r="AS43">
        <f t="shared" si="14"/>
        <v>1.1374583333333334E-3</v>
      </c>
      <c r="AU43" s="1">
        <v>51658</v>
      </c>
      <c r="AV43">
        <f t="shared" si="15"/>
        <v>1.0762083333333333E-3</v>
      </c>
      <c r="AX43" s="1">
        <v>50170</v>
      </c>
      <c r="AY43">
        <f t="shared" si="16"/>
        <v>1.0452083333333333E-3</v>
      </c>
      <c r="BA43" s="1">
        <v>44268</v>
      </c>
      <c r="BB43">
        <f t="shared" si="17"/>
        <v>9.2225000000000011E-4</v>
      </c>
      <c r="BD43" s="1">
        <v>41324</v>
      </c>
      <c r="BE43">
        <f t="shared" si="18"/>
        <v>8.6091666666666673E-4</v>
      </c>
      <c r="BG43" s="1">
        <v>38386</v>
      </c>
      <c r="BH43">
        <f t="shared" si="19"/>
        <v>7.9970833333333337E-4</v>
      </c>
      <c r="BJ43" s="1">
        <v>35426</v>
      </c>
      <c r="BK43">
        <f t="shared" si="20"/>
        <v>7.3804166666666669E-4</v>
      </c>
      <c r="BM43" s="1">
        <v>32480</v>
      </c>
      <c r="BN43">
        <f t="shared" si="21"/>
        <v>6.7666666666666667E-4</v>
      </c>
      <c r="BP43" s="1">
        <v>31012</v>
      </c>
      <c r="BQ43">
        <f t="shared" si="22"/>
        <v>6.7666666666666667E-4</v>
      </c>
      <c r="BS43" s="1">
        <v>29540</v>
      </c>
      <c r="BT43">
        <f t="shared" si="23"/>
        <v>6.1541666666666667E-4</v>
      </c>
      <c r="BV43" s="1">
        <v>28070</v>
      </c>
      <c r="BW43">
        <f t="shared" si="24"/>
        <v>5.8479166666666673E-4</v>
      </c>
      <c r="BY43" s="1">
        <v>25118</v>
      </c>
      <c r="BZ43">
        <f t="shared" si="25"/>
        <v>5.232916666666667E-4</v>
      </c>
      <c r="CB43" s="1">
        <v>23640</v>
      </c>
      <c r="CC43">
        <f t="shared" si="26"/>
        <v>4.9249999999999999E-4</v>
      </c>
    </row>
    <row r="44" spans="2:81" x14ac:dyDescent="0.2">
      <c r="B44" s="1">
        <v>81540</v>
      </c>
      <c r="C44">
        <f t="shared" si="0"/>
        <v>1.6987500000000002E-3</v>
      </c>
      <c r="E44" s="1">
        <v>81132</v>
      </c>
      <c r="F44">
        <f t="shared" si="1"/>
        <v>1.6902500000000001E-3</v>
      </c>
      <c r="H44" s="1">
        <v>246251</v>
      </c>
      <c r="I44">
        <f t="shared" si="2"/>
        <v>5.1302291666666666E-3</v>
      </c>
      <c r="K44" s="1">
        <v>246093</v>
      </c>
      <c r="L44">
        <f t="shared" si="3"/>
        <v>5.1269375000000004E-3</v>
      </c>
      <c r="M44">
        <v>200</v>
      </c>
      <c r="N44" s="1">
        <v>124539</v>
      </c>
      <c r="O44">
        <f t="shared" si="4"/>
        <v>2.5945625000000001E-3</v>
      </c>
      <c r="P44">
        <v>450</v>
      </c>
      <c r="Q44" s="1"/>
      <c r="S44">
        <v>200</v>
      </c>
      <c r="T44" s="1">
        <v>121625</v>
      </c>
      <c r="U44">
        <f t="shared" si="6"/>
        <v>2.5338541666666669E-3</v>
      </c>
      <c r="V44">
        <v>350</v>
      </c>
      <c r="W44" s="1">
        <v>70810</v>
      </c>
      <c r="X44">
        <f t="shared" si="7"/>
        <v>1.4752083333333334E-3</v>
      </c>
      <c r="Y44">
        <v>400</v>
      </c>
      <c r="Z44" s="1">
        <v>61958</v>
      </c>
      <c r="AA44">
        <f t="shared" si="8"/>
        <v>1.2907916666666666E-3</v>
      </c>
      <c r="AB44">
        <v>400</v>
      </c>
      <c r="AC44" s="1">
        <v>61974</v>
      </c>
      <c r="AD44">
        <f t="shared" si="9"/>
        <v>1.2911250000000002E-3</v>
      </c>
      <c r="AE44">
        <v>420</v>
      </c>
      <c r="AF44" s="1">
        <v>57554</v>
      </c>
      <c r="AG44">
        <f t="shared" si="10"/>
        <v>1.1990416666666668E-3</v>
      </c>
      <c r="AH44">
        <v>450</v>
      </c>
      <c r="AI44" s="1">
        <v>56096</v>
      </c>
      <c r="AJ44">
        <f t="shared" si="11"/>
        <v>1.1686666666666668E-3</v>
      </c>
      <c r="AK44">
        <v>450</v>
      </c>
      <c r="AL44" s="1">
        <v>54618</v>
      </c>
      <c r="AM44">
        <f t="shared" si="12"/>
        <v>1.137875E-3</v>
      </c>
      <c r="AN44">
        <v>450</v>
      </c>
      <c r="AO44" s="1">
        <v>54582</v>
      </c>
      <c r="AP44">
        <f t="shared" si="13"/>
        <v>1.1371250000000001E-3</v>
      </c>
      <c r="AQ44">
        <v>450</v>
      </c>
      <c r="AR44" s="1">
        <v>54600</v>
      </c>
      <c r="AS44">
        <f t="shared" si="14"/>
        <v>1.1375000000000001E-3</v>
      </c>
      <c r="AU44" s="1">
        <v>53138</v>
      </c>
      <c r="AV44">
        <f t="shared" si="15"/>
        <v>1.1070416666666668E-3</v>
      </c>
      <c r="AX44" s="1">
        <v>48698</v>
      </c>
      <c r="AY44">
        <f t="shared" si="16"/>
        <v>1.0145416666666666E-3</v>
      </c>
      <c r="BA44" s="1">
        <v>44276</v>
      </c>
      <c r="BB44">
        <f t="shared" si="17"/>
        <v>9.2241666666666676E-4</v>
      </c>
      <c r="BD44" s="1">
        <v>41324</v>
      </c>
      <c r="BE44">
        <f t="shared" si="18"/>
        <v>8.6091666666666673E-4</v>
      </c>
      <c r="BG44" s="1">
        <v>38388</v>
      </c>
      <c r="BH44">
        <f t="shared" si="19"/>
        <v>7.9975000000000001E-4</v>
      </c>
      <c r="BJ44" s="1">
        <v>33956</v>
      </c>
      <c r="BK44">
        <f t="shared" si="20"/>
        <v>7.0741666666666674E-4</v>
      </c>
      <c r="BM44" s="1">
        <v>32478</v>
      </c>
      <c r="BN44">
        <f t="shared" si="21"/>
        <v>6.7662500000000003E-4</v>
      </c>
      <c r="BP44" s="1">
        <v>31010</v>
      </c>
      <c r="BQ44">
        <f t="shared" si="22"/>
        <v>6.7662500000000003E-4</v>
      </c>
      <c r="BS44" s="1">
        <v>29542</v>
      </c>
      <c r="BT44">
        <f t="shared" si="23"/>
        <v>6.1545833333333342E-4</v>
      </c>
      <c r="BV44" s="1">
        <v>28066</v>
      </c>
      <c r="BW44">
        <f t="shared" si="24"/>
        <v>5.8470833333333335E-4</v>
      </c>
      <c r="BY44" s="1">
        <v>25116</v>
      </c>
      <c r="BZ44">
        <f t="shared" si="25"/>
        <v>5.2325000000000006E-4</v>
      </c>
      <c r="CB44" s="1">
        <v>25114</v>
      </c>
      <c r="CC44">
        <f t="shared" si="26"/>
        <v>5.2320833333333332E-4</v>
      </c>
    </row>
    <row r="45" spans="2:81" x14ac:dyDescent="0.2">
      <c r="B45" s="1">
        <v>80345</v>
      </c>
      <c r="C45">
        <f t="shared" si="0"/>
        <v>1.6738541666666668E-3</v>
      </c>
      <c r="E45" s="1">
        <v>82600</v>
      </c>
      <c r="F45">
        <f t="shared" si="1"/>
        <v>1.7208333333333333E-3</v>
      </c>
      <c r="H45" s="1">
        <v>245559</v>
      </c>
      <c r="I45">
        <f t="shared" si="2"/>
        <v>5.1158125000000006E-3</v>
      </c>
      <c r="K45" s="1">
        <v>246626</v>
      </c>
      <c r="L45">
        <f t="shared" si="3"/>
        <v>5.1380416666666666E-3</v>
      </c>
      <c r="M45">
        <v>200</v>
      </c>
      <c r="N45" s="1">
        <v>123061</v>
      </c>
      <c r="O45">
        <f t="shared" si="4"/>
        <v>2.5637708333333337E-3</v>
      </c>
      <c r="P45">
        <v>450</v>
      </c>
      <c r="Q45" s="1">
        <v>54598</v>
      </c>
      <c r="R45">
        <f t="shared" si="5"/>
        <v>1.1374583333333334E-3</v>
      </c>
      <c r="S45">
        <v>200</v>
      </c>
      <c r="T45" s="1">
        <v>123091</v>
      </c>
      <c r="U45">
        <f t="shared" si="6"/>
        <v>2.5643958333333335E-3</v>
      </c>
      <c r="V45">
        <v>350</v>
      </c>
      <c r="W45" s="1">
        <v>70808</v>
      </c>
      <c r="X45">
        <f t="shared" si="7"/>
        <v>1.4751666666666667E-3</v>
      </c>
      <c r="Y45">
        <v>400</v>
      </c>
      <c r="Z45" s="1">
        <v>61954</v>
      </c>
      <c r="AA45">
        <f t="shared" si="8"/>
        <v>1.2907083333333334E-3</v>
      </c>
      <c r="AB45">
        <v>400</v>
      </c>
      <c r="AC45" s="1">
        <v>61976</v>
      </c>
      <c r="AD45">
        <f t="shared" si="9"/>
        <v>1.2911666666666668E-3</v>
      </c>
      <c r="AE45">
        <v>420</v>
      </c>
      <c r="AF45" s="1">
        <v>57550</v>
      </c>
      <c r="AG45">
        <f t="shared" si="10"/>
        <v>1.1989583333333333E-3</v>
      </c>
      <c r="AH45">
        <v>450</v>
      </c>
      <c r="AI45" s="1">
        <v>54626</v>
      </c>
      <c r="AJ45">
        <f t="shared" si="11"/>
        <v>1.1380416666666668E-3</v>
      </c>
      <c r="AK45">
        <v>450</v>
      </c>
      <c r="AL45" s="1">
        <v>54618</v>
      </c>
      <c r="AM45">
        <f t="shared" si="12"/>
        <v>1.137875E-3</v>
      </c>
      <c r="AN45">
        <v>450</v>
      </c>
      <c r="AO45" s="1">
        <v>54582</v>
      </c>
      <c r="AP45">
        <f t="shared" si="13"/>
        <v>1.1371250000000001E-3</v>
      </c>
      <c r="AQ45">
        <v>450</v>
      </c>
      <c r="AR45" s="1">
        <v>54596</v>
      </c>
      <c r="AS45">
        <f t="shared" si="14"/>
        <v>1.1374166666666668E-3</v>
      </c>
      <c r="AU45" s="1">
        <v>51666</v>
      </c>
      <c r="AV45">
        <f t="shared" si="15"/>
        <v>1.0763750000000001E-3</v>
      </c>
      <c r="AX45" s="1">
        <v>50168</v>
      </c>
      <c r="AY45">
        <f t="shared" si="16"/>
        <v>1.0451666666666667E-3</v>
      </c>
      <c r="BA45" s="1">
        <v>44270</v>
      </c>
      <c r="BB45">
        <f t="shared" si="17"/>
        <v>9.2229166666666675E-4</v>
      </c>
      <c r="BD45" s="1">
        <v>41324</v>
      </c>
      <c r="BE45">
        <f t="shared" si="18"/>
        <v>8.6091666666666673E-4</v>
      </c>
      <c r="BG45" s="1">
        <v>36912</v>
      </c>
      <c r="BH45">
        <f t="shared" si="19"/>
        <v>7.6900000000000004E-4</v>
      </c>
      <c r="BJ45" s="1">
        <v>35432</v>
      </c>
      <c r="BK45">
        <f t="shared" si="20"/>
        <v>7.381666666666667E-4</v>
      </c>
      <c r="BM45" s="1">
        <v>32480</v>
      </c>
      <c r="BN45">
        <f t="shared" si="21"/>
        <v>6.7666666666666667E-4</v>
      </c>
      <c r="BP45" s="1">
        <v>31010</v>
      </c>
      <c r="BQ45">
        <f t="shared" si="22"/>
        <v>6.7666666666666667E-4</v>
      </c>
      <c r="BS45" s="1">
        <v>29542</v>
      </c>
      <c r="BT45">
        <f t="shared" si="23"/>
        <v>6.1545833333333342E-4</v>
      </c>
      <c r="BV45" s="1">
        <v>26594</v>
      </c>
      <c r="BW45">
        <f t="shared" si="24"/>
        <v>5.5404166666666666E-4</v>
      </c>
      <c r="BY45" s="1">
        <v>25118</v>
      </c>
      <c r="BZ45">
        <f t="shared" si="25"/>
        <v>5.232916666666667E-4</v>
      </c>
      <c r="CB45" s="1">
        <v>23642</v>
      </c>
      <c r="CC45">
        <f t="shared" si="26"/>
        <v>4.9254166666666674E-4</v>
      </c>
    </row>
    <row r="46" spans="2:81" x14ac:dyDescent="0.2">
      <c r="B46" s="1">
        <v>81419</v>
      </c>
      <c r="C46">
        <f t="shared" si="0"/>
        <v>1.6962291666666668E-3</v>
      </c>
      <c r="E46" s="1">
        <v>81134</v>
      </c>
      <c r="F46">
        <f t="shared" si="1"/>
        <v>1.6902916666666668E-3</v>
      </c>
      <c r="H46" s="1">
        <v>246139</v>
      </c>
      <c r="I46">
        <f t="shared" si="2"/>
        <v>5.1278958333333333E-3</v>
      </c>
      <c r="K46" s="1">
        <v>245843</v>
      </c>
      <c r="L46">
        <f t="shared" si="3"/>
        <v>5.1217291666666668E-3</v>
      </c>
      <c r="M46">
        <v>200</v>
      </c>
      <c r="N46" s="1">
        <v>123059</v>
      </c>
      <c r="O46">
        <f t="shared" si="4"/>
        <v>2.5637291666666668E-3</v>
      </c>
      <c r="P46">
        <v>450</v>
      </c>
      <c r="Q46" s="1">
        <v>54598</v>
      </c>
      <c r="R46">
        <f t="shared" si="5"/>
        <v>1.1374583333333334E-3</v>
      </c>
      <c r="S46">
        <v>200</v>
      </c>
      <c r="T46" s="1">
        <v>121613</v>
      </c>
      <c r="U46">
        <f t="shared" si="6"/>
        <v>2.5336041666666666E-3</v>
      </c>
      <c r="V46">
        <v>350</v>
      </c>
      <c r="W46" s="1">
        <v>70812</v>
      </c>
      <c r="X46">
        <f t="shared" si="7"/>
        <v>1.47525E-3</v>
      </c>
      <c r="Y46">
        <v>400</v>
      </c>
      <c r="Z46" s="1">
        <v>61960</v>
      </c>
      <c r="AA46">
        <f t="shared" si="8"/>
        <v>1.2908333333333335E-3</v>
      </c>
      <c r="AB46">
        <v>400</v>
      </c>
      <c r="AC46" s="1">
        <v>61978</v>
      </c>
      <c r="AD46">
        <f t="shared" si="9"/>
        <v>1.2912083333333334E-3</v>
      </c>
      <c r="AE46">
        <v>420</v>
      </c>
      <c r="AF46" s="1">
        <v>57548</v>
      </c>
      <c r="AG46">
        <f t="shared" si="10"/>
        <v>1.1989166666666667E-3</v>
      </c>
      <c r="AH46">
        <v>450</v>
      </c>
      <c r="AI46" s="1">
        <v>54626</v>
      </c>
      <c r="AJ46">
        <f t="shared" si="11"/>
        <v>1.1380416666666668E-3</v>
      </c>
      <c r="AK46">
        <v>450</v>
      </c>
      <c r="AL46" s="1">
        <v>56096</v>
      </c>
      <c r="AM46">
        <f t="shared" si="12"/>
        <v>1.1686666666666668E-3</v>
      </c>
      <c r="AN46">
        <v>450</v>
      </c>
      <c r="AO46" s="1">
        <v>54582</v>
      </c>
      <c r="AP46">
        <f t="shared" si="13"/>
        <v>1.1371250000000001E-3</v>
      </c>
      <c r="AQ46">
        <v>450</v>
      </c>
      <c r="AR46" s="1">
        <v>54596</v>
      </c>
      <c r="AS46">
        <f t="shared" si="14"/>
        <v>1.1374166666666668E-3</v>
      </c>
      <c r="AU46" s="1">
        <v>53138</v>
      </c>
      <c r="AV46">
        <f t="shared" si="15"/>
        <v>1.1070416666666668E-3</v>
      </c>
      <c r="AX46" s="1">
        <v>50168</v>
      </c>
      <c r="AY46">
        <f t="shared" si="16"/>
        <v>1.0451666666666667E-3</v>
      </c>
      <c r="BA46" s="1">
        <v>44272</v>
      </c>
      <c r="BB46">
        <f t="shared" si="17"/>
        <v>9.2233333333333338E-4</v>
      </c>
      <c r="BD46" s="1">
        <v>41328</v>
      </c>
      <c r="BE46">
        <f t="shared" si="18"/>
        <v>8.61E-4</v>
      </c>
      <c r="BG46" s="1">
        <v>38392</v>
      </c>
      <c r="BH46">
        <f t="shared" si="19"/>
        <v>7.9983333333333339E-4</v>
      </c>
      <c r="BJ46" s="1">
        <v>35430</v>
      </c>
      <c r="BK46">
        <f t="shared" si="20"/>
        <v>7.3812500000000007E-4</v>
      </c>
      <c r="BM46" s="1">
        <v>32476</v>
      </c>
      <c r="BN46">
        <f t="shared" si="21"/>
        <v>6.765833333333334E-4</v>
      </c>
      <c r="BP46" s="1">
        <v>31012</v>
      </c>
      <c r="BQ46">
        <f t="shared" si="22"/>
        <v>6.765833333333334E-4</v>
      </c>
      <c r="BS46" s="1">
        <v>29542</v>
      </c>
      <c r="BT46">
        <f t="shared" si="23"/>
        <v>6.1545833333333342E-4</v>
      </c>
      <c r="BV46" s="1">
        <v>26592</v>
      </c>
      <c r="BW46">
        <f t="shared" si="24"/>
        <v>5.5400000000000002E-4</v>
      </c>
      <c r="BY46" s="1">
        <v>25116</v>
      </c>
      <c r="BZ46">
        <f t="shared" si="25"/>
        <v>5.2325000000000006E-4</v>
      </c>
      <c r="CB46" s="1">
        <v>25112</v>
      </c>
      <c r="CC46">
        <f t="shared" si="26"/>
        <v>5.2316666666666668E-4</v>
      </c>
    </row>
    <row r="47" spans="2:81" x14ac:dyDescent="0.2">
      <c r="B47" s="1">
        <v>80343</v>
      </c>
      <c r="C47">
        <f t="shared" si="0"/>
        <v>1.6738125000000002E-3</v>
      </c>
      <c r="E47" s="1">
        <v>82608</v>
      </c>
      <c r="F47">
        <f t="shared" si="1"/>
        <v>1.7210000000000001E-3</v>
      </c>
      <c r="H47" s="1">
        <v>246120</v>
      </c>
      <c r="I47">
        <f t="shared" si="2"/>
        <v>5.1275000000000001E-3</v>
      </c>
      <c r="K47" s="1">
        <v>245771</v>
      </c>
      <c r="L47">
        <f t="shared" si="3"/>
        <v>5.120229166666667E-3</v>
      </c>
      <c r="M47">
        <v>200</v>
      </c>
      <c r="N47" s="1">
        <v>123053</v>
      </c>
      <c r="O47">
        <f t="shared" si="4"/>
        <v>2.5636041666666667E-3</v>
      </c>
      <c r="P47">
        <v>450</v>
      </c>
      <c r="Q47" s="1">
        <v>56074</v>
      </c>
      <c r="R47">
        <f t="shared" si="5"/>
        <v>1.1682083333333334E-3</v>
      </c>
      <c r="S47">
        <v>200</v>
      </c>
      <c r="T47" s="1">
        <v>121621</v>
      </c>
      <c r="U47">
        <f t="shared" si="6"/>
        <v>2.5337708333333336E-3</v>
      </c>
      <c r="V47">
        <v>350</v>
      </c>
      <c r="W47" s="1">
        <v>70808</v>
      </c>
      <c r="X47">
        <f t="shared" si="7"/>
        <v>1.4751666666666667E-3</v>
      </c>
      <c r="Y47">
        <v>400</v>
      </c>
      <c r="Z47" s="1">
        <v>60482</v>
      </c>
      <c r="AA47">
        <f t="shared" si="8"/>
        <v>1.2600416666666667E-3</v>
      </c>
      <c r="AB47">
        <v>400</v>
      </c>
      <c r="AC47" s="1">
        <v>61978</v>
      </c>
      <c r="AD47">
        <f t="shared" si="9"/>
        <v>1.2912083333333334E-3</v>
      </c>
      <c r="AE47">
        <v>420</v>
      </c>
      <c r="AF47" s="1">
        <v>59020</v>
      </c>
      <c r="AG47">
        <f t="shared" si="10"/>
        <v>1.2295833333333334E-3</v>
      </c>
      <c r="AH47">
        <v>450</v>
      </c>
      <c r="AI47" s="1">
        <v>54622</v>
      </c>
      <c r="AJ47">
        <f t="shared" si="11"/>
        <v>1.1379583333333335E-3</v>
      </c>
      <c r="AK47">
        <v>450</v>
      </c>
      <c r="AL47" s="1">
        <v>54620</v>
      </c>
      <c r="AM47">
        <f t="shared" si="12"/>
        <v>1.1379166666666666E-3</v>
      </c>
      <c r="AN47">
        <v>450</v>
      </c>
      <c r="AO47" s="1">
        <v>54576</v>
      </c>
      <c r="AP47">
        <f t="shared" si="13"/>
        <v>1.137E-3</v>
      </c>
      <c r="AQ47">
        <v>450</v>
      </c>
      <c r="AR47" s="1">
        <v>54598</v>
      </c>
      <c r="AS47">
        <f t="shared" si="14"/>
        <v>1.1374583333333334E-3</v>
      </c>
      <c r="AU47" s="1">
        <v>53138</v>
      </c>
      <c r="AV47">
        <f t="shared" si="15"/>
        <v>1.1070416666666668E-3</v>
      </c>
      <c r="AX47" s="1">
        <v>50166</v>
      </c>
      <c r="AY47">
        <f t="shared" si="16"/>
        <v>1.045125E-3</v>
      </c>
      <c r="BA47" s="1">
        <v>45746</v>
      </c>
      <c r="BB47">
        <f t="shared" si="17"/>
        <v>9.5304166666666671E-4</v>
      </c>
      <c r="BD47" s="1">
        <v>41328</v>
      </c>
      <c r="BE47">
        <f t="shared" si="18"/>
        <v>8.61E-4</v>
      </c>
      <c r="BG47" s="1">
        <v>38388</v>
      </c>
      <c r="BH47">
        <f t="shared" si="19"/>
        <v>7.9975000000000001E-4</v>
      </c>
      <c r="BJ47" s="1">
        <v>35432</v>
      </c>
      <c r="BK47">
        <f t="shared" si="20"/>
        <v>7.381666666666667E-4</v>
      </c>
      <c r="BM47" s="1">
        <v>32478</v>
      </c>
      <c r="BN47">
        <f t="shared" si="21"/>
        <v>6.7662500000000003E-4</v>
      </c>
      <c r="BP47" s="1">
        <v>31012</v>
      </c>
      <c r="BQ47">
        <f t="shared" si="22"/>
        <v>6.7662500000000003E-4</v>
      </c>
      <c r="BS47" s="1">
        <v>28068</v>
      </c>
      <c r="BT47">
        <f t="shared" si="23"/>
        <v>5.8474999999999998E-4</v>
      </c>
      <c r="BV47" s="1">
        <v>28064</v>
      </c>
      <c r="BW47">
        <f t="shared" si="24"/>
        <v>5.8466666666666671E-4</v>
      </c>
      <c r="BY47" s="1">
        <v>25118</v>
      </c>
      <c r="BZ47">
        <f t="shared" si="25"/>
        <v>5.232916666666667E-4</v>
      </c>
      <c r="CB47" s="1">
        <v>25112</v>
      </c>
      <c r="CC47">
        <f t="shared" si="26"/>
        <v>5.2316666666666668E-4</v>
      </c>
    </row>
    <row r="48" spans="2:81" x14ac:dyDescent="0.2">
      <c r="B48" s="1">
        <v>81421</v>
      </c>
      <c r="C48">
        <f t="shared" si="0"/>
        <v>1.6962708333333335E-3</v>
      </c>
      <c r="E48" s="1">
        <v>81138</v>
      </c>
      <c r="F48">
        <f t="shared" si="1"/>
        <v>1.690375E-3</v>
      </c>
      <c r="H48" s="1">
        <v>246153</v>
      </c>
      <c r="I48">
        <f t="shared" si="2"/>
        <v>5.1281874999999999E-3</v>
      </c>
      <c r="K48" s="1">
        <v>246874</v>
      </c>
      <c r="L48">
        <f t="shared" si="3"/>
        <v>5.1432083333333338E-3</v>
      </c>
      <c r="M48">
        <v>200</v>
      </c>
      <c r="N48" s="1">
        <v>123063</v>
      </c>
      <c r="O48">
        <f t="shared" si="4"/>
        <v>2.5638125000000001E-3</v>
      </c>
      <c r="P48">
        <v>450</v>
      </c>
      <c r="Q48" s="1">
        <v>54596</v>
      </c>
      <c r="R48">
        <f t="shared" si="5"/>
        <v>1.1374166666666668E-3</v>
      </c>
      <c r="S48">
        <v>200</v>
      </c>
      <c r="T48" s="1">
        <v>123095</v>
      </c>
      <c r="U48">
        <f t="shared" si="6"/>
        <v>2.5644791666666667E-3</v>
      </c>
      <c r="V48">
        <v>350</v>
      </c>
      <c r="W48" s="1">
        <v>70808</v>
      </c>
      <c r="X48">
        <f t="shared" si="7"/>
        <v>1.4751666666666667E-3</v>
      </c>
      <c r="Y48">
        <v>400</v>
      </c>
      <c r="Z48" s="1">
        <v>60484</v>
      </c>
      <c r="AA48">
        <f t="shared" si="8"/>
        <v>1.2600833333333333E-3</v>
      </c>
      <c r="AB48">
        <v>400</v>
      </c>
      <c r="AC48" s="1">
        <v>61978</v>
      </c>
      <c r="AD48">
        <f t="shared" si="9"/>
        <v>1.2912083333333334E-3</v>
      </c>
      <c r="AE48">
        <v>420</v>
      </c>
      <c r="AF48" s="1">
        <v>57548</v>
      </c>
      <c r="AG48">
        <f t="shared" si="10"/>
        <v>1.1989166666666667E-3</v>
      </c>
      <c r="AH48">
        <v>450</v>
      </c>
      <c r="AI48" s="1">
        <v>54622</v>
      </c>
      <c r="AJ48">
        <f t="shared" si="11"/>
        <v>1.1379583333333335E-3</v>
      </c>
      <c r="AK48">
        <v>450</v>
      </c>
      <c r="AL48" s="1">
        <v>54618</v>
      </c>
      <c r="AM48">
        <f t="shared" si="12"/>
        <v>1.137875E-3</v>
      </c>
      <c r="AN48">
        <v>450</v>
      </c>
      <c r="AO48" s="1">
        <v>56054</v>
      </c>
      <c r="AP48">
        <f t="shared" si="13"/>
        <v>1.1677916666666668E-3</v>
      </c>
      <c r="AQ48">
        <v>450</v>
      </c>
      <c r="AR48" s="1">
        <v>54598</v>
      </c>
      <c r="AS48">
        <f t="shared" si="14"/>
        <v>1.1374583333333334E-3</v>
      </c>
      <c r="AU48" s="1">
        <v>51664</v>
      </c>
      <c r="AV48">
        <f t="shared" si="15"/>
        <v>1.0763333333333334E-3</v>
      </c>
      <c r="AX48" s="1">
        <v>48692</v>
      </c>
      <c r="AY48">
        <f t="shared" si="16"/>
        <v>1.0144166666666667E-3</v>
      </c>
      <c r="BA48" s="1">
        <v>45744</v>
      </c>
      <c r="BB48">
        <f t="shared" si="17"/>
        <v>9.5300000000000007E-4</v>
      </c>
      <c r="BD48" s="1">
        <v>41324</v>
      </c>
      <c r="BE48">
        <f t="shared" si="18"/>
        <v>8.6091666666666673E-4</v>
      </c>
      <c r="BG48" s="1">
        <v>38390</v>
      </c>
      <c r="BH48">
        <f t="shared" si="19"/>
        <v>7.9979166666666675E-4</v>
      </c>
      <c r="BJ48" s="1">
        <v>35428</v>
      </c>
      <c r="BK48">
        <f t="shared" si="20"/>
        <v>7.3808333333333343E-4</v>
      </c>
      <c r="BM48" s="1">
        <v>32478</v>
      </c>
      <c r="BN48">
        <f t="shared" si="21"/>
        <v>6.7662500000000003E-4</v>
      </c>
      <c r="BP48" s="1">
        <v>31010</v>
      </c>
      <c r="BQ48">
        <f t="shared" si="22"/>
        <v>6.7662500000000003E-4</v>
      </c>
      <c r="BS48" s="1">
        <v>28068</v>
      </c>
      <c r="BT48">
        <f t="shared" si="23"/>
        <v>5.8474999999999998E-4</v>
      </c>
      <c r="BV48" s="1">
        <v>28066</v>
      </c>
      <c r="BW48">
        <f t="shared" si="24"/>
        <v>5.8470833333333335E-4</v>
      </c>
      <c r="BY48" s="1">
        <v>26594</v>
      </c>
      <c r="BZ48">
        <f t="shared" si="25"/>
        <v>5.5404166666666666E-4</v>
      </c>
      <c r="CB48" s="1">
        <v>25116</v>
      </c>
      <c r="CC48">
        <f t="shared" si="26"/>
        <v>5.2325000000000006E-4</v>
      </c>
    </row>
    <row r="49" spans="2:81" x14ac:dyDescent="0.2">
      <c r="B49" s="1">
        <v>81536</v>
      </c>
      <c r="C49">
        <f t="shared" si="0"/>
        <v>1.6986666666666667E-3</v>
      </c>
      <c r="E49" s="1">
        <v>82608</v>
      </c>
      <c r="F49">
        <f t="shared" si="1"/>
        <v>1.7210000000000001E-3</v>
      </c>
      <c r="H49" s="1">
        <v>246579</v>
      </c>
      <c r="I49">
        <f t="shared" si="2"/>
        <v>5.1370625000000001E-3</v>
      </c>
      <c r="K49" s="1">
        <v>245753</v>
      </c>
      <c r="L49">
        <f t="shared" si="3"/>
        <v>5.1198541666666667E-3</v>
      </c>
      <c r="M49">
        <v>200</v>
      </c>
      <c r="N49" s="1">
        <v>123061</v>
      </c>
      <c r="O49">
        <f t="shared" si="4"/>
        <v>2.5637708333333337E-3</v>
      </c>
      <c r="P49">
        <v>450</v>
      </c>
      <c r="Q49" s="1">
        <v>54598</v>
      </c>
      <c r="R49">
        <f t="shared" si="5"/>
        <v>1.1374583333333334E-3</v>
      </c>
      <c r="S49">
        <v>200</v>
      </c>
      <c r="T49" s="1">
        <v>123095</v>
      </c>
      <c r="U49">
        <f t="shared" si="6"/>
        <v>2.5644791666666667E-3</v>
      </c>
      <c r="V49">
        <v>350</v>
      </c>
      <c r="W49" s="1">
        <v>70493</v>
      </c>
      <c r="X49">
        <f t="shared" si="7"/>
        <v>1.4686041666666667E-3</v>
      </c>
      <c r="Y49">
        <v>400</v>
      </c>
      <c r="Z49" s="1">
        <v>61956</v>
      </c>
      <c r="AA49">
        <f t="shared" si="8"/>
        <v>1.29075E-3</v>
      </c>
      <c r="AB49">
        <v>400</v>
      </c>
      <c r="AC49" s="1">
        <v>61978</v>
      </c>
      <c r="AD49">
        <f t="shared" si="9"/>
        <v>1.2912083333333334E-3</v>
      </c>
      <c r="AE49">
        <v>420</v>
      </c>
      <c r="AF49" s="1">
        <v>59026</v>
      </c>
      <c r="AG49">
        <f t="shared" si="10"/>
        <v>1.2297083333333333E-3</v>
      </c>
      <c r="AH49">
        <v>450</v>
      </c>
      <c r="AI49" s="1">
        <v>54622</v>
      </c>
      <c r="AJ49">
        <f t="shared" si="11"/>
        <v>1.1379583333333335E-3</v>
      </c>
      <c r="AK49">
        <v>450</v>
      </c>
      <c r="AL49" s="1">
        <v>56094</v>
      </c>
      <c r="AM49">
        <f t="shared" si="12"/>
        <v>1.1686250000000002E-3</v>
      </c>
      <c r="AN49">
        <v>450</v>
      </c>
      <c r="AO49" s="1">
        <v>54574</v>
      </c>
      <c r="AP49">
        <f t="shared" si="13"/>
        <v>1.1369583333333334E-3</v>
      </c>
      <c r="AQ49">
        <v>450</v>
      </c>
      <c r="AR49" s="1">
        <v>54594</v>
      </c>
      <c r="AS49">
        <f t="shared" si="14"/>
        <v>1.1373750000000001E-3</v>
      </c>
      <c r="AU49" s="1">
        <v>53134</v>
      </c>
      <c r="AV49">
        <f t="shared" si="15"/>
        <v>1.1069583333333335E-3</v>
      </c>
      <c r="AX49" s="1">
        <v>50176</v>
      </c>
      <c r="AY49">
        <f t="shared" si="16"/>
        <v>1.0453333333333334E-3</v>
      </c>
      <c r="BA49" s="1">
        <v>44270</v>
      </c>
      <c r="BB49">
        <f t="shared" si="17"/>
        <v>9.2229166666666675E-4</v>
      </c>
      <c r="BD49" s="1">
        <v>41326</v>
      </c>
      <c r="BE49">
        <f t="shared" si="18"/>
        <v>8.6095833333333337E-4</v>
      </c>
      <c r="BG49" s="1">
        <v>38390</v>
      </c>
      <c r="BH49">
        <f t="shared" si="19"/>
        <v>7.9979166666666675E-4</v>
      </c>
      <c r="BJ49" s="1">
        <v>33954</v>
      </c>
      <c r="BK49">
        <f t="shared" si="20"/>
        <v>7.07375E-4</v>
      </c>
      <c r="BM49" s="1">
        <v>32478</v>
      </c>
      <c r="BN49">
        <f t="shared" si="21"/>
        <v>6.7662500000000003E-4</v>
      </c>
      <c r="BP49" s="1">
        <v>31014</v>
      </c>
      <c r="BQ49">
        <f t="shared" si="22"/>
        <v>6.7662500000000003E-4</v>
      </c>
      <c r="BS49" s="1">
        <v>28066</v>
      </c>
      <c r="BT49">
        <f t="shared" si="23"/>
        <v>5.8470833333333335E-4</v>
      </c>
      <c r="BV49" s="1">
        <v>28064</v>
      </c>
      <c r="BW49">
        <f t="shared" si="24"/>
        <v>5.8466666666666671E-4</v>
      </c>
      <c r="BY49" s="1">
        <v>25114</v>
      </c>
      <c r="BZ49">
        <f t="shared" si="25"/>
        <v>5.2320833333333332E-4</v>
      </c>
      <c r="CB49" s="1">
        <v>25116</v>
      </c>
      <c r="CC49">
        <f t="shared" si="26"/>
        <v>5.2325000000000006E-4</v>
      </c>
    </row>
    <row r="50" spans="2:81" x14ac:dyDescent="0.2">
      <c r="B50" s="1">
        <v>81538</v>
      </c>
      <c r="C50">
        <f t="shared" si="0"/>
        <v>1.6987083333333335E-3</v>
      </c>
      <c r="E50" s="1">
        <v>81411</v>
      </c>
      <c r="F50">
        <f t="shared" si="1"/>
        <v>1.6960625000000001E-3</v>
      </c>
      <c r="H50" s="1">
        <v>245572</v>
      </c>
      <c r="I50">
        <f t="shared" si="2"/>
        <v>5.1160833333333336E-3</v>
      </c>
      <c r="K50" s="1">
        <v>245793</v>
      </c>
      <c r="L50">
        <f t="shared" si="3"/>
        <v>5.1206875000000002E-3</v>
      </c>
      <c r="M50">
        <v>200</v>
      </c>
      <c r="N50" s="1">
        <v>123057</v>
      </c>
      <c r="O50">
        <f t="shared" si="4"/>
        <v>2.5636875E-3</v>
      </c>
      <c r="P50">
        <v>450</v>
      </c>
      <c r="Q50" s="1">
        <v>54600</v>
      </c>
      <c r="R50">
        <f t="shared" si="5"/>
        <v>1.1375000000000001E-3</v>
      </c>
      <c r="S50">
        <v>200</v>
      </c>
      <c r="T50" s="1">
        <v>123097</v>
      </c>
      <c r="U50">
        <f t="shared" si="6"/>
        <v>2.5645208333333336E-3</v>
      </c>
      <c r="V50">
        <v>350</v>
      </c>
      <c r="W50" s="1">
        <v>70812</v>
      </c>
      <c r="X50">
        <f t="shared" si="7"/>
        <v>1.47525E-3</v>
      </c>
      <c r="Y50">
        <v>400</v>
      </c>
      <c r="Z50" s="1">
        <v>61960</v>
      </c>
      <c r="AA50">
        <f t="shared" si="8"/>
        <v>1.2908333333333335E-3</v>
      </c>
      <c r="AB50">
        <v>400</v>
      </c>
      <c r="AC50" s="1">
        <v>61978</v>
      </c>
      <c r="AD50">
        <f t="shared" si="9"/>
        <v>1.2912083333333334E-3</v>
      </c>
      <c r="AE50">
        <v>420</v>
      </c>
      <c r="AF50" s="1">
        <v>59028</v>
      </c>
      <c r="AG50">
        <f t="shared" si="10"/>
        <v>1.2297500000000002E-3</v>
      </c>
      <c r="AH50">
        <v>450</v>
      </c>
      <c r="AI50" s="1">
        <v>54618</v>
      </c>
      <c r="AJ50">
        <f t="shared" si="11"/>
        <v>1.137875E-3</v>
      </c>
      <c r="AK50">
        <v>450</v>
      </c>
      <c r="AL50" s="1">
        <v>54622</v>
      </c>
      <c r="AM50">
        <f t="shared" si="12"/>
        <v>1.1379583333333335E-3</v>
      </c>
      <c r="AN50">
        <v>450</v>
      </c>
      <c r="AO50" s="1">
        <v>54582</v>
      </c>
      <c r="AP50">
        <f t="shared" si="13"/>
        <v>1.1371250000000001E-3</v>
      </c>
      <c r="AQ50">
        <v>450</v>
      </c>
      <c r="AR50" s="1">
        <v>54598</v>
      </c>
      <c r="AS50">
        <f t="shared" si="14"/>
        <v>1.1374583333333334E-3</v>
      </c>
      <c r="AU50" s="1">
        <v>51664</v>
      </c>
      <c r="AV50">
        <f t="shared" si="15"/>
        <v>1.0763333333333334E-3</v>
      </c>
      <c r="AX50" s="1">
        <v>48698</v>
      </c>
      <c r="AY50">
        <f t="shared" si="16"/>
        <v>1.0145416666666666E-3</v>
      </c>
      <c r="BA50" s="1">
        <v>44274</v>
      </c>
      <c r="BB50">
        <f t="shared" si="17"/>
        <v>9.2237500000000002E-4</v>
      </c>
      <c r="BD50" s="1">
        <v>41324</v>
      </c>
      <c r="BE50">
        <f t="shared" si="18"/>
        <v>8.6091666666666673E-4</v>
      </c>
      <c r="BG50" s="1">
        <v>38396</v>
      </c>
      <c r="BH50">
        <f t="shared" si="19"/>
        <v>7.9991666666666677E-4</v>
      </c>
      <c r="BJ50" s="1">
        <v>35432</v>
      </c>
      <c r="BK50">
        <f t="shared" si="20"/>
        <v>7.381666666666667E-4</v>
      </c>
      <c r="BM50" s="1">
        <v>32476</v>
      </c>
      <c r="BN50">
        <f t="shared" si="21"/>
        <v>6.765833333333334E-4</v>
      </c>
      <c r="BP50" s="1">
        <v>31012</v>
      </c>
      <c r="BQ50">
        <f t="shared" si="22"/>
        <v>6.765833333333334E-4</v>
      </c>
      <c r="BS50" s="1">
        <v>29542</v>
      </c>
      <c r="BT50">
        <f t="shared" si="23"/>
        <v>6.1545833333333342E-4</v>
      </c>
      <c r="BV50" s="1">
        <v>26590</v>
      </c>
      <c r="BW50">
        <f t="shared" si="24"/>
        <v>5.5395833333333339E-4</v>
      </c>
      <c r="BY50" s="1">
        <v>25118</v>
      </c>
      <c r="BZ50">
        <f t="shared" si="25"/>
        <v>5.232916666666667E-4</v>
      </c>
      <c r="CB50" s="1">
        <v>25114</v>
      </c>
      <c r="CC50">
        <f t="shared" si="26"/>
        <v>5.2320833333333332E-4</v>
      </c>
    </row>
    <row r="51" spans="2:81" x14ac:dyDescent="0.2">
      <c r="B51" s="1">
        <v>81811</v>
      </c>
      <c r="C51">
        <f t="shared" si="0"/>
        <v>1.7043958333333334E-3</v>
      </c>
      <c r="E51" s="1">
        <v>82610</v>
      </c>
      <c r="F51">
        <f t="shared" si="1"/>
        <v>1.7210416666666667E-3</v>
      </c>
      <c r="H51" s="1">
        <v>245957</v>
      </c>
      <c r="I51">
        <f t="shared" si="2"/>
        <v>5.1241041666666666E-3</v>
      </c>
      <c r="K51" s="1">
        <v>246132</v>
      </c>
      <c r="L51">
        <f t="shared" si="3"/>
        <v>5.1277500000000004E-3</v>
      </c>
      <c r="M51">
        <v>200</v>
      </c>
      <c r="N51" s="1">
        <v>123061</v>
      </c>
      <c r="O51">
        <f t="shared" si="4"/>
        <v>2.5637708333333337E-3</v>
      </c>
      <c r="P51">
        <v>450</v>
      </c>
      <c r="Q51" s="1">
        <v>54594</v>
      </c>
      <c r="R51">
        <f t="shared" si="5"/>
        <v>1.1373750000000001E-3</v>
      </c>
      <c r="S51">
        <v>200</v>
      </c>
      <c r="T51" s="1">
        <v>121621</v>
      </c>
      <c r="U51">
        <f t="shared" si="6"/>
        <v>2.5337708333333336E-3</v>
      </c>
      <c r="V51">
        <v>350</v>
      </c>
      <c r="W51" s="1">
        <v>70806</v>
      </c>
      <c r="X51">
        <f t="shared" si="7"/>
        <v>1.4751250000000001E-3</v>
      </c>
      <c r="Y51">
        <v>400</v>
      </c>
      <c r="Z51" s="1">
        <v>61962</v>
      </c>
      <c r="AA51">
        <f t="shared" si="8"/>
        <v>1.2908750000000001E-3</v>
      </c>
      <c r="AB51">
        <v>400</v>
      </c>
      <c r="AC51" s="1">
        <v>61976</v>
      </c>
      <c r="AD51">
        <f t="shared" si="9"/>
        <v>1.2911666666666668E-3</v>
      </c>
      <c r="AE51">
        <v>420</v>
      </c>
      <c r="AF51" s="1">
        <v>59020</v>
      </c>
      <c r="AG51">
        <f t="shared" si="10"/>
        <v>1.2295833333333334E-3</v>
      </c>
      <c r="AH51">
        <v>450</v>
      </c>
      <c r="AI51" s="1">
        <v>54618</v>
      </c>
      <c r="AJ51">
        <f t="shared" si="11"/>
        <v>1.137875E-3</v>
      </c>
      <c r="AK51">
        <v>450</v>
      </c>
      <c r="AL51" s="1">
        <v>54610</v>
      </c>
      <c r="AM51">
        <f t="shared" si="12"/>
        <v>1.1377083333333335E-3</v>
      </c>
      <c r="AN51">
        <v>450</v>
      </c>
      <c r="AO51" s="1">
        <v>56050</v>
      </c>
      <c r="AP51">
        <f t="shared" si="13"/>
        <v>1.1677083333333333E-3</v>
      </c>
      <c r="AQ51">
        <v>450</v>
      </c>
      <c r="AR51" s="1">
        <v>54598</v>
      </c>
      <c r="AS51">
        <f t="shared" si="14"/>
        <v>1.1374583333333334E-3</v>
      </c>
      <c r="AU51" s="1">
        <v>53138</v>
      </c>
      <c r="AV51">
        <f t="shared" si="15"/>
        <v>1.1070416666666668E-3</v>
      </c>
      <c r="AX51" s="1">
        <v>48694</v>
      </c>
      <c r="AY51">
        <f t="shared" si="16"/>
        <v>1.0144583333333334E-3</v>
      </c>
      <c r="BA51" s="1">
        <v>44272</v>
      </c>
      <c r="BB51">
        <f t="shared" si="17"/>
        <v>9.2233333333333338E-4</v>
      </c>
      <c r="BD51" s="1">
        <v>41330</v>
      </c>
      <c r="BE51">
        <f t="shared" si="18"/>
        <v>8.6104166666666675E-4</v>
      </c>
      <c r="BG51" s="1">
        <v>36918</v>
      </c>
      <c r="BH51">
        <f t="shared" si="19"/>
        <v>7.6912500000000006E-4</v>
      </c>
      <c r="BJ51" s="1">
        <v>35428</v>
      </c>
      <c r="BK51">
        <f t="shared" si="20"/>
        <v>7.3808333333333343E-4</v>
      </c>
      <c r="BM51" s="1">
        <v>32480</v>
      </c>
      <c r="BN51">
        <f t="shared" si="21"/>
        <v>6.7666666666666667E-4</v>
      </c>
      <c r="BP51" s="1">
        <v>31012</v>
      </c>
      <c r="BQ51">
        <f t="shared" si="22"/>
        <v>6.7666666666666667E-4</v>
      </c>
      <c r="BS51" s="1">
        <v>29540</v>
      </c>
      <c r="BT51">
        <f t="shared" si="23"/>
        <v>6.1541666666666667E-4</v>
      </c>
      <c r="BV51" s="1">
        <v>26592</v>
      </c>
      <c r="BW51">
        <f t="shared" si="24"/>
        <v>5.5400000000000002E-4</v>
      </c>
      <c r="BY51" s="1">
        <v>26592</v>
      </c>
      <c r="BZ51">
        <f t="shared" si="25"/>
        <v>5.5400000000000002E-4</v>
      </c>
      <c r="CB51" s="1">
        <v>25116</v>
      </c>
      <c r="CC51">
        <f t="shared" si="26"/>
        <v>5.2325000000000006E-4</v>
      </c>
    </row>
    <row r="52" spans="2:81" x14ac:dyDescent="0.2">
      <c r="B52" s="1">
        <v>81423</v>
      </c>
      <c r="C52">
        <f t="shared" si="0"/>
        <v>1.6963125000000001E-3</v>
      </c>
      <c r="E52" s="1">
        <v>81411</v>
      </c>
      <c r="F52">
        <f t="shared" si="1"/>
        <v>1.6960625000000001E-3</v>
      </c>
      <c r="H52" s="1">
        <v>245846</v>
      </c>
      <c r="I52">
        <f t="shared" si="2"/>
        <v>5.1217916666666669E-3</v>
      </c>
      <c r="K52" s="1">
        <v>246184</v>
      </c>
      <c r="L52">
        <f t="shared" si="3"/>
        <v>5.1288333333333333E-3</v>
      </c>
      <c r="M52">
        <v>200</v>
      </c>
      <c r="N52" s="1">
        <v>123097</v>
      </c>
      <c r="O52">
        <f t="shared" si="4"/>
        <v>2.5645208333333336E-3</v>
      </c>
      <c r="P52">
        <v>450</v>
      </c>
      <c r="Q52" s="1">
        <v>56064</v>
      </c>
      <c r="R52">
        <f t="shared" si="5"/>
        <v>1.168E-3</v>
      </c>
      <c r="S52">
        <v>200</v>
      </c>
      <c r="T52" s="1">
        <v>123091</v>
      </c>
      <c r="U52">
        <f t="shared" si="6"/>
        <v>2.5643958333333335E-3</v>
      </c>
      <c r="V52">
        <v>350</v>
      </c>
      <c r="W52" s="1">
        <v>70812</v>
      </c>
      <c r="X52">
        <f t="shared" si="7"/>
        <v>1.47525E-3</v>
      </c>
      <c r="Y52">
        <v>400</v>
      </c>
      <c r="Z52" s="1">
        <v>61960</v>
      </c>
      <c r="AA52">
        <f t="shared" si="8"/>
        <v>1.2908333333333335E-3</v>
      </c>
      <c r="AB52">
        <v>400</v>
      </c>
      <c r="AC52" s="1">
        <v>61972</v>
      </c>
      <c r="AD52">
        <f t="shared" si="9"/>
        <v>1.2910833333333333E-3</v>
      </c>
      <c r="AE52">
        <v>420</v>
      </c>
      <c r="AF52" s="1">
        <v>59022</v>
      </c>
      <c r="AG52">
        <f t="shared" si="10"/>
        <v>1.229625E-3</v>
      </c>
      <c r="AH52">
        <v>450</v>
      </c>
      <c r="AI52" s="1">
        <v>54618</v>
      </c>
      <c r="AJ52">
        <f t="shared" si="11"/>
        <v>1.137875E-3</v>
      </c>
      <c r="AK52">
        <v>450</v>
      </c>
      <c r="AL52" s="1">
        <v>54614</v>
      </c>
      <c r="AM52">
        <f t="shared" si="12"/>
        <v>1.1377916666666667E-3</v>
      </c>
      <c r="AN52">
        <v>450</v>
      </c>
      <c r="AO52" s="1">
        <v>54576</v>
      </c>
      <c r="AP52">
        <f t="shared" si="13"/>
        <v>1.137E-3</v>
      </c>
      <c r="AQ52">
        <v>450</v>
      </c>
      <c r="AR52" s="1">
        <v>54590</v>
      </c>
      <c r="AS52">
        <f t="shared" si="14"/>
        <v>1.1372916666666667E-3</v>
      </c>
      <c r="AU52" s="1">
        <v>51664</v>
      </c>
      <c r="AV52">
        <f t="shared" si="15"/>
        <v>1.0763333333333334E-3</v>
      </c>
      <c r="AX52" s="1">
        <v>48700</v>
      </c>
      <c r="AY52">
        <f t="shared" si="16"/>
        <v>1.0145833333333335E-3</v>
      </c>
      <c r="BA52" s="1">
        <v>44274</v>
      </c>
      <c r="BB52">
        <f t="shared" si="17"/>
        <v>9.2237500000000002E-4</v>
      </c>
      <c r="BD52" s="1">
        <v>41330</v>
      </c>
      <c r="BE52">
        <f t="shared" si="18"/>
        <v>8.6104166666666675E-4</v>
      </c>
      <c r="BG52" s="1">
        <v>36914</v>
      </c>
      <c r="BH52">
        <f t="shared" si="19"/>
        <v>7.6904166666666668E-4</v>
      </c>
      <c r="BJ52" s="1">
        <v>35434</v>
      </c>
      <c r="BK52">
        <f t="shared" si="20"/>
        <v>7.3820833333333334E-4</v>
      </c>
      <c r="BM52" s="1">
        <v>33954</v>
      </c>
      <c r="BN52">
        <f t="shared" si="21"/>
        <v>7.07375E-4</v>
      </c>
      <c r="BP52" s="1">
        <v>29540</v>
      </c>
      <c r="BQ52">
        <f t="shared" si="22"/>
        <v>7.07375E-4</v>
      </c>
      <c r="BS52" s="1">
        <v>29536</v>
      </c>
      <c r="BT52">
        <f t="shared" si="23"/>
        <v>6.153333333333334E-4</v>
      </c>
      <c r="BV52" s="1">
        <v>26594</v>
      </c>
      <c r="BW52">
        <f t="shared" si="24"/>
        <v>5.5404166666666666E-4</v>
      </c>
      <c r="BY52" s="1">
        <v>26592</v>
      </c>
      <c r="BZ52">
        <f t="shared" si="25"/>
        <v>5.5400000000000002E-4</v>
      </c>
      <c r="CB52" s="1">
        <v>23642</v>
      </c>
      <c r="CC52">
        <f t="shared" si="26"/>
        <v>4.9254166666666674E-4</v>
      </c>
    </row>
    <row r="53" spans="2:81" x14ac:dyDescent="0.2">
      <c r="B53" s="1">
        <v>81536</v>
      </c>
      <c r="C53">
        <f t="shared" si="0"/>
        <v>1.6986666666666667E-3</v>
      </c>
      <c r="E53" s="1">
        <v>81516</v>
      </c>
      <c r="F53">
        <f t="shared" si="1"/>
        <v>1.6982500000000001E-3</v>
      </c>
      <c r="H53" s="1">
        <v>245844</v>
      </c>
      <c r="I53">
        <f t="shared" si="2"/>
        <v>5.1217500000000004E-3</v>
      </c>
      <c r="K53" s="1">
        <v>246623</v>
      </c>
      <c r="L53">
        <f t="shared" si="3"/>
        <v>5.1379791666666666E-3</v>
      </c>
      <c r="M53">
        <v>200</v>
      </c>
      <c r="N53" s="1">
        <v>123085</v>
      </c>
      <c r="O53">
        <f t="shared" si="4"/>
        <v>2.5642708333333333E-3</v>
      </c>
      <c r="P53">
        <v>450</v>
      </c>
      <c r="Q53" s="1">
        <v>54596</v>
      </c>
      <c r="R53">
        <f t="shared" si="5"/>
        <v>1.1374166666666668E-3</v>
      </c>
      <c r="S53">
        <v>200</v>
      </c>
      <c r="T53" s="1">
        <v>121603</v>
      </c>
      <c r="U53">
        <f t="shared" si="6"/>
        <v>2.5333958333333337E-3</v>
      </c>
      <c r="V53">
        <v>350</v>
      </c>
      <c r="W53" s="1">
        <v>70806</v>
      </c>
      <c r="X53">
        <f t="shared" si="7"/>
        <v>1.4751250000000001E-3</v>
      </c>
      <c r="Y53">
        <v>400</v>
      </c>
      <c r="Z53" s="1">
        <v>61968</v>
      </c>
      <c r="AA53">
        <f t="shared" si="8"/>
        <v>1.291E-3</v>
      </c>
      <c r="AB53">
        <v>400</v>
      </c>
      <c r="AC53" s="1">
        <v>61970</v>
      </c>
      <c r="AD53">
        <f t="shared" si="9"/>
        <v>1.2910416666666667E-3</v>
      </c>
      <c r="AE53">
        <v>420</v>
      </c>
      <c r="AF53" s="1">
        <v>59024</v>
      </c>
      <c r="AG53">
        <f t="shared" si="10"/>
        <v>1.2296666666666667E-3</v>
      </c>
      <c r="AH53">
        <v>450</v>
      </c>
      <c r="AI53" s="1">
        <v>54618</v>
      </c>
      <c r="AJ53">
        <f t="shared" si="11"/>
        <v>1.137875E-3</v>
      </c>
      <c r="AK53">
        <v>450</v>
      </c>
      <c r="AL53" s="1">
        <v>54618</v>
      </c>
      <c r="AM53">
        <f t="shared" si="12"/>
        <v>1.137875E-3</v>
      </c>
      <c r="AN53">
        <v>450</v>
      </c>
      <c r="AO53" s="1">
        <v>54580</v>
      </c>
      <c r="AP53">
        <f t="shared" si="13"/>
        <v>1.1370833333333335E-3</v>
      </c>
      <c r="AQ53">
        <v>450</v>
      </c>
      <c r="AR53" s="1">
        <v>56070</v>
      </c>
      <c r="AS53">
        <f t="shared" si="14"/>
        <v>1.1681250000000001E-3</v>
      </c>
      <c r="AU53" s="1">
        <v>53136</v>
      </c>
      <c r="AV53">
        <f t="shared" si="15"/>
        <v>1.1070000000000001E-3</v>
      </c>
      <c r="AX53" s="1">
        <v>50172</v>
      </c>
      <c r="AY53">
        <f t="shared" si="16"/>
        <v>1.04525E-3</v>
      </c>
      <c r="BA53" s="1">
        <v>45746</v>
      </c>
      <c r="BB53">
        <f t="shared" si="17"/>
        <v>9.5304166666666671E-4</v>
      </c>
      <c r="BD53" s="1">
        <v>39846</v>
      </c>
      <c r="BE53">
        <f t="shared" si="18"/>
        <v>8.3012500000000003E-4</v>
      </c>
      <c r="BG53" s="1">
        <v>36912</v>
      </c>
      <c r="BH53">
        <f t="shared" si="19"/>
        <v>7.6900000000000004E-4</v>
      </c>
      <c r="BJ53" s="1">
        <v>33956</v>
      </c>
      <c r="BK53">
        <f t="shared" si="20"/>
        <v>7.0741666666666674E-4</v>
      </c>
      <c r="BM53" s="1">
        <v>33954</v>
      </c>
      <c r="BN53">
        <f t="shared" si="21"/>
        <v>7.07375E-4</v>
      </c>
      <c r="BP53" s="1">
        <v>29540</v>
      </c>
      <c r="BQ53">
        <f t="shared" si="22"/>
        <v>7.07375E-4</v>
      </c>
      <c r="BS53" s="1">
        <v>28070</v>
      </c>
      <c r="BT53">
        <f t="shared" si="23"/>
        <v>5.8479166666666673E-4</v>
      </c>
      <c r="BV53" s="1">
        <v>28068</v>
      </c>
      <c r="BW53">
        <f t="shared" si="24"/>
        <v>5.8474999999999998E-4</v>
      </c>
      <c r="BY53" s="1">
        <v>26590</v>
      </c>
      <c r="BZ53">
        <f t="shared" si="25"/>
        <v>5.5395833333333339E-4</v>
      </c>
      <c r="CB53" s="1">
        <v>25116</v>
      </c>
      <c r="CC53">
        <f t="shared" si="26"/>
        <v>5.2325000000000006E-4</v>
      </c>
    </row>
    <row r="54" spans="2:81" x14ac:dyDescent="0.2">
      <c r="B54" s="1">
        <v>80345</v>
      </c>
      <c r="C54">
        <f t="shared" si="0"/>
        <v>1.6738541666666668E-3</v>
      </c>
      <c r="E54" s="1">
        <v>82596</v>
      </c>
      <c r="F54">
        <f t="shared" si="1"/>
        <v>1.7207500000000001E-3</v>
      </c>
      <c r="H54" s="1">
        <v>246645</v>
      </c>
      <c r="I54">
        <f t="shared" si="2"/>
        <v>5.1384375000000006E-3</v>
      </c>
      <c r="K54" s="1"/>
      <c r="N54" s="1">
        <v>123091</v>
      </c>
      <c r="O54">
        <f t="shared" si="4"/>
        <v>2.5643958333333335E-3</v>
      </c>
      <c r="P54">
        <v>450</v>
      </c>
      <c r="Q54" s="1">
        <v>54594</v>
      </c>
      <c r="R54">
        <f t="shared" si="5"/>
        <v>1.1373750000000001E-3</v>
      </c>
      <c r="S54">
        <v>200</v>
      </c>
      <c r="T54" s="1">
        <v>123089</v>
      </c>
      <c r="U54">
        <f t="shared" si="6"/>
        <v>2.564354166666667E-3</v>
      </c>
      <c r="V54">
        <v>350</v>
      </c>
      <c r="W54" s="1">
        <v>69338</v>
      </c>
      <c r="X54">
        <f t="shared" si="7"/>
        <v>1.4445416666666667E-3</v>
      </c>
      <c r="Y54">
        <v>400</v>
      </c>
      <c r="Z54" s="1">
        <v>61970</v>
      </c>
      <c r="AA54">
        <f t="shared" si="8"/>
        <v>1.2910416666666667E-3</v>
      </c>
      <c r="AB54">
        <v>400</v>
      </c>
      <c r="AC54" s="1">
        <v>61980</v>
      </c>
      <c r="AD54">
        <f t="shared" si="9"/>
        <v>1.2912500000000001E-3</v>
      </c>
      <c r="AE54">
        <v>420</v>
      </c>
      <c r="AF54" s="1">
        <v>59020</v>
      </c>
      <c r="AG54">
        <f t="shared" si="10"/>
        <v>1.2295833333333334E-3</v>
      </c>
      <c r="AH54">
        <v>450</v>
      </c>
      <c r="AI54" s="1">
        <v>54620</v>
      </c>
      <c r="AJ54">
        <f t="shared" si="11"/>
        <v>1.1379166666666666E-3</v>
      </c>
      <c r="AK54">
        <v>450</v>
      </c>
      <c r="AL54" s="1">
        <v>56086</v>
      </c>
      <c r="AM54">
        <f t="shared" si="12"/>
        <v>1.1684583333333334E-3</v>
      </c>
      <c r="AN54">
        <v>450</v>
      </c>
      <c r="AO54" s="1">
        <v>54580</v>
      </c>
      <c r="AP54">
        <f t="shared" si="13"/>
        <v>1.1370833333333335E-3</v>
      </c>
      <c r="AQ54">
        <v>450</v>
      </c>
      <c r="AR54" s="1">
        <v>54594</v>
      </c>
      <c r="AS54">
        <f t="shared" si="14"/>
        <v>1.1373750000000001E-3</v>
      </c>
      <c r="AU54" s="1">
        <v>53134</v>
      </c>
      <c r="AV54">
        <f t="shared" si="15"/>
        <v>1.1069583333333335E-3</v>
      </c>
      <c r="AX54" s="1">
        <v>50174</v>
      </c>
      <c r="AY54">
        <f t="shared" si="16"/>
        <v>1.0452916666666668E-3</v>
      </c>
      <c r="BA54" s="1">
        <v>44270</v>
      </c>
      <c r="BB54">
        <f t="shared" si="17"/>
        <v>9.2229166666666675E-4</v>
      </c>
      <c r="BD54" s="1">
        <v>41320</v>
      </c>
      <c r="BE54">
        <f t="shared" si="18"/>
        <v>8.6083333333333335E-4</v>
      </c>
      <c r="BG54" s="1">
        <v>38388</v>
      </c>
      <c r="BH54">
        <f t="shared" si="19"/>
        <v>7.9975000000000001E-4</v>
      </c>
      <c r="BJ54" s="1">
        <v>35428</v>
      </c>
      <c r="BK54">
        <f t="shared" si="20"/>
        <v>7.3808333333333343E-4</v>
      </c>
      <c r="BM54" s="1">
        <v>33956</v>
      </c>
      <c r="BN54">
        <f t="shared" si="21"/>
        <v>7.0741666666666674E-4</v>
      </c>
      <c r="BP54" s="1">
        <v>31018</v>
      </c>
      <c r="BQ54">
        <f t="shared" si="22"/>
        <v>7.0741666666666674E-4</v>
      </c>
      <c r="BS54" s="1">
        <v>29544</v>
      </c>
      <c r="BT54">
        <f t="shared" si="23"/>
        <v>6.1550000000000005E-4</v>
      </c>
      <c r="BV54" s="1">
        <v>28070</v>
      </c>
      <c r="BW54">
        <f t="shared" si="24"/>
        <v>5.8479166666666673E-4</v>
      </c>
      <c r="BY54" s="1">
        <v>25120</v>
      </c>
      <c r="BZ54">
        <f t="shared" si="25"/>
        <v>5.2333333333333333E-4</v>
      </c>
      <c r="CB54" s="1">
        <v>25114</v>
      </c>
      <c r="CC54">
        <f t="shared" si="26"/>
        <v>5.2320833333333332E-4</v>
      </c>
    </row>
    <row r="55" spans="2:81" x14ac:dyDescent="0.2">
      <c r="B55" s="1">
        <v>81435</v>
      </c>
      <c r="C55">
        <f t="shared" si="0"/>
        <v>1.6965625000000002E-3</v>
      </c>
      <c r="E55" s="1">
        <v>81132</v>
      </c>
      <c r="F55">
        <f t="shared" si="1"/>
        <v>1.6902500000000001E-3</v>
      </c>
      <c r="H55" s="1">
        <v>245957</v>
      </c>
      <c r="I55">
        <f t="shared" si="2"/>
        <v>5.1241041666666666E-3</v>
      </c>
      <c r="K55" s="1"/>
      <c r="N55" s="1">
        <v>123087</v>
      </c>
      <c r="O55">
        <f t="shared" si="4"/>
        <v>2.5643125000000002E-3</v>
      </c>
      <c r="P55">
        <v>450</v>
      </c>
      <c r="Q55" s="1">
        <v>54592</v>
      </c>
      <c r="R55">
        <f t="shared" si="5"/>
        <v>1.1373333333333333E-3</v>
      </c>
      <c r="S55">
        <v>200</v>
      </c>
      <c r="T55" s="1">
        <v>121615</v>
      </c>
      <c r="U55">
        <f t="shared" si="6"/>
        <v>2.5336458333333335E-3</v>
      </c>
      <c r="V55">
        <v>350</v>
      </c>
      <c r="W55" s="1">
        <v>70810</v>
      </c>
      <c r="X55">
        <f t="shared" si="7"/>
        <v>1.4752083333333334E-3</v>
      </c>
      <c r="Y55">
        <v>400</v>
      </c>
      <c r="Z55" s="1">
        <v>61968</v>
      </c>
      <c r="AA55">
        <f t="shared" si="8"/>
        <v>1.291E-3</v>
      </c>
      <c r="AB55">
        <v>400</v>
      </c>
      <c r="AC55" s="1">
        <v>60496</v>
      </c>
      <c r="AD55">
        <f t="shared" si="9"/>
        <v>1.2603333333333334E-3</v>
      </c>
      <c r="AE55">
        <v>420</v>
      </c>
      <c r="AF55" s="1">
        <v>59026</v>
      </c>
      <c r="AG55">
        <f t="shared" si="10"/>
        <v>1.2297083333333333E-3</v>
      </c>
      <c r="AH55">
        <v>450</v>
      </c>
      <c r="AI55" s="1">
        <v>54618</v>
      </c>
      <c r="AJ55">
        <f t="shared" si="11"/>
        <v>1.137875E-3</v>
      </c>
      <c r="AK55">
        <v>450</v>
      </c>
      <c r="AL55" s="1">
        <v>54618</v>
      </c>
      <c r="AM55">
        <f t="shared" si="12"/>
        <v>1.137875E-3</v>
      </c>
      <c r="AN55">
        <v>450</v>
      </c>
      <c r="AO55" s="1">
        <v>54578</v>
      </c>
      <c r="AP55">
        <f t="shared" si="13"/>
        <v>1.1370416666666668E-3</v>
      </c>
      <c r="AQ55">
        <v>450</v>
      </c>
      <c r="AR55" s="1">
        <v>54592</v>
      </c>
      <c r="AS55">
        <f t="shared" si="14"/>
        <v>1.1373333333333333E-3</v>
      </c>
      <c r="AU55" s="1">
        <v>51662</v>
      </c>
      <c r="AV55">
        <f t="shared" si="15"/>
        <v>1.0762916666666668E-3</v>
      </c>
      <c r="AX55" s="1">
        <v>50176</v>
      </c>
      <c r="AY55">
        <f t="shared" si="16"/>
        <v>1.0453333333333334E-3</v>
      </c>
      <c r="BA55" s="1">
        <v>44268</v>
      </c>
      <c r="BB55">
        <f t="shared" si="17"/>
        <v>9.2225000000000011E-4</v>
      </c>
      <c r="BD55" s="1">
        <v>41328</v>
      </c>
      <c r="BE55">
        <f t="shared" si="18"/>
        <v>8.61E-4</v>
      </c>
      <c r="BG55" s="1">
        <v>38388</v>
      </c>
      <c r="BH55">
        <f t="shared" si="19"/>
        <v>7.9975000000000001E-4</v>
      </c>
      <c r="BJ55" s="1">
        <v>35428</v>
      </c>
      <c r="BK55">
        <f t="shared" si="20"/>
        <v>7.3808333333333343E-4</v>
      </c>
      <c r="BM55" s="1">
        <v>32480</v>
      </c>
      <c r="BN55">
        <f t="shared" si="21"/>
        <v>6.7666666666666667E-4</v>
      </c>
      <c r="BP55" s="1">
        <v>31018</v>
      </c>
      <c r="BQ55">
        <f t="shared" si="22"/>
        <v>6.7666666666666667E-4</v>
      </c>
      <c r="BS55" s="1">
        <v>29544</v>
      </c>
      <c r="BT55">
        <f t="shared" si="23"/>
        <v>6.1550000000000005E-4</v>
      </c>
      <c r="BV55" s="1">
        <v>26594</v>
      </c>
      <c r="BW55">
        <f t="shared" si="24"/>
        <v>5.5404166666666666E-4</v>
      </c>
      <c r="BY55" s="1">
        <v>25124</v>
      </c>
      <c r="BZ55">
        <f t="shared" si="25"/>
        <v>5.2341666666666671E-4</v>
      </c>
      <c r="CB55" s="1">
        <v>25114</v>
      </c>
      <c r="CC55">
        <f t="shared" si="26"/>
        <v>5.2320833333333332E-4</v>
      </c>
    </row>
    <row r="56" spans="2:81" x14ac:dyDescent="0.2">
      <c r="B56" s="1">
        <v>81550</v>
      </c>
      <c r="C56">
        <f t="shared" si="0"/>
        <v>1.6989583333333334E-3</v>
      </c>
      <c r="E56" s="1">
        <v>82604</v>
      </c>
      <c r="F56">
        <f t="shared" si="1"/>
        <v>1.7209166666666668E-3</v>
      </c>
      <c r="H56" s="1">
        <v>246203</v>
      </c>
      <c r="I56">
        <f t="shared" si="2"/>
        <v>5.1292291666666674E-3</v>
      </c>
      <c r="K56" s="1"/>
      <c r="N56" s="1">
        <v>121617</v>
      </c>
      <c r="O56">
        <f t="shared" si="4"/>
        <v>2.5336875000000003E-3</v>
      </c>
      <c r="P56">
        <v>450</v>
      </c>
      <c r="Q56" s="1">
        <v>54592</v>
      </c>
      <c r="R56">
        <f t="shared" si="5"/>
        <v>1.1373333333333333E-3</v>
      </c>
      <c r="S56">
        <v>200</v>
      </c>
      <c r="T56" s="1">
        <v>121615</v>
      </c>
      <c r="U56">
        <f t="shared" si="6"/>
        <v>2.5336458333333335E-3</v>
      </c>
      <c r="V56">
        <v>350</v>
      </c>
      <c r="W56" s="1">
        <v>70812</v>
      </c>
      <c r="X56">
        <f t="shared" si="7"/>
        <v>1.47525E-3</v>
      </c>
      <c r="Y56">
        <v>400</v>
      </c>
      <c r="Z56" s="1">
        <v>61970</v>
      </c>
      <c r="AA56">
        <f t="shared" si="8"/>
        <v>1.2910416666666667E-3</v>
      </c>
      <c r="AB56">
        <v>400</v>
      </c>
      <c r="AC56" s="1">
        <v>61970</v>
      </c>
      <c r="AD56">
        <f t="shared" si="9"/>
        <v>1.2910416666666667E-3</v>
      </c>
      <c r="AE56">
        <v>420</v>
      </c>
      <c r="AF56" s="1">
        <v>59020</v>
      </c>
      <c r="AG56">
        <f t="shared" si="10"/>
        <v>1.2295833333333334E-3</v>
      </c>
      <c r="AH56">
        <v>450</v>
      </c>
      <c r="AI56" s="1">
        <v>54624</v>
      </c>
      <c r="AJ56">
        <f t="shared" si="11"/>
        <v>1.1380000000000001E-3</v>
      </c>
      <c r="AK56">
        <v>450</v>
      </c>
      <c r="AL56" s="1">
        <v>54618</v>
      </c>
      <c r="AM56">
        <f t="shared" si="12"/>
        <v>1.137875E-3</v>
      </c>
      <c r="AN56">
        <v>450</v>
      </c>
      <c r="AO56" s="1">
        <v>56054</v>
      </c>
      <c r="AP56">
        <f t="shared" si="13"/>
        <v>1.1677916666666668E-3</v>
      </c>
      <c r="AQ56">
        <v>450</v>
      </c>
      <c r="AR56" s="1">
        <v>54592</v>
      </c>
      <c r="AS56">
        <f t="shared" si="14"/>
        <v>1.1373333333333333E-3</v>
      </c>
      <c r="AU56" s="1">
        <v>53132</v>
      </c>
      <c r="AV56">
        <f t="shared" si="15"/>
        <v>1.1069166666666666E-3</v>
      </c>
      <c r="AX56" s="1">
        <v>50172</v>
      </c>
      <c r="AY56">
        <f t="shared" si="16"/>
        <v>1.04525E-3</v>
      </c>
      <c r="BA56" s="1">
        <v>45740</v>
      </c>
      <c r="BB56">
        <f t="shared" si="17"/>
        <v>9.5291666666666669E-4</v>
      </c>
      <c r="BD56" s="1">
        <v>41330</v>
      </c>
      <c r="BE56">
        <f t="shared" si="18"/>
        <v>8.6104166666666675E-4</v>
      </c>
      <c r="BG56" s="1">
        <v>36916</v>
      </c>
      <c r="BH56">
        <f t="shared" si="19"/>
        <v>7.6908333333333342E-4</v>
      </c>
      <c r="BJ56" s="1">
        <v>33954</v>
      </c>
      <c r="BK56">
        <f t="shared" si="20"/>
        <v>7.07375E-4</v>
      </c>
      <c r="BM56" s="1">
        <v>33954</v>
      </c>
      <c r="BN56">
        <f t="shared" si="21"/>
        <v>7.07375E-4</v>
      </c>
      <c r="BP56" s="1">
        <v>31020</v>
      </c>
      <c r="BQ56">
        <f t="shared" si="22"/>
        <v>7.07375E-4</v>
      </c>
      <c r="BS56" s="1">
        <v>29546</v>
      </c>
      <c r="BT56">
        <f t="shared" si="23"/>
        <v>6.1554166666666669E-4</v>
      </c>
      <c r="BV56" s="1">
        <v>26594</v>
      </c>
      <c r="BW56">
        <f t="shared" si="24"/>
        <v>5.5404166666666666E-4</v>
      </c>
      <c r="BY56" s="1">
        <v>25122</v>
      </c>
      <c r="BZ56">
        <f t="shared" si="25"/>
        <v>5.2337500000000008E-4</v>
      </c>
      <c r="CB56" s="1">
        <v>25116</v>
      </c>
      <c r="CC56">
        <f t="shared" si="26"/>
        <v>5.2325000000000006E-4</v>
      </c>
    </row>
    <row r="57" spans="2:81" x14ac:dyDescent="0.2">
      <c r="B57" s="1">
        <v>81544</v>
      </c>
      <c r="C57">
        <f t="shared" si="0"/>
        <v>1.6988333333333334E-3</v>
      </c>
      <c r="E57" s="1">
        <v>81411</v>
      </c>
      <c r="F57">
        <f t="shared" si="1"/>
        <v>1.6960625000000001E-3</v>
      </c>
      <c r="H57" s="1">
        <v>246273</v>
      </c>
      <c r="I57">
        <f t="shared" si="2"/>
        <v>5.1306875000000007E-3</v>
      </c>
      <c r="K57" s="1"/>
      <c r="N57" s="1">
        <v>123085</v>
      </c>
      <c r="O57">
        <f t="shared" si="4"/>
        <v>2.5642708333333333E-3</v>
      </c>
      <c r="P57">
        <v>450</v>
      </c>
      <c r="Q57" s="1">
        <v>54594</v>
      </c>
      <c r="R57">
        <f t="shared" si="5"/>
        <v>1.1373750000000001E-3</v>
      </c>
      <c r="S57">
        <v>200</v>
      </c>
      <c r="T57" s="1">
        <v>123091</v>
      </c>
      <c r="U57">
        <f t="shared" si="6"/>
        <v>2.5643958333333335E-3</v>
      </c>
      <c r="V57">
        <v>350</v>
      </c>
      <c r="W57" s="1">
        <v>69344</v>
      </c>
      <c r="X57">
        <f t="shared" si="7"/>
        <v>1.4446666666666668E-3</v>
      </c>
      <c r="Y57">
        <v>400</v>
      </c>
      <c r="Z57" s="1">
        <v>60498</v>
      </c>
      <c r="AA57">
        <f t="shared" si="8"/>
        <v>1.260375E-3</v>
      </c>
      <c r="AB57">
        <v>400</v>
      </c>
      <c r="AC57" s="1">
        <v>61968</v>
      </c>
      <c r="AD57">
        <f t="shared" si="9"/>
        <v>1.291E-3</v>
      </c>
      <c r="AE57">
        <v>420</v>
      </c>
      <c r="AF57" s="1">
        <v>59024</v>
      </c>
      <c r="AG57">
        <f t="shared" si="10"/>
        <v>1.2296666666666667E-3</v>
      </c>
      <c r="AH57">
        <v>450</v>
      </c>
      <c r="AI57" s="1">
        <v>54622</v>
      </c>
      <c r="AJ57">
        <f t="shared" si="11"/>
        <v>1.1379583333333335E-3</v>
      </c>
      <c r="AK57">
        <v>450</v>
      </c>
      <c r="AL57" s="1">
        <v>56094</v>
      </c>
      <c r="AM57">
        <f t="shared" si="12"/>
        <v>1.1686250000000002E-3</v>
      </c>
      <c r="AN57">
        <v>450</v>
      </c>
      <c r="AO57" s="1">
        <v>54584</v>
      </c>
      <c r="AP57">
        <f t="shared" si="13"/>
        <v>1.1371666666666668E-3</v>
      </c>
      <c r="AQ57">
        <v>450</v>
      </c>
      <c r="AR57" s="1">
        <v>54594</v>
      </c>
      <c r="AS57">
        <f t="shared" si="14"/>
        <v>1.1373750000000001E-3</v>
      </c>
      <c r="AU57" s="1">
        <v>51660</v>
      </c>
      <c r="AV57">
        <f t="shared" si="15"/>
        <v>1.0762500000000002E-3</v>
      </c>
      <c r="AX57" s="1">
        <v>48704</v>
      </c>
      <c r="AY57">
        <f t="shared" si="16"/>
        <v>1.0146666666666668E-3</v>
      </c>
      <c r="BA57" s="1">
        <v>45744</v>
      </c>
      <c r="BB57">
        <f t="shared" si="17"/>
        <v>9.5300000000000007E-4</v>
      </c>
      <c r="BD57" s="1">
        <v>41324</v>
      </c>
      <c r="BE57">
        <f t="shared" si="18"/>
        <v>8.6091666666666673E-4</v>
      </c>
      <c r="BG57" s="1">
        <v>38390</v>
      </c>
      <c r="BH57">
        <f t="shared" si="19"/>
        <v>7.9979166666666675E-4</v>
      </c>
      <c r="BJ57" s="1">
        <v>35430</v>
      </c>
      <c r="BK57">
        <f t="shared" si="20"/>
        <v>7.3812500000000007E-4</v>
      </c>
      <c r="BM57" s="1">
        <v>32480</v>
      </c>
      <c r="BN57">
        <f t="shared" si="21"/>
        <v>6.7666666666666667E-4</v>
      </c>
      <c r="BP57" s="1">
        <v>31016</v>
      </c>
      <c r="BQ57">
        <f t="shared" si="22"/>
        <v>6.7666666666666667E-4</v>
      </c>
      <c r="BS57" s="1">
        <v>29546</v>
      </c>
      <c r="BT57">
        <f t="shared" si="23"/>
        <v>6.1554166666666669E-4</v>
      </c>
      <c r="BV57" s="1">
        <v>26594</v>
      </c>
      <c r="BW57">
        <f t="shared" si="24"/>
        <v>5.5404166666666666E-4</v>
      </c>
      <c r="BY57" s="1">
        <v>25120</v>
      </c>
      <c r="BZ57">
        <f t="shared" si="25"/>
        <v>5.2333333333333333E-4</v>
      </c>
      <c r="CB57" s="1">
        <v>25116</v>
      </c>
      <c r="CC57">
        <f t="shared" si="26"/>
        <v>5.2325000000000006E-4</v>
      </c>
    </row>
    <row r="58" spans="2:81" x14ac:dyDescent="0.2">
      <c r="B58" s="1">
        <v>81429</v>
      </c>
      <c r="C58">
        <f t="shared" si="0"/>
        <v>1.6964375E-3</v>
      </c>
      <c r="E58" s="1">
        <v>82602</v>
      </c>
      <c r="F58">
        <f t="shared" si="1"/>
        <v>1.7208750000000002E-3</v>
      </c>
      <c r="H58" s="1">
        <v>245595</v>
      </c>
      <c r="I58">
        <f t="shared" si="2"/>
        <v>5.1165625000000005E-3</v>
      </c>
      <c r="K58" s="1"/>
      <c r="N58" s="1">
        <v>123083</v>
      </c>
      <c r="O58">
        <f t="shared" si="4"/>
        <v>2.5642291666666669E-3</v>
      </c>
      <c r="P58">
        <v>450</v>
      </c>
      <c r="Q58" s="1">
        <v>54592</v>
      </c>
      <c r="R58">
        <f t="shared" si="5"/>
        <v>1.1373333333333333E-3</v>
      </c>
      <c r="S58">
        <v>200</v>
      </c>
      <c r="T58" s="1">
        <v>123089</v>
      </c>
      <c r="U58">
        <f t="shared" si="6"/>
        <v>2.564354166666667E-3</v>
      </c>
      <c r="V58">
        <v>350</v>
      </c>
      <c r="W58" s="1">
        <v>70818</v>
      </c>
      <c r="X58">
        <f t="shared" si="7"/>
        <v>1.4753750000000001E-3</v>
      </c>
      <c r="Y58">
        <v>400</v>
      </c>
      <c r="Z58" s="1">
        <v>61970</v>
      </c>
      <c r="AA58">
        <f t="shared" si="8"/>
        <v>1.2910416666666667E-3</v>
      </c>
      <c r="AB58">
        <v>400</v>
      </c>
      <c r="AC58" s="1">
        <v>61962</v>
      </c>
      <c r="AD58">
        <f t="shared" si="9"/>
        <v>1.2908750000000001E-3</v>
      </c>
      <c r="AE58">
        <v>420</v>
      </c>
      <c r="AF58" s="1">
        <v>59022</v>
      </c>
      <c r="AG58">
        <f t="shared" si="10"/>
        <v>1.229625E-3</v>
      </c>
      <c r="AH58">
        <v>450</v>
      </c>
      <c r="AI58" s="1">
        <v>54618</v>
      </c>
      <c r="AJ58">
        <f t="shared" si="11"/>
        <v>1.137875E-3</v>
      </c>
      <c r="AK58">
        <v>450</v>
      </c>
      <c r="AL58" s="1">
        <v>54618</v>
      </c>
      <c r="AM58">
        <f t="shared" si="12"/>
        <v>1.137875E-3</v>
      </c>
      <c r="AN58">
        <v>450</v>
      </c>
      <c r="AO58" s="1">
        <v>54582</v>
      </c>
      <c r="AP58">
        <f t="shared" si="13"/>
        <v>1.1371250000000001E-3</v>
      </c>
      <c r="AQ58">
        <v>450</v>
      </c>
      <c r="AR58" s="1">
        <v>54594</v>
      </c>
      <c r="AS58">
        <f t="shared" si="14"/>
        <v>1.1373750000000001E-3</v>
      </c>
      <c r="AU58" s="1">
        <v>53140</v>
      </c>
      <c r="AV58">
        <f t="shared" si="15"/>
        <v>1.1070833333333334E-3</v>
      </c>
      <c r="AX58" s="1">
        <v>50172</v>
      </c>
      <c r="AY58">
        <f t="shared" si="16"/>
        <v>1.04525E-3</v>
      </c>
      <c r="BA58" s="1">
        <v>45750</v>
      </c>
      <c r="BB58">
        <f t="shared" si="17"/>
        <v>9.5312500000000009E-4</v>
      </c>
      <c r="BD58" s="1">
        <v>41324</v>
      </c>
      <c r="BE58">
        <f t="shared" si="18"/>
        <v>8.6091666666666673E-4</v>
      </c>
      <c r="BG58" s="1">
        <v>36916</v>
      </c>
      <c r="BH58">
        <f t="shared" si="19"/>
        <v>7.6908333333333342E-4</v>
      </c>
      <c r="BJ58" s="1">
        <v>35432</v>
      </c>
      <c r="BK58">
        <f t="shared" si="20"/>
        <v>7.381666666666667E-4</v>
      </c>
      <c r="BM58" s="1">
        <v>32480</v>
      </c>
      <c r="BN58">
        <f t="shared" si="21"/>
        <v>6.7666666666666667E-4</v>
      </c>
      <c r="BP58" s="1">
        <v>31020</v>
      </c>
      <c r="BQ58">
        <f t="shared" si="22"/>
        <v>6.7666666666666667E-4</v>
      </c>
      <c r="BS58" s="1">
        <v>29542</v>
      </c>
      <c r="BT58">
        <f t="shared" si="23"/>
        <v>6.1545833333333342E-4</v>
      </c>
      <c r="BV58" s="1">
        <v>26596</v>
      </c>
      <c r="BW58">
        <f t="shared" si="24"/>
        <v>5.540833333333334E-4</v>
      </c>
      <c r="BY58" s="1">
        <v>25120</v>
      </c>
      <c r="BZ58">
        <f t="shared" si="25"/>
        <v>5.2333333333333333E-4</v>
      </c>
      <c r="CB58" s="1">
        <v>25116</v>
      </c>
      <c r="CC58">
        <f t="shared" si="26"/>
        <v>5.2325000000000006E-4</v>
      </c>
    </row>
    <row r="59" spans="2:81" x14ac:dyDescent="0.2">
      <c r="B59" s="1">
        <v>81427</v>
      </c>
      <c r="C59">
        <f t="shared" si="0"/>
        <v>1.6963958333333334E-3</v>
      </c>
      <c r="E59" s="1">
        <v>81411</v>
      </c>
      <c r="F59">
        <f t="shared" si="1"/>
        <v>1.6960625000000001E-3</v>
      </c>
      <c r="H59" s="1">
        <v>246204</v>
      </c>
      <c r="I59">
        <f t="shared" si="2"/>
        <v>5.1292500000000001E-3</v>
      </c>
      <c r="K59" s="1"/>
      <c r="N59" s="1">
        <v>123085</v>
      </c>
      <c r="O59">
        <f t="shared" si="4"/>
        <v>2.5642708333333333E-3</v>
      </c>
      <c r="P59">
        <v>450</v>
      </c>
      <c r="Q59" s="1">
        <v>54596</v>
      </c>
      <c r="R59">
        <f t="shared" si="5"/>
        <v>1.1374166666666668E-3</v>
      </c>
      <c r="S59">
        <v>200</v>
      </c>
      <c r="T59" s="1">
        <v>123095</v>
      </c>
      <c r="U59">
        <f t="shared" si="6"/>
        <v>2.5644791666666667E-3</v>
      </c>
      <c r="V59">
        <v>350</v>
      </c>
      <c r="W59" s="1">
        <v>70816</v>
      </c>
      <c r="X59">
        <f t="shared" si="7"/>
        <v>1.4753333333333335E-3</v>
      </c>
      <c r="Y59">
        <v>400</v>
      </c>
      <c r="Z59" s="1">
        <v>61976</v>
      </c>
      <c r="AA59">
        <f t="shared" si="8"/>
        <v>1.2911666666666668E-3</v>
      </c>
      <c r="AB59">
        <v>400</v>
      </c>
      <c r="AC59" s="1">
        <v>61970</v>
      </c>
      <c r="AD59">
        <f t="shared" si="9"/>
        <v>1.2910416666666667E-3</v>
      </c>
      <c r="AE59">
        <v>420</v>
      </c>
      <c r="AF59" s="1">
        <v>59014</v>
      </c>
      <c r="AG59">
        <f t="shared" si="10"/>
        <v>1.2294583333333335E-3</v>
      </c>
      <c r="AH59">
        <v>450</v>
      </c>
      <c r="AI59" s="1">
        <v>54622</v>
      </c>
      <c r="AJ59">
        <f t="shared" si="11"/>
        <v>1.1379583333333335E-3</v>
      </c>
      <c r="AK59">
        <v>450</v>
      </c>
      <c r="AL59" s="1">
        <v>54618</v>
      </c>
      <c r="AM59">
        <f t="shared" si="12"/>
        <v>1.137875E-3</v>
      </c>
      <c r="AN59">
        <v>450</v>
      </c>
      <c r="AO59" s="1">
        <v>54582</v>
      </c>
      <c r="AP59">
        <f t="shared" si="13"/>
        <v>1.1371250000000001E-3</v>
      </c>
      <c r="AQ59">
        <v>450</v>
      </c>
      <c r="AR59" s="1">
        <v>54594</v>
      </c>
      <c r="AS59">
        <f t="shared" si="14"/>
        <v>1.1373750000000001E-3</v>
      </c>
      <c r="AU59" s="1">
        <v>51660</v>
      </c>
      <c r="AV59">
        <f t="shared" si="15"/>
        <v>1.0762500000000002E-3</v>
      </c>
      <c r="AX59" s="1">
        <v>48698</v>
      </c>
      <c r="AY59">
        <f t="shared" si="16"/>
        <v>1.0145416666666666E-3</v>
      </c>
      <c r="BA59" s="1">
        <v>44276</v>
      </c>
      <c r="BB59">
        <f t="shared" si="17"/>
        <v>9.2241666666666676E-4</v>
      </c>
      <c r="BD59" s="1">
        <v>41324</v>
      </c>
      <c r="BE59">
        <f t="shared" si="18"/>
        <v>8.6091666666666673E-4</v>
      </c>
      <c r="BG59" s="1">
        <v>38388</v>
      </c>
      <c r="BH59">
        <f t="shared" si="19"/>
        <v>7.9975000000000001E-4</v>
      </c>
      <c r="BJ59" s="1">
        <v>35428</v>
      </c>
      <c r="BK59">
        <f t="shared" si="20"/>
        <v>7.3808333333333343E-4</v>
      </c>
      <c r="BM59" s="1">
        <v>33954</v>
      </c>
      <c r="BN59">
        <f t="shared" si="21"/>
        <v>7.07375E-4</v>
      </c>
      <c r="BP59" s="1">
        <v>31018</v>
      </c>
      <c r="BQ59">
        <f t="shared" si="22"/>
        <v>7.07375E-4</v>
      </c>
      <c r="BS59" s="1">
        <v>29548</v>
      </c>
      <c r="BT59">
        <f t="shared" si="23"/>
        <v>6.1558333333333333E-4</v>
      </c>
      <c r="BV59" s="1">
        <v>28068</v>
      </c>
      <c r="BW59">
        <f t="shared" si="24"/>
        <v>5.8474999999999998E-4</v>
      </c>
      <c r="BY59" s="1">
        <v>25122</v>
      </c>
      <c r="BZ59">
        <f t="shared" si="25"/>
        <v>5.2337500000000008E-4</v>
      </c>
      <c r="CB59" s="1">
        <v>25116</v>
      </c>
      <c r="CC59">
        <f t="shared" si="26"/>
        <v>5.2325000000000006E-4</v>
      </c>
    </row>
    <row r="60" spans="2:81" x14ac:dyDescent="0.2">
      <c r="B60" s="1">
        <v>81435</v>
      </c>
      <c r="C60">
        <f t="shared" si="0"/>
        <v>1.6965625000000002E-3</v>
      </c>
      <c r="E60" s="1">
        <v>82604</v>
      </c>
      <c r="F60">
        <f t="shared" si="1"/>
        <v>1.7209166666666668E-3</v>
      </c>
      <c r="H60" s="1">
        <v>245591</v>
      </c>
      <c r="I60">
        <f t="shared" si="2"/>
        <v>5.1164791666666667E-3</v>
      </c>
      <c r="K60" s="1"/>
      <c r="N60" s="1">
        <v>121605</v>
      </c>
      <c r="O60">
        <f t="shared" si="4"/>
        <v>2.5334375000000001E-3</v>
      </c>
      <c r="P60">
        <v>450</v>
      </c>
      <c r="Q60" s="1">
        <v>54594</v>
      </c>
      <c r="R60">
        <f t="shared" si="5"/>
        <v>1.1373750000000001E-3</v>
      </c>
      <c r="S60">
        <v>200</v>
      </c>
      <c r="T60" s="1">
        <v>121627</v>
      </c>
      <c r="U60">
        <f t="shared" si="6"/>
        <v>2.5338958333333333E-3</v>
      </c>
      <c r="V60">
        <v>350</v>
      </c>
      <c r="W60" s="1">
        <v>70812</v>
      </c>
      <c r="X60">
        <f t="shared" si="7"/>
        <v>1.47525E-3</v>
      </c>
      <c r="Y60">
        <v>400</v>
      </c>
      <c r="Z60" s="1">
        <v>61972</v>
      </c>
      <c r="AA60">
        <f t="shared" si="8"/>
        <v>1.2910833333333333E-3</v>
      </c>
      <c r="AB60">
        <v>400</v>
      </c>
      <c r="AC60" s="1">
        <v>61966</v>
      </c>
      <c r="AD60">
        <f t="shared" si="9"/>
        <v>1.2909583333333334E-3</v>
      </c>
      <c r="AE60">
        <v>420</v>
      </c>
      <c r="AF60" s="1">
        <v>59020</v>
      </c>
      <c r="AG60">
        <f t="shared" si="10"/>
        <v>1.2295833333333334E-3</v>
      </c>
      <c r="AH60">
        <v>450</v>
      </c>
      <c r="AI60" s="1"/>
      <c r="AL60" s="1">
        <v>56096</v>
      </c>
      <c r="AM60">
        <f t="shared" si="12"/>
        <v>1.1686666666666668E-3</v>
      </c>
      <c r="AN60">
        <v>450</v>
      </c>
      <c r="AO60" s="1">
        <v>54582</v>
      </c>
      <c r="AP60">
        <f t="shared" si="13"/>
        <v>1.1371250000000001E-3</v>
      </c>
      <c r="AQ60">
        <v>450</v>
      </c>
      <c r="AR60" s="1">
        <v>54594</v>
      </c>
      <c r="AS60">
        <f t="shared" si="14"/>
        <v>1.1373750000000001E-3</v>
      </c>
      <c r="AU60" s="1">
        <v>53132</v>
      </c>
      <c r="AV60">
        <f t="shared" si="15"/>
        <v>1.1069166666666666E-3</v>
      </c>
      <c r="AX60" s="1">
        <v>48696</v>
      </c>
      <c r="AY60">
        <f t="shared" si="16"/>
        <v>1.0145E-3</v>
      </c>
      <c r="BA60" s="1">
        <v>44278</v>
      </c>
      <c r="BB60">
        <f t="shared" si="17"/>
        <v>9.224583333333334E-4</v>
      </c>
      <c r="BD60" s="1">
        <v>41326</v>
      </c>
      <c r="BE60">
        <f t="shared" si="18"/>
        <v>8.6095833333333337E-4</v>
      </c>
      <c r="BG60" s="1">
        <v>38386</v>
      </c>
      <c r="BH60">
        <f t="shared" si="19"/>
        <v>7.9970833333333337E-4</v>
      </c>
      <c r="BJ60" s="1">
        <v>35432</v>
      </c>
      <c r="BK60">
        <f t="shared" si="20"/>
        <v>7.381666666666667E-4</v>
      </c>
      <c r="BM60" s="1">
        <v>32478</v>
      </c>
      <c r="BN60">
        <f t="shared" si="21"/>
        <v>6.7662500000000003E-4</v>
      </c>
      <c r="BP60" s="1">
        <v>31016</v>
      </c>
      <c r="BQ60">
        <f t="shared" si="22"/>
        <v>6.7662500000000003E-4</v>
      </c>
      <c r="BS60" s="1">
        <v>29546</v>
      </c>
      <c r="BT60">
        <f t="shared" si="23"/>
        <v>6.1554166666666669E-4</v>
      </c>
      <c r="BV60" s="1">
        <v>28068</v>
      </c>
      <c r="BW60">
        <f t="shared" si="24"/>
        <v>5.8474999999999998E-4</v>
      </c>
      <c r="BY60" s="1">
        <v>25120</v>
      </c>
      <c r="BZ60">
        <f t="shared" si="25"/>
        <v>5.2333333333333333E-4</v>
      </c>
      <c r="CB60" s="1">
        <v>25116</v>
      </c>
      <c r="CC60">
        <f t="shared" si="26"/>
        <v>5.2325000000000006E-4</v>
      </c>
    </row>
    <row r="61" spans="2:81" x14ac:dyDescent="0.2">
      <c r="B61" s="1">
        <v>81437</v>
      </c>
      <c r="C61">
        <f t="shared" si="0"/>
        <v>1.6966041666666668E-3</v>
      </c>
      <c r="E61" s="1">
        <v>82608</v>
      </c>
      <c r="F61">
        <f t="shared" si="1"/>
        <v>1.7210000000000001E-3</v>
      </c>
      <c r="H61" s="1">
        <v>246287</v>
      </c>
      <c r="I61">
        <f t="shared" si="2"/>
        <v>5.1309791666666674E-3</v>
      </c>
      <c r="K61" s="1"/>
      <c r="N61" s="1">
        <v>123075</v>
      </c>
      <c r="O61">
        <f t="shared" si="4"/>
        <v>2.5640625000000004E-3</v>
      </c>
      <c r="P61">
        <v>450</v>
      </c>
      <c r="Q61" s="1">
        <v>54598</v>
      </c>
      <c r="R61">
        <f t="shared" si="5"/>
        <v>1.1374583333333334E-3</v>
      </c>
      <c r="S61">
        <v>200</v>
      </c>
      <c r="T61" s="1">
        <v>121631</v>
      </c>
      <c r="U61">
        <f t="shared" si="6"/>
        <v>2.533979166666667E-3</v>
      </c>
      <c r="V61">
        <v>350</v>
      </c>
      <c r="W61" s="1">
        <v>69340</v>
      </c>
      <c r="X61">
        <f t="shared" si="7"/>
        <v>1.4445833333333335E-3</v>
      </c>
      <c r="Y61">
        <v>400</v>
      </c>
      <c r="Z61" s="1">
        <v>61970</v>
      </c>
      <c r="AA61">
        <f t="shared" si="8"/>
        <v>1.2910416666666667E-3</v>
      </c>
      <c r="AB61">
        <v>400</v>
      </c>
      <c r="AC61" s="1">
        <v>61968</v>
      </c>
      <c r="AD61">
        <f t="shared" si="9"/>
        <v>1.291E-3</v>
      </c>
      <c r="AE61">
        <v>420</v>
      </c>
      <c r="AF61" s="1">
        <v>59022</v>
      </c>
      <c r="AG61">
        <f t="shared" si="10"/>
        <v>1.229625E-3</v>
      </c>
      <c r="AH61">
        <v>450</v>
      </c>
      <c r="AI61" s="1">
        <v>56096</v>
      </c>
      <c r="AJ61">
        <f t="shared" si="11"/>
        <v>1.1686666666666668E-3</v>
      </c>
      <c r="AL61" s="1">
        <v>54620</v>
      </c>
      <c r="AM61">
        <f t="shared" si="12"/>
        <v>1.1379166666666666E-3</v>
      </c>
      <c r="AN61">
        <v>450</v>
      </c>
      <c r="AO61" s="1">
        <v>54580</v>
      </c>
      <c r="AP61">
        <f t="shared" si="13"/>
        <v>1.1370833333333335E-3</v>
      </c>
      <c r="AQ61">
        <v>450</v>
      </c>
      <c r="AR61" s="1">
        <v>54596</v>
      </c>
      <c r="AS61">
        <f t="shared" si="14"/>
        <v>1.1374166666666668E-3</v>
      </c>
      <c r="AU61" s="1">
        <v>53134</v>
      </c>
      <c r="AV61">
        <f t="shared" si="15"/>
        <v>1.1069583333333335E-3</v>
      </c>
      <c r="AX61" s="1">
        <v>48698</v>
      </c>
      <c r="AY61">
        <f t="shared" si="16"/>
        <v>1.0145416666666666E-3</v>
      </c>
      <c r="BA61" s="1">
        <v>45752</v>
      </c>
      <c r="BB61">
        <f t="shared" si="17"/>
        <v>9.5316666666666672E-4</v>
      </c>
      <c r="BD61" s="1">
        <v>41326</v>
      </c>
      <c r="BE61">
        <f t="shared" si="18"/>
        <v>8.6095833333333337E-4</v>
      </c>
      <c r="BG61" s="1">
        <v>38390</v>
      </c>
      <c r="BH61">
        <f t="shared" si="19"/>
        <v>7.9979166666666675E-4</v>
      </c>
      <c r="BJ61" s="1">
        <v>33958</v>
      </c>
      <c r="BK61">
        <f t="shared" si="20"/>
        <v>7.0745833333333338E-4</v>
      </c>
      <c r="BM61" s="1">
        <v>33952</v>
      </c>
      <c r="BN61">
        <f t="shared" si="21"/>
        <v>7.0733333333333336E-4</v>
      </c>
      <c r="BP61" s="1">
        <v>31020</v>
      </c>
      <c r="BQ61">
        <f t="shared" si="22"/>
        <v>7.0733333333333336E-4</v>
      </c>
      <c r="BS61" s="1">
        <v>28070</v>
      </c>
      <c r="BT61">
        <f t="shared" si="23"/>
        <v>5.8479166666666673E-4</v>
      </c>
      <c r="BV61" s="1">
        <v>26594</v>
      </c>
      <c r="BW61">
        <f t="shared" si="24"/>
        <v>5.5404166666666666E-4</v>
      </c>
      <c r="BY61" s="1">
        <v>25122</v>
      </c>
      <c r="BZ61">
        <f t="shared" si="25"/>
        <v>5.2337500000000008E-4</v>
      </c>
      <c r="CB61" s="1">
        <v>25114</v>
      </c>
      <c r="CC61">
        <f t="shared" si="26"/>
        <v>5.2320833333333332E-4</v>
      </c>
    </row>
    <row r="62" spans="2:81" x14ac:dyDescent="0.2">
      <c r="B62" s="1">
        <v>82628</v>
      </c>
      <c r="C62">
        <f t="shared" si="0"/>
        <v>1.7214166666666667E-3</v>
      </c>
      <c r="E62" s="1">
        <v>81132</v>
      </c>
      <c r="F62">
        <f t="shared" si="1"/>
        <v>1.6902500000000001E-3</v>
      </c>
      <c r="H62" s="1">
        <v>246647</v>
      </c>
      <c r="I62">
        <f t="shared" si="2"/>
        <v>5.1384791666666671E-3</v>
      </c>
      <c r="K62" s="1"/>
      <c r="N62" s="1">
        <v>121599</v>
      </c>
      <c r="O62">
        <f t="shared" si="4"/>
        <v>2.5333125E-3</v>
      </c>
      <c r="P62">
        <v>450</v>
      </c>
      <c r="Q62" s="1">
        <v>54600</v>
      </c>
      <c r="R62">
        <f t="shared" si="5"/>
        <v>1.1375000000000001E-3</v>
      </c>
      <c r="S62">
        <v>200</v>
      </c>
      <c r="T62" s="1">
        <v>123099</v>
      </c>
      <c r="U62">
        <f t="shared" si="6"/>
        <v>2.5645625E-3</v>
      </c>
      <c r="V62">
        <v>350</v>
      </c>
      <c r="W62" s="1">
        <v>69338</v>
      </c>
      <c r="X62">
        <f t="shared" si="7"/>
        <v>1.4445416666666667E-3</v>
      </c>
      <c r="Y62">
        <v>400</v>
      </c>
      <c r="Z62" s="1">
        <v>61970</v>
      </c>
      <c r="AA62">
        <f t="shared" si="8"/>
        <v>1.2910416666666667E-3</v>
      </c>
      <c r="AB62">
        <v>400</v>
      </c>
      <c r="AC62" s="1">
        <v>60492</v>
      </c>
      <c r="AD62">
        <f t="shared" si="9"/>
        <v>1.2602500000000001E-3</v>
      </c>
      <c r="AE62">
        <v>420</v>
      </c>
      <c r="AF62" s="1">
        <v>59014</v>
      </c>
      <c r="AG62">
        <f t="shared" si="10"/>
        <v>1.2294583333333335E-3</v>
      </c>
      <c r="AH62">
        <v>450</v>
      </c>
      <c r="AI62" s="1">
        <v>54622</v>
      </c>
      <c r="AJ62">
        <f t="shared" si="11"/>
        <v>1.1379583333333335E-3</v>
      </c>
      <c r="AL62" s="1">
        <v>54616</v>
      </c>
      <c r="AM62">
        <f t="shared" si="12"/>
        <v>1.1378333333333334E-3</v>
      </c>
      <c r="AN62">
        <v>450</v>
      </c>
      <c r="AO62" s="1">
        <v>54580</v>
      </c>
      <c r="AP62">
        <f t="shared" si="13"/>
        <v>1.1370833333333335E-3</v>
      </c>
      <c r="AQ62">
        <v>450</v>
      </c>
      <c r="AR62" s="1">
        <v>54602</v>
      </c>
      <c r="AS62">
        <f t="shared" si="14"/>
        <v>1.1375416666666667E-3</v>
      </c>
      <c r="AU62" s="1">
        <v>53132</v>
      </c>
      <c r="AV62">
        <f t="shared" si="15"/>
        <v>1.1069166666666666E-3</v>
      </c>
      <c r="AX62" s="1">
        <v>48698</v>
      </c>
      <c r="AY62">
        <f t="shared" si="16"/>
        <v>1.0145416666666666E-3</v>
      </c>
      <c r="BA62" s="1">
        <v>45750</v>
      </c>
      <c r="BB62">
        <f t="shared" si="17"/>
        <v>9.5312500000000009E-4</v>
      </c>
      <c r="BD62" s="1">
        <v>39852</v>
      </c>
      <c r="BE62">
        <f t="shared" si="18"/>
        <v>8.3025000000000004E-4</v>
      </c>
      <c r="BG62" s="1">
        <v>38394</v>
      </c>
      <c r="BH62">
        <f t="shared" si="19"/>
        <v>7.9987500000000002E-4</v>
      </c>
      <c r="BJ62" s="1">
        <v>35430</v>
      </c>
      <c r="BK62">
        <f t="shared" si="20"/>
        <v>7.3812500000000007E-4</v>
      </c>
      <c r="BM62" s="1">
        <v>33958</v>
      </c>
      <c r="BN62">
        <f t="shared" si="21"/>
        <v>7.0745833333333338E-4</v>
      </c>
      <c r="BP62" s="1">
        <v>29546</v>
      </c>
      <c r="BQ62">
        <f t="shared" si="22"/>
        <v>7.0745833333333338E-4</v>
      </c>
      <c r="BS62" s="1">
        <v>28070</v>
      </c>
      <c r="BT62">
        <f t="shared" si="23"/>
        <v>5.8479166666666673E-4</v>
      </c>
      <c r="BV62" s="1">
        <v>26590</v>
      </c>
      <c r="BW62">
        <f t="shared" si="24"/>
        <v>5.5395833333333339E-4</v>
      </c>
      <c r="BY62" s="1">
        <v>25120</v>
      </c>
      <c r="BZ62">
        <f t="shared" si="25"/>
        <v>5.2333333333333333E-4</v>
      </c>
      <c r="CB62" s="1">
        <v>25112</v>
      </c>
      <c r="CC62">
        <f t="shared" si="26"/>
        <v>5.2316666666666668E-4</v>
      </c>
    </row>
    <row r="63" spans="2:81" x14ac:dyDescent="0.2">
      <c r="B63" s="1">
        <v>81146</v>
      </c>
      <c r="C63">
        <f t="shared" si="0"/>
        <v>1.6905416666666668E-3</v>
      </c>
      <c r="E63" s="1">
        <v>82598</v>
      </c>
      <c r="F63">
        <f t="shared" si="1"/>
        <v>1.7207916666666667E-3</v>
      </c>
      <c r="H63" s="1">
        <v>246215</v>
      </c>
      <c r="I63">
        <f t="shared" si="2"/>
        <v>5.1294791666666667E-3</v>
      </c>
      <c r="K63" s="1"/>
      <c r="N63" s="1">
        <v>121599</v>
      </c>
      <c r="O63">
        <f t="shared" si="4"/>
        <v>2.5333125E-3</v>
      </c>
      <c r="P63">
        <v>450</v>
      </c>
      <c r="Q63" s="1">
        <v>56068</v>
      </c>
      <c r="R63">
        <f t="shared" si="5"/>
        <v>1.1680833333333335E-3</v>
      </c>
      <c r="S63">
        <v>200</v>
      </c>
      <c r="T63" s="1">
        <v>121625</v>
      </c>
      <c r="U63">
        <f t="shared" si="6"/>
        <v>2.5338541666666669E-3</v>
      </c>
      <c r="V63">
        <v>350</v>
      </c>
      <c r="W63" s="1">
        <v>70816</v>
      </c>
      <c r="X63">
        <f t="shared" si="7"/>
        <v>1.4753333333333335E-3</v>
      </c>
      <c r="Y63">
        <v>400</v>
      </c>
      <c r="Z63" s="1">
        <v>61970</v>
      </c>
      <c r="AA63">
        <f t="shared" si="8"/>
        <v>1.2910416666666667E-3</v>
      </c>
      <c r="AB63">
        <v>400</v>
      </c>
      <c r="AC63" s="1">
        <v>60494</v>
      </c>
      <c r="AD63">
        <f t="shared" si="9"/>
        <v>1.2602916666666667E-3</v>
      </c>
      <c r="AE63">
        <v>420</v>
      </c>
      <c r="AF63" s="1">
        <v>59022</v>
      </c>
      <c r="AG63">
        <f t="shared" si="10"/>
        <v>1.229625E-3</v>
      </c>
      <c r="AH63">
        <v>450</v>
      </c>
      <c r="AI63" s="1">
        <v>54622</v>
      </c>
      <c r="AJ63">
        <f t="shared" si="11"/>
        <v>1.1379583333333335E-3</v>
      </c>
      <c r="AL63" s="1">
        <v>56094</v>
      </c>
      <c r="AM63">
        <f t="shared" si="12"/>
        <v>1.1686250000000002E-3</v>
      </c>
      <c r="AN63">
        <v>450</v>
      </c>
      <c r="AO63" s="1">
        <v>54578</v>
      </c>
      <c r="AP63">
        <f t="shared" si="13"/>
        <v>1.1370416666666668E-3</v>
      </c>
      <c r="AQ63">
        <v>450</v>
      </c>
      <c r="AR63" s="1">
        <v>54602</v>
      </c>
      <c r="AS63">
        <f t="shared" si="14"/>
        <v>1.1375416666666667E-3</v>
      </c>
      <c r="AU63" s="1">
        <v>53136</v>
      </c>
      <c r="AV63">
        <f t="shared" si="15"/>
        <v>1.1070000000000001E-3</v>
      </c>
      <c r="AX63" s="1">
        <v>48698</v>
      </c>
      <c r="AY63">
        <f t="shared" si="16"/>
        <v>1.0145416666666666E-3</v>
      </c>
      <c r="BA63" s="1">
        <v>45750</v>
      </c>
      <c r="BB63">
        <f t="shared" si="17"/>
        <v>9.5312500000000009E-4</v>
      </c>
      <c r="BD63" s="1">
        <v>41326</v>
      </c>
      <c r="BE63">
        <f t="shared" si="18"/>
        <v>8.6095833333333337E-4</v>
      </c>
      <c r="BG63" s="1">
        <v>38388</v>
      </c>
      <c r="BH63">
        <f t="shared" si="19"/>
        <v>7.9975000000000001E-4</v>
      </c>
      <c r="BJ63" s="1">
        <v>35428</v>
      </c>
      <c r="BK63">
        <f t="shared" si="20"/>
        <v>7.3808333333333343E-4</v>
      </c>
      <c r="BM63" s="1">
        <v>32482</v>
      </c>
      <c r="BN63">
        <f t="shared" si="21"/>
        <v>6.7670833333333342E-4</v>
      </c>
      <c r="BP63" s="1">
        <v>29544</v>
      </c>
      <c r="BQ63">
        <f t="shared" si="22"/>
        <v>6.7670833333333342E-4</v>
      </c>
      <c r="BS63" s="1">
        <v>29546</v>
      </c>
      <c r="BT63">
        <f t="shared" si="23"/>
        <v>6.1554166666666669E-4</v>
      </c>
      <c r="BV63" s="1">
        <v>26592</v>
      </c>
      <c r="BW63">
        <f t="shared" si="24"/>
        <v>5.5400000000000002E-4</v>
      </c>
      <c r="BY63" s="1">
        <v>25120</v>
      </c>
      <c r="BZ63">
        <f t="shared" si="25"/>
        <v>5.2333333333333333E-4</v>
      </c>
      <c r="CB63" s="1">
        <v>23644</v>
      </c>
      <c r="CC63">
        <f t="shared" si="26"/>
        <v>4.9258333333333337E-4</v>
      </c>
    </row>
    <row r="64" spans="2:81" x14ac:dyDescent="0.2">
      <c r="B64" s="1">
        <v>81534</v>
      </c>
      <c r="C64">
        <f t="shared" si="0"/>
        <v>1.698625E-3</v>
      </c>
      <c r="E64" s="1">
        <v>81134</v>
      </c>
      <c r="F64">
        <f t="shared" si="1"/>
        <v>1.6902916666666668E-3</v>
      </c>
      <c r="H64" s="1">
        <v>245854</v>
      </c>
      <c r="I64">
        <f t="shared" si="2"/>
        <v>5.1219583333333334E-3</v>
      </c>
      <c r="K64" s="1"/>
      <c r="N64" s="1">
        <v>123081</v>
      </c>
      <c r="O64">
        <f t="shared" si="4"/>
        <v>2.5641875000000001E-3</v>
      </c>
      <c r="P64">
        <v>450</v>
      </c>
      <c r="Q64" s="1">
        <v>54596</v>
      </c>
      <c r="R64">
        <f t="shared" si="5"/>
        <v>1.1374166666666668E-3</v>
      </c>
      <c r="S64">
        <v>200</v>
      </c>
      <c r="T64" s="1">
        <v>123101</v>
      </c>
      <c r="U64">
        <f t="shared" si="6"/>
        <v>2.5646041666666669E-3</v>
      </c>
      <c r="V64">
        <v>350</v>
      </c>
      <c r="W64" s="1">
        <v>70816</v>
      </c>
      <c r="X64">
        <f t="shared" si="7"/>
        <v>1.4753333333333335E-3</v>
      </c>
      <c r="Y64">
        <v>400</v>
      </c>
      <c r="Z64" s="1">
        <v>61976</v>
      </c>
      <c r="AA64">
        <f t="shared" si="8"/>
        <v>1.2911666666666668E-3</v>
      </c>
      <c r="AB64">
        <v>400</v>
      </c>
      <c r="AC64" s="1">
        <v>61968</v>
      </c>
      <c r="AD64">
        <f t="shared" si="9"/>
        <v>1.291E-3</v>
      </c>
      <c r="AE64">
        <v>420</v>
      </c>
      <c r="AF64" s="1">
        <v>59026</v>
      </c>
      <c r="AG64">
        <f t="shared" si="10"/>
        <v>1.2297083333333333E-3</v>
      </c>
      <c r="AH64">
        <v>450</v>
      </c>
      <c r="AI64" s="1">
        <v>56094</v>
      </c>
      <c r="AJ64">
        <f t="shared" si="11"/>
        <v>1.1686250000000002E-3</v>
      </c>
      <c r="AL64" s="1">
        <v>54614</v>
      </c>
      <c r="AM64">
        <f t="shared" si="12"/>
        <v>1.1377916666666667E-3</v>
      </c>
      <c r="AN64">
        <v>450</v>
      </c>
      <c r="AO64" s="1">
        <v>54578</v>
      </c>
      <c r="AP64">
        <f t="shared" si="13"/>
        <v>1.1370416666666668E-3</v>
      </c>
      <c r="AQ64">
        <v>450</v>
      </c>
      <c r="AR64" s="1">
        <v>54600</v>
      </c>
      <c r="AS64">
        <f t="shared" si="14"/>
        <v>1.1375000000000001E-3</v>
      </c>
      <c r="AU64" s="1">
        <v>51664</v>
      </c>
      <c r="AV64">
        <f t="shared" si="15"/>
        <v>1.0763333333333334E-3</v>
      </c>
      <c r="AX64" s="1">
        <v>50172</v>
      </c>
      <c r="AY64">
        <f t="shared" si="16"/>
        <v>1.04525E-3</v>
      </c>
      <c r="BA64" s="1">
        <v>44272</v>
      </c>
      <c r="BB64">
        <f t="shared" si="17"/>
        <v>9.2233333333333338E-4</v>
      </c>
      <c r="BD64" s="1">
        <v>41326</v>
      </c>
      <c r="BE64">
        <f t="shared" si="18"/>
        <v>8.6095833333333337E-4</v>
      </c>
      <c r="BG64" s="1">
        <v>36916</v>
      </c>
      <c r="BH64">
        <f t="shared" si="19"/>
        <v>7.6908333333333342E-4</v>
      </c>
      <c r="BJ64" s="1">
        <v>35428</v>
      </c>
      <c r="BK64">
        <f t="shared" si="20"/>
        <v>7.3808333333333343E-4</v>
      </c>
      <c r="BM64" s="1">
        <v>33954</v>
      </c>
      <c r="BN64">
        <f t="shared" si="21"/>
        <v>7.07375E-4</v>
      </c>
      <c r="BP64" s="1">
        <v>29544</v>
      </c>
      <c r="BQ64">
        <f t="shared" si="22"/>
        <v>7.07375E-4</v>
      </c>
      <c r="BS64" s="1">
        <v>29546</v>
      </c>
      <c r="BT64">
        <f t="shared" si="23"/>
        <v>6.1554166666666669E-4</v>
      </c>
      <c r="BV64" s="1">
        <v>26590</v>
      </c>
      <c r="BW64">
        <f t="shared" si="24"/>
        <v>5.5395833333333339E-4</v>
      </c>
      <c r="BY64" s="1">
        <v>25124</v>
      </c>
      <c r="BZ64">
        <f t="shared" si="25"/>
        <v>5.2341666666666671E-4</v>
      </c>
      <c r="CB64" s="1">
        <v>25116</v>
      </c>
      <c r="CC64">
        <f t="shared" si="26"/>
        <v>5.2325000000000006E-4</v>
      </c>
    </row>
    <row r="65" spans="2:81" x14ac:dyDescent="0.2">
      <c r="B65" s="1">
        <v>81427</v>
      </c>
      <c r="C65">
        <f t="shared" si="0"/>
        <v>1.6963958333333334E-3</v>
      </c>
      <c r="E65" s="1">
        <v>82602</v>
      </c>
      <c r="F65">
        <f t="shared" si="1"/>
        <v>1.7208750000000002E-3</v>
      </c>
      <c r="H65" s="1">
        <v>245823</v>
      </c>
      <c r="I65">
        <f t="shared" si="2"/>
        <v>5.1213125E-3</v>
      </c>
      <c r="K65" s="1"/>
      <c r="N65" s="1">
        <v>123059</v>
      </c>
      <c r="O65">
        <f t="shared" si="4"/>
        <v>2.5637291666666668E-3</v>
      </c>
      <c r="P65">
        <v>450</v>
      </c>
      <c r="Q65" s="1">
        <v>54600</v>
      </c>
      <c r="R65">
        <f t="shared" si="5"/>
        <v>1.1375000000000001E-3</v>
      </c>
      <c r="S65">
        <v>200</v>
      </c>
      <c r="T65" s="1">
        <v>123101</v>
      </c>
      <c r="U65">
        <f t="shared" si="6"/>
        <v>2.5646041666666669E-3</v>
      </c>
      <c r="V65">
        <v>350</v>
      </c>
      <c r="W65" s="1">
        <v>70820</v>
      </c>
      <c r="X65">
        <f t="shared" si="7"/>
        <v>1.4754166666666668E-3</v>
      </c>
      <c r="Y65">
        <v>400</v>
      </c>
      <c r="Z65" s="1">
        <v>61968</v>
      </c>
      <c r="AA65">
        <f t="shared" si="8"/>
        <v>1.291E-3</v>
      </c>
      <c r="AB65">
        <v>400</v>
      </c>
      <c r="AC65" s="1">
        <v>61976</v>
      </c>
      <c r="AD65">
        <f t="shared" si="9"/>
        <v>1.2911666666666668E-3</v>
      </c>
      <c r="AE65">
        <v>420</v>
      </c>
      <c r="AF65" s="1">
        <v>59028</v>
      </c>
      <c r="AG65">
        <f t="shared" si="10"/>
        <v>1.2297500000000002E-3</v>
      </c>
      <c r="AH65">
        <v>450</v>
      </c>
      <c r="AI65" s="1">
        <v>54618</v>
      </c>
      <c r="AJ65">
        <f t="shared" si="11"/>
        <v>1.137875E-3</v>
      </c>
      <c r="AL65" s="1">
        <v>56094</v>
      </c>
      <c r="AM65">
        <f t="shared" si="12"/>
        <v>1.1686250000000002E-3</v>
      </c>
      <c r="AN65">
        <v>450</v>
      </c>
      <c r="AO65" s="1">
        <v>56050</v>
      </c>
      <c r="AP65">
        <f t="shared" si="13"/>
        <v>1.1677083333333333E-3</v>
      </c>
      <c r="AQ65">
        <v>450</v>
      </c>
      <c r="AR65" s="1">
        <v>54602</v>
      </c>
      <c r="AS65">
        <f t="shared" si="14"/>
        <v>1.1375416666666667E-3</v>
      </c>
      <c r="AU65" s="1">
        <v>53142</v>
      </c>
      <c r="AV65">
        <f t="shared" si="15"/>
        <v>1.107125E-3</v>
      </c>
      <c r="AX65" s="1">
        <v>50172</v>
      </c>
      <c r="AY65">
        <f t="shared" si="16"/>
        <v>1.04525E-3</v>
      </c>
      <c r="BA65" s="1">
        <v>44272</v>
      </c>
      <c r="BB65">
        <f t="shared" si="17"/>
        <v>9.2233333333333338E-4</v>
      </c>
      <c r="BD65" s="1">
        <v>41322</v>
      </c>
      <c r="BE65">
        <f t="shared" si="18"/>
        <v>8.608750000000001E-4</v>
      </c>
      <c r="BG65" s="1">
        <v>38388</v>
      </c>
      <c r="BH65">
        <f t="shared" si="19"/>
        <v>7.9975000000000001E-4</v>
      </c>
      <c r="BJ65" s="1">
        <v>35430</v>
      </c>
      <c r="BK65">
        <f t="shared" si="20"/>
        <v>7.3812500000000007E-4</v>
      </c>
      <c r="BM65" s="1">
        <v>32480</v>
      </c>
      <c r="BN65">
        <f t="shared" si="21"/>
        <v>6.7666666666666667E-4</v>
      </c>
      <c r="BP65" s="1">
        <v>31016</v>
      </c>
      <c r="BQ65">
        <f t="shared" si="22"/>
        <v>6.7666666666666667E-4</v>
      </c>
      <c r="BS65" s="1">
        <v>29546</v>
      </c>
      <c r="BT65">
        <f t="shared" si="23"/>
        <v>6.1554166666666669E-4</v>
      </c>
      <c r="BV65" s="1">
        <v>28066</v>
      </c>
      <c r="BW65">
        <f t="shared" si="24"/>
        <v>5.8470833333333335E-4</v>
      </c>
      <c r="BY65" s="1">
        <v>25122</v>
      </c>
      <c r="BZ65">
        <f t="shared" si="25"/>
        <v>5.2337500000000008E-4</v>
      </c>
      <c r="CB65" s="1">
        <v>23642</v>
      </c>
      <c r="CC65">
        <f t="shared" si="26"/>
        <v>4.9254166666666674E-4</v>
      </c>
    </row>
    <row r="66" spans="2:81" x14ac:dyDescent="0.2">
      <c r="B66" s="1">
        <v>81536</v>
      </c>
      <c r="C66">
        <f t="shared" si="0"/>
        <v>1.6986666666666667E-3</v>
      </c>
      <c r="E66" s="1">
        <v>81136</v>
      </c>
      <c r="F66">
        <f t="shared" si="1"/>
        <v>1.6903333333333334E-3</v>
      </c>
      <c r="H66" s="1">
        <v>245832</v>
      </c>
      <c r="I66">
        <f t="shared" si="2"/>
        <v>5.1215000000000002E-3</v>
      </c>
      <c r="K66" s="1"/>
      <c r="N66" s="1">
        <v>123055</v>
      </c>
      <c r="O66">
        <f t="shared" si="4"/>
        <v>2.5636458333333336E-3</v>
      </c>
      <c r="P66">
        <v>450</v>
      </c>
      <c r="Q66" s="1">
        <v>56068</v>
      </c>
      <c r="R66">
        <f t="shared" si="5"/>
        <v>1.1680833333333335E-3</v>
      </c>
      <c r="S66">
        <v>200</v>
      </c>
      <c r="T66" s="1">
        <v>123107</v>
      </c>
      <c r="U66">
        <f t="shared" si="6"/>
        <v>2.564729166666667E-3</v>
      </c>
      <c r="V66">
        <v>350</v>
      </c>
      <c r="W66" s="1">
        <v>70818</v>
      </c>
      <c r="X66">
        <f t="shared" si="7"/>
        <v>1.4753750000000001E-3</v>
      </c>
      <c r="Y66">
        <v>400</v>
      </c>
      <c r="Z66" s="1">
        <v>61970</v>
      </c>
      <c r="AA66">
        <f t="shared" si="8"/>
        <v>1.2910416666666667E-3</v>
      </c>
      <c r="AB66">
        <v>400</v>
      </c>
      <c r="AC66" s="1">
        <v>61970</v>
      </c>
      <c r="AD66">
        <f t="shared" si="9"/>
        <v>1.2910416666666667E-3</v>
      </c>
      <c r="AE66">
        <v>420</v>
      </c>
      <c r="AF66" s="1">
        <v>59030</v>
      </c>
      <c r="AG66">
        <f t="shared" si="10"/>
        <v>1.2297916666666668E-3</v>
      </c>
      <c r="AH66">
        <v>450</v>
      </c>
      <c r="AI66" s="1">
        <v>54620</v>
      </c>
      <c r="AJ66">
        <f t="shared" si="11"/>
        <v>1.1379166666666666E-3</v>
      </c>
      <c r="AL66" s="1">
        <v>54618</v>
      </c>
      <c r="AM66">
        <f t="shared" si="12"/>
        <v>1.137875E-3</v>
      </c>
      <c r="AN66">
        <v>450</v>
      </c>
      <c r="AO66" s="1">
        <v>54582</v>
      </c>
      <c r="AP66">
        <f t="shared" si="13"/>
        <v>1.1371250000000001E-3</v>
      </c>
      <c r="AQ66">
        <v>450</v>
      </c>
      <c r="AR66" s="1">
        <v>54602</v>
      </c>
      <c r="AS66">
        <f t="shared" si="14"/>
        <v>1.1375416666666667E-3</v>
      </c>
      <c r="AU66" s="1">
        <v>51666</v>
      </c>
      <c r="AV66">
        <f t="shared" si="15"/>
        <v>1.0763750000000001E-3</v>
      </c>
      <c r="AX66" s="1">
        <v>50170</v>
      </c>
      <c r="AY66">
        <f t="shared" si="16"/>
        <v>1.0452083333333333E-3</v>
      </c>
      <c r="BA66" s="1">
        <v>44274</v>
      </c>
      <c r="BB66">
        <f t="shared" si="17"/>
        <v>9.2237500000000002E-4</v>
      </c>
      <c r="BD66" s="1">
        <v>41324</v>
      </c>
      <c r="BE66">
        <f t="shared" si="18"/>
        <v>8.6091666666666673E-4</v>
      </c>
      <c r="BG66" s="1">
        <v>38390</v>
      </c>
      <c r="BH66">
        <f t="shared" si="19"/>
        <v>7.9979166666666675E-4</v>
      </c>
      <c r="BJ66" s="1">
        <v>33956</v>
      </c>
      <c r="BK66">
        <f t="shared" si="20"/>
        <v>7.0741666666666674E-4</v>
      </c>
      <c r="BM66" s="1">
        <v>32480</v>
      </c>
      <c r="BN66">
        <f t="shared" si="21"/>
        <v>6.7666666666666667E-4</v>
      </c>
      <c r="BP66" s="1">
        <v>31016</v>
      </c>
      <c r="BQ66">
        <f t="shared" si="22"/>
        <v>6.7666666666666667E-4</v>
      </c>
      <c r="BS66" s="1">
        <v>29546</v>
      </c>
      <c r="BT66">
        <f t="shared" si="23"/>
        <v>6.1554166666666669E-4</v>
      </c>
      <c r="BV66" s="1">
        <v>28068</v>
      </c>
      <c r="BW66">
        <f t="shared" si="24"/>
        <v>5.8474999999999998E-4</v>
      </c>
      <c r="BY66" s="1">
        <v>25126</v>
      </c>
      <c r="BZ66">
        <f t="shared" si="25"/>
        <v>5.2345833333333335E-4</v>
      </c>
      <c r="CB66" s="1">
        <v>25116</v>
      </c>
      <c r="CC66">
        <f t="shared" si="26"/>
        <v>5.2325000000000006E-4</v>
      </c>
    </row>
    <row r="67" spans="2:81" x14ac:dyDescent="0.2">
      <c r="B67" s="1">
        <v>81546</v>
      </c>
      <c r="C67">
        <f t="shared" ref="C67:C100" si="27">B67*(1/48000000)</f>
        <v>1.6988750000000001E-3</v>
      </c>
      <c r="E67" s="1">
        <v>82596</v>
      </c>
      <c r="F67">
        <f t="shared" ref="F67:F102" si="28">E67*(1/48000000)</f>
        <v>1.7207500000000001E-3</v>
      </c>
      <c r="H67" s="1">
        <v>246636</v>
      </c>
      <c r="I67">
        <f t="shared" ref="I67:I101" si="29">H67*(1/48000000)</f>
        <v>5.1382500000000005E-3</v>
      </c>
      <c r="K67" s="1"/>
      <c r="N67" s="1">
        <v>121571</v>
      </c>
      <c r="O67">
        <f t="shared" ref="O67:O101" si="30">N67*(1/48000000)</f>
        <v>2.5327291666666666E-3</v>
      </c>
      <c r="P67">
        <v>450</v>
      </c>
      <c r="Q67" s="1">
        <v>54598</v>
      </c>
      <c r="R67">
        <f t="shared" ref="R67:R101" si="31">Q67*(1/48000000)</f>
        <v>1.1374583333333334E-3</v>
      </c>
      <c r="S67">
        <v>200</v>
      </c>
      <c r="T67" s="1">
        <v>123085</v>
      </c>
      <c r="U67">
        <f t="shared" ref="U67:U101" si="32">T67*(1/48000000)</f>
        <v>2.5642708333333333E-3</v>
      </c>
      <c r="V67">
        <v>350</v>
      </c>
      <c r="W67" s="1">
        <v>70822</v>
      </c>
      <c r="X67">
        <f t="shared" ref="X67:X102" si="33">W67*(1/48000000)</f>
        <v>1.4754583333333334E-3</v>
      </c>
      <c r="Y67">
        <v>400</v>
      </c>
      <c r="Z67" s="1">
        <v>61970</v>
      </c>
      <c r="AA67">
        <f t="shared" ref="AA67:AA102" si="34">Z67*(1/48000000)</f>
        <v>1.2910416666666667E-3</v>
      </c>
      <c r="AB67">
        <v>400</v>
      </c>
      <c r="AC67" s="1">
        <v>61968</v>
      </c>
      <c r="AD67">
        <f t="shared" ref="AD67:AD102" si="35">AC67*(1/48000000)</f>
        <v>1.291E-3</v>
      </c>
      <c r="AE67">
        <v>420</v>
      </c>
      <c r="AF67" s="1">
        <v>57552</v>
      </c>
      <c r="AG67">
        <f t="shared" ref="AG67:AG102" si="36">AF67*(1/48000000)</f>
        <v>1.199E-3</v>
      </c>
      <c r="AH67">
        <v>450</v>
      </c>
      <c r="AI67" s="1">
        <v>56094</v>
      </c>
      <c r="AJ67">
        <f t="shared" ref="AJ67:AJ101" si="37">AI67*(1/48000000)</f>
        <v>1.1686250000000002E-3</v>
      </c>
      <c r="AL67" s="1">
        <v>54612</v>
      </c>
      <c r="AM67">
        <f t="shared" ref="AM67:AM102" si="38">AL67*(1/48000000)</f>
        <v>1.1377500000000001E-3</v>
      </c>
      <c r="AN67">
        <v>450</v>
      </c>
      <c r="AO67" s="1">
        <v>56056</v>
      </c>
      <c r="AP67">
        <f t="shared" ref="AP67:AP102" si="39">AO67*(1/48000000)</f>
        <v>1.1678333333333334E-3</v>
      </c>
      <c r="AQ67">
        <v>450</v>
      </c>
      <c r="AR67" s="1">
        <v>56074</v>
      </c>
      <c r="AS67">
        <f t="shared" ref="AS67:AS102" si="40">AR67*(1/48000000)</f>
        <v>1.1682083333333334E-3</v>
      </c>
      <c r="AU67" s="1">
        <v>53140</v>
      </c>
      <c r="AV67">
        <f t="shared" ref="AV67:AV102" si="41">AU67*(1/48000000)</f>
        <v>1.1070833333333334E-3</v>
      </c>
      <c r="AX67" s="1">
        <v>50172</v>
      </c>
      <c r="AY67">
        <f t="shared" ref="AY67:AY102" si="42">AX67*(1/48000000)</f>
        <v>1.04525E-3</v>
      </c>
      <c r="BA67" s="1">
        <v>45750</v>
      </c>
      <c r="BB67">
        <f t="shared" ref="BB67:BB102" si="43">BA67*(1/48000000)</f>
        <v>9.5312500000000009E-4</v>
      </c>
      <c r="BD67" s="1">
        <v>41324</v>
      </c>
      <c r="BE67">
        <f t="shared" ref="BE67:BE102" si="44">BD67*(1/48000000)</f>
        <v>8.6091666666666673E-4</v>
      </c>
      <c r="BG67" s="1">
        <v>38388</v>
      </c>
      <c r="BH67">
        <f t="shared" ref="BH67:BH101" si="45">BG67*(1/48000000)</f>
        <v>7.9975000000000001E-4</v>
      </c>
      <c r="BJ67" s="1">
        <v>35430</v>
      </c>
      <c r="BK67">
        <f t="shared" ref="BK67:BK102" si="46">BJ67*(1/48000000)</f>
        <v>7.3812500000000007E-4</v>
      </c>
      <c r="BM67" s="1">
        <v>32480</v>
      </c>
      <c r="BN67">
        <f t="shared" ref="BN67:BN102" si="47">BM67*(1/48000000)</f>
        <v>6.7666666666666667E-4</v>
      </c>
      <c r="BP67" s="1">
        <v>31018</v>
      </c>
      <c r="BQ67">
        <f t="shared" ref="BQ67:BQ102" si="48">BM67*(1/48000000)</f>
        <v>6.7666666666666667E-4</v>
      </c>
      <c r="BS67" s="1">
        <v>29546</v>
      </c>
      <c r="BT67">
        <f t="shared" ref="BT67:BT102" si="49">BS67*(1/48000000)</f>
        <v>6.1554166666666669E-4</v>
      </c>
      <c r="BV67" s="1">
        <v>26592</v>
      </c>
      <c r="BW67">
        <f t="shared" ref="BW67:BW102" si="50">BV67*(1/48000000)</f>
        <v>5.5400000000000002E-4</v>
      </c>
      <c r="BY67" s="1">
        <v>25124</v>
      </c>
      <c r="BZ67">
        <f t="shared" ref="BZ67:BZ102" si="51">BY67*(1/48000000)</f>
        <v>5.2341666666666671E-4</v>
      </c>
      <c r="CB67" s="1">
        <v>25114</v>
      </c>
      <c r="CC67">
        <f t="shared" ref="CC67:CC102" si="52">CB67*(1/48000000)</f>
        <v>5.2320833333333332E-4</v>
      </c>
    </row>
    <row r="68" spans="2:81" x14ac:dyDescent="0.2">
      <c r="B68" s="1">
        <v>80343</v>
      </c>
      <c r="C68">
        <f t="shared" si="27"/>
        <v>1.6738125000000002E-3</v>
      </c>
      <c r="E68" s="1">
        <v>81411</v>
      </c>
      <c r="F68">
        <f t="shared" si="28"/>
        <v>1.6960625000000001E-3</v>
      </c>
      <c r="H68" s="1">
        <v>245122</v>
      </c>
      <c r="I68">
        <f t="shared" si="29"/>
        <v>5.1067083333333338E-3</v>
      </c>
      <c r="K68" s="1"/>
      <c r="N68" s="1">
        <v>121583</v>
      </c>
      <c r="O68">
        <f t="shared" si="30"/>
        <v>2.5329791666666669E-3</v>
      </c>
      <c r="P68">
        <v>450</v>
      </c>
      <c r="Q68" s="1">
        <v>54600</v>
      </c>
      <c r="R68">
        <f t="shared" si="31"/>
        <v>1.1375000000000001E-3</v>
      </c>
      <c r="S68">
        <v>200</v>
      </c>
      <c r="T68" s="1">
        <v>123093</v>
      </c>
      <c r="U68">
        <f t="shared" si="32"/>
        <v>2.5644375000000003E-3</v>
      </c>
      <c r="V68">
        <v>350</v>
      </c>
      <c r="W68" s="1">
        <v>70812</v>
      </c>
      <c r="X68">
        <f t="shared" si="33"/>
        <v>1.47525E-3</v>
      </c>
      <c r="Y68">
        <v>400</v>
      </c>
      <c r="Z68" s="1">
        <v>61972</v>
      </c>
      <c r="AA68">
        <f t="shared" si="34"/>
        <v>1.2910833333333333E-3</v>
      </c>
      <c r="AB68">
        <v>400</v>
      </c>
      <c r="AC68" s="1">
        <v>60500</v>
      </c>
      <c r="AD68">
        <f t="shared" si="35"/>
        <v>1.2604166666666668E-3</v>
      </c>
      <c r="AE68">
        <v>420</v>
      </c>
      <c r="AF68" s="1">
        <v>59032</v>
      </c>
      <c r="AG68">
        <f t="shared" si="36"/>
        <v>1.2298333333333334E-3</v>
      </c>
      <c r="AH68">
        <v>450</v>
      </c>
      <c r="AI68" s="1">
        <v>54624</v>
      </c>
      <c r="AJ68">
        <f t="shared" si="37"/>
        <v>1.1380000000000001E-3</v>
      </c>
      <c r="AL68" s="1">
        <v>54616</v>
      </c>
      <c r="AM68">
        <f t="shared" si="38"/>
        <v>1.1378333333333334E-3</v>
      </c>
      <c r="AN68">
        <v>450</v>
      </c>
      <c r="AO68" s="1">
        <v>54580</v>
      </c>
      <c r="AP68">
        <f t="shared" si="39"/>
        <v>1.1370833333333335E-3</v>
      </c>
      <c r="AQ68">
        <v>450</v>
      </c>
      <c r="AR68" s="1">
        <v>54602</v>
      </c>
      <c r="AS68">
        <f t="shared" si="40"/>
        <v>1.1375416666666667E-3</v>
      </c>
      <c r="AU68" s="1">
        <v>53138</v>
      </c>
      <c r="AV68">
        <f t="shared" si="41"/>
        <v>1.1070416666666668E-3</v>
      </c>
      <c r="AX68" s="1">
        <v>50172</v>
      </c>
      <c r="AY68">
        <f t="shared" si="42"/>
        <v>1.04525E-3</v>
      </c>
      <c r="BA68" s="1">
        <v>44280</v>
      </c>
      <c r="BB68">
        <f t="shared" si="43"/>
        <v>9.2250000000000003E-4</v>
      </c>
      <c r="BD68" s="1">
        <v>41326</v>
      </c>
      <c r="BE68">
        <f t="shared" si="44"/>
        <v>8.6095833333333337E-4</v>
      </c>
      <c r="BG68" s="1">
        <v>38388</v>
      </c>
      <c r="BH68">
        <f t="shared" si="45"/>
        <v>7.9975000000000001E-4</v>
      </c>
      <c r="BJ68" s="1">
        <v>35430</v>
      </c>
      <c r="BK68">
        <f t="shared" si="46"/>
        <v>7.3812500000000007E-4</v>
      </c>
      <c r="BM68" s="1">
        <v>32476</v>
      </c>
      <c r="BN68">
        <f t="shared" si="47"/>
        <v>6.765833333333334E-4</v>
      </c>
      <c r="BP68" s="1">
        <v>31018</v>
      </c>
      <c r="BQ68">
        <f t="shared" si="48"/>
        <v>6.765833333333334E-4</v>
      </c>
      <c r="BS68" s="1">
        <v>29544</v>
      </c>
      <c r="BT68">
        <f t="shared" si="49"/>
        <v>6.1550000000000005E-4</v>
      </c>
      <c r="BV68" s="1">
        <v>26594</v>
      </c>
      <c r="BW68">
        <f t="shared" si="50"/>
        <v>5.5404166666666666E-4</v>
      </c>
      <c r="BY68" s="1">
        <v>25439</v>
      </c>
      <c r="BZ68">
        <f t="shared" si="51"/>
        <v>5.2997916666666666E-4</v>
      </c>
      <c r="CB68" s="1">
        <v>25118</v>
      </c>
      <c r="CC68">
        <f t="shared" si="52"/>
        <v>5.232916666666667E-4</v>
      </c>
    </row>
    <row r="69" spans="2:81" x14ac:dyDescent="0.2">
      <c r="B69" s="1">
        <v>81425</v>
      </c>
      <c r="C69">
        <f t="shared" si="27"/>
        <v>1.6963541666666668E-3</v>
      </c>
      <c r="E69" s="1">
        <v>82602</v>
      </c>
      <c r="F69">
        <f t="shared" si="28"/>
        <v>1.7208750000000002E-3</v>
      </c>
      <c r="H69" s="1">
        <v>246175</v>
      </c>
      <c r="I69">
        <f t="shared" si="29"/>
        <v>5.128645833333334E-3</v>
      </c>
      <c r="K69" s="1"/>
      <c r="N69" s="1">
        <v>121583</v>
      </c>
      <c r="O69">
        <f t="shared" si="30"/>
        <v>2.5329791666666669E-3</v>
      </c>
      <c r="P69">
        <v>450</v>
      </c>
      <c r="Q69" s="1">
        <v>56074</v>
      </c>
      <c r="R69">
        <f t="shared" si="31"/>
        <v>1.1682083333333334E-3</v>
      </c>
      <c r="S69">
        <v>200</v>
      </c>
      <c r="T69" s="1">
        <v>123101</v>
      </c>
      <c r="U69">
        <f t="shared" si="32"/>
        <v>2.5646041666666669E-3</v>
      </c>
      <c r="V69">
        <v>350</v>
      </c>
      <c r="W69" s="1">
        <v>70808</v>
      </c>
      <c r="X69">
        <f t="shared" si="33"/>
        <v>1.4751666666666667E-3</v>
      </c>
      <c r="Y69">
        <v>400</v>
      </c>
      <c r="Z69" s="1">
        <v>61968</v>
      </c>
      <c r="AA69">
        <f t="shared" si="34"/>
        <v>1.291E-3</v>
      </c>
      <c r="AB69">
        <v>400</v>
      </c>
      <c r="AC69" s="1">
        <v>60498</v>
      </c>
      <c r="AD69">
        <f t="shared" si="35"/>
        <v>1.260375E-3</v>
      </c>
      <c r="AE69">
        <v>420</v>
      </c>
      <c r="AF69" s="1">
        <v>59026</v>
      </c>
      <c r="AG69">
        <f t="shared" si="36"/>
        <v>1.2297083333333333E-3</v>
      </c>
      <c r="AI69" s="1">
        <v>54618</v>
      </c>
      <c r="AJ69">
        <f t="shared" si="37"/>
        <v>1.137875E-3</v>
      </c>
      <c r="AL69" s="1">
        <v>54616</v>
      </c>
      <c r="AM69">
        <f t="shared" si="38"/>
        <v>1.1378333333333334E-3</v>
      </c>
      <c r="AO69" s="1">
        <v>54578</v>
      </c>
      <c r="AP69">
        <f t="shared" si="39"/>
        <v>1.1370416666666668E-3</v>
      </c>
      <c r="AQ69">
        <v>450</v>
      </c>
      <c r="AR69" s="1">
        <v>54600</v>
      </c>
      <c r="AS69">
        <f t="shared" si="40"/>
        <v>1.1375000000000001E-3</v>
      </c>
      <c r="AU69" s="1">
        <v>53146</v>
      </c>
      <c r="AV69">
        <f t="shared" si="41"/>
        <v>1.1072083333333333E-3</v>
      </c>
      <c r="AX69" s="1">
        <v>50172</v>
      </c>
      <c r="AY69">
        <f t="shared" si="42"/>
        <v>1.04525E-3</v>
      </c>
      <c r="BA69" s="1">
        <v>45750</v>
      </c>
      <c r="BB69">
        <f t="shared" si="43"/>
        <v>9.5312500000000009E-4</v>
      </c>
      <c r="BD69" s="1">
        <v>41328</v>
      </c>
      <c r="BE69">
        <f t="shared" si="44"/>
        <v>8.61E-4</v>
      </c>
      <c r="BG69" s="1">
        <v>38388</v>
      </c>
      <c r="BH69">
        <f t="shared" si="45"/>
        <v>7.9975000000000001E-4</v>
      </c>
      <c r="BJ69" s="1">
        <v>35432</v>
      </c>
      <c r="BK69">
        <f t="shared" si="46"/>
        <v>7.381666666666667E-4</v>
      </c>
      <c r="BM69" s="1">
        <v>33952</v>
      </c>
      <c r="BN69">
        <f t="shared" si="47"/>
        <v>7.0733333333333336E-4</v>
      </c>
      <c r="BP69" s="1">
        <v>31018</v>
      </c>
      <c r="BQ69">
        <f t="shared" si="48"/>
        <v>7.0733333333333336E-4</v>
      </c>
      <c r="BS69" s="1">
        <v>29544</v>
      </c>
      <c r="BT69">
        <f t="shared" si="49"/>
        <v>6.1550000000000005E-4</v>
      </c>
      <c r="BV69" s="1">
        <v>26592</v>
      </c>
      <c r="BW69">
        <f t="shared" si="50"/>
        <v>5.5400000000000002E-4</v>
      </c>
      <c r="BY69" s="1">
        <v>26596</v>
      </c>
      <c r="BZ69">
        <f t="shared" si="51"/>
        <v>5.540833333333334E-4</v>
      </c>
      <c r="CB69" s="1">
        <v>25114</v>
      </c>
      <c r="CC69">
        <f t="shared" si="52"/>
        <v>5.2320833333333332E-4</v>
      </c>
    </row>
    <row r="70" spans="2:81" x14ac:dyDescent="0.2">
      <c r="B70" s="1">
        <v>81538</v>
      </c>
      <c r="C70">
        <f t="shared" si="27"/>
        <v>1.6987083333333335E-3</v>
      </c>
      <c r="E70" s="1">
        <v>81407</v>
      </c>
      <c r="F70">
        <f t="shared" si="28"/>
        <v>1.6959791666666668E-3</v>
      </c>
      <c r="H70" s="1">
        <v>245927</v>
      </c>
      <c r="I70">
        <f t="shared" si="29"/>
        <v>5.1234791666666668E-3</v>
      </c>
      <c r="K70" s="1"/>
      <c r="N70" s="1">
        <v>121573</v>
      </c>
      <c r="O70">
        <f t="shared" si="30"/>
        <v>2.5327708333333335E-3</v>
      </c>
      <c r="P70">
        <v>450</v>
      </c>
      <c r="Q70" s="1">
        <v>54596</v>
      </c>
      <c r="R70">
        <f t="shared" si="31"/>
        <v>1.1374166666666668E-3</v>
      </c>
      <c r="T70" s="1">
        <v>123105</v>
      </c>
      <c r="U70">
        <f t="shared" si="32"/>
        <v>2.5646875000000001E-3</v>
      </c>
      <c r="V70">
        <v>350</v>
      </c>
      <c r="W70" s="1">
        <v>69344</v>
      </c>
      <c r="X70">
        <f t="shared" si="33"/>
        <v>1.4446666666666668E-3</v>
      </c>
      <c r="Y70">
        <v>400</v>
      </c>
      <c r="Z70" s="1">
        <v>61972</v>
      </c>
      <c r="AA70">
        <f t="shared" si="34"/>
        <v>1.2910833333333333E-3</v>
      </c>
      <c r="AB70">
        <v>400</v>
      </c>
      <c r="AC70" s="1">
        <v>61974</v>
      </c>
      <c r="AD70">
        <f t="shared" si="35"/>
        <v>1.2911250000000002E-3</v>
      </c>
      <c r="AE70">
        <v>420</v>
      </c>
      <c r="AF70" s="1">
        <v>59034</v>
      </c>
      <c r="AG70">
        <f t="shared" si="36"/>
        <v>1.2298750000000001E-3</v>
      </c>
      <c r="AI70" s="1">
        <v>54622</v>
      </c>
      <c r="AJ70">
        <f t="shared" si="37"/>
        <v>1.1379583333333335E-3</v>
      </c>
      <c r="AL70" s="1">
        <v>54616</v>
      </c>
      <c r="AM70">
        <f t="shared" si="38"/>
        <v>1.1378333333333334E-3</v>
      </c>
      <c r="AO70" s="1">
        <v>54576</v>
      </c>
      <c r="AP70">
        <f t="shared" si="39"/>
        <v>1.137E-3</v>
      </c>
      <c r="AQ70">
        <v>450</v>
      </c>
      <c r="AR70" s="1">
        <v>54600</v>
      </c>
      <c r="AS70">
        <f t="shared" si="40"/>
        <v>1.1375000000000001E-3</v>
      </c>
      <c r="AU70" s="1">
        <v>53136</v>
      </c>
      <c r="AV70">
        <f t="shared" si="41"/>
        <v>1.1070000000000001E-3</v>
      </c>
      <c r="AX70" s="1">
        <v>50166</v>
      </c>
      <c r="AY70">
        <f t="shared" si="42"/>
        <v>1.045125E-3</v>
      </c>
      <c r="BA70" s="1">
        <v>44274</v>
      </c>
      <c r="BB70">
        <f t="shared" si="43"/>
        <v>9.2237500000000002E-4</v>
      </c>
      <c r="BD70" s="1">
        <v>41324</v>
      </c>
      <c r="BE70">
        <f t="shared" si="44"/>
        <v>8.6091666666666673E-4</v>
      </c>
      <c r="BG70" s="1">
        <v>36914</v>
      </c>
      <c r="BH70">
        <f t="shared" si="45"/>
        <v>7.6904166666666668E-4</v>
      </c>
      <c r="BJ70" s="1">
        <v>35428</v>
      </c>
      <c r="BK70">
        <f t="shared" si="46"/>
        <v>7.3808333333333343E-4</v>
      </c>
      <c r="BM70" s="1">
        <v>32476</v>
      </c>
      <c r="BN70">
        <f t="shared" si="47"/>
        <v>6.765833333333334E-4</v>
      </c>
      <c r="BP70" s="1">
        <v>31018</v>
      </c>
      <c r="BQ70">
        <f t="shared" si="48"/>
        <v>6.765833333333334E-4</v>
      </c>
      <c r="BS70" s="1">
        <v>28072</v>
      </c>
      <c r="BT70">
        <f t="shared" si="49"/>
        <v>5.8483333333333336E-4</v>
      </c>
      <c r="BV70" s="1">
        <v>28064</v>
      </c>
      <c r="BW70">
        <f t="shared" si="50"/>
        <v>5.8466666666666671E-4</v>
      </c>
      <c r="BY70" s="1">
        <v>25122</v>
      </c>
      <c r="BZ70">
        <f t="shared" si="51"/>
        <v>5.2337500000000008E-4</v>
      </c>
      <c r="CB70" s="1">
        <v>25114</v>
      </c>
      <c r="CC70">
        <f t="shared" si="52"/>
        <v>5.2320833333333332E-4</v>
      </c>
    </row>
    <row r="71" spans="2:81" x14ac:dyDescent="0.2">
      <c r="B71" s="1">
        <v>81538</v>
      </c>
      <c r="C71">
        <f t="shared" si="27"/>
        <v>1.6987083333333335E-3</v>
      </c>
      <c r="E71" s="1">
        <v>82602</v>
      </c>
      <c r="F71">
        <f t="shared" si="28"/>
        <v>1.7208750000000002E-3</v>
      </c>
      <c r="H71" s="1">
        <v>246642</v>
      </c>
      <c r="I71">
        <f t="shared" si="29"/>
        <v>5.1383750000000006E-3</v>
      </c>
      <c r="K71" s="1"/>
      <c r="N71" s="1">
        <v>123053</v>
      </c>
      <c r="O71">
        <f t="shared" si="30"/>
        <v>2.5636041666666667E-3</v>
      </c>
      <c r="P71">
        <v>450</v>
      </c>
      <c r="Q71" s="1">
        <v>54600</v>
      </c>
      <c r="R71">
        <f t="shared" si="31"/>
        <v>1.1375000000000001E-3</v>
      </c>
      <c r="T71" s="1">
        <v>123089</v>
      </c>
      <c r="U71">
        <f t="shared" si="32"/>
        <v>2.564354166666667E-3</v>
      </c>
      <c r="V71">
        <v>350</v>
      </c>
      <c r="W71" s="1">
        <v>70810</v>
      </c>
      <c r="X71">
        <f t="shared" si="33"/>
        <v>1.4752083333333334E-3</v>
      </c>
      <c r="Y71">
        <v>400</v>
      </c>
      <c r="Z71" s="1">
        <v>61972</v>
      </c>
      <c r="AA71">
        <f t="shared" si="34"/>
        <v>1.2910833333333333E-3</v>
      </c>
      <c r="AB71">
        <v>400</v>
      </c>
      <c r="AC71" s="1">
        <v>61974</v>
      </c>
      <c r="AD71">
        <f t="shared" si="35"/>
        <v>1.2911250000000002E-3</v>
      </c>
      <c r="AE71">
        <v>420</v>
      </c>
      <c r="AF71" s="1">
        <v>57558</v>
      </c>
      <c r="AG71">
        <f t="shared" si="36"/>
        <v>1.1991250000000001E-3</v>
      </c>
      <c r="AI71" s="1">
        <v>54620</v>
      </c>
      <c r="AJ71">
        <f t="shared" si="37"/>
        <v>1.1379166666666666E-3</v>
      </c>
      <c r="AL71" s="1">
        <v>56092</v>
      </c>
      <c r="AM71">
        <f t="shared" si="38"/>
        <v>1.1685833333333333E-3</v>
      </c>
      <c r="AO71" s="1">
        <v>54576</v>
      </c>
      <c r="AP71">
        <f t="shared" si="39"/>
        <v>1.137E-3</v>
      </c>
      <c r="AQ71">
        <v>450</v>
      </c>
      <c r="AR71" s="1">
        <v>54602</v>
      </c>
      <c r="AS71">
        <f t="shared" si="40"/>
        <v>1.1375416666666667E-3</v>
      </c>
      <c r="AU71" s="1">
        <v>51660</v>
      </c>
      <c r="AV71">
        <f t="shared" si="41"/>
        <v>1.0762500000000002E-3</v>
      </c>
      <c r="AX71" s="1">
        <v>48694</v>
      </c>
      <c r="AY71">
        <f t="shared" si="42"/>
        <v>1.0144583333333334E-3</v>
      </c>
      <c r="BA71" s="1">
        <v>44276</v>
      </c>
      <c r="BB71">
        <f t="shared" si="43"/>
        <v>9.2241666666666676E-4</v>
      </c>
      <c r="BD71" s="1">
        <v>39854</v>
      </c>
      <c r="BE71">
        <f t="shared" si="44"/>
        <v>8.3029166666666668E-4</v>
      </c>
      <c r="BG71" s="1">
        <v>38390</v>
      </c>
      <c r="BH71">
        <f t="shared" si="45"/>
        <v>7.9979166666666675E-4</v>
      </c>
      <c r="BJ71" s="1">
        <v>35430</v>
      </c>
      <c r="BK71">
        <f t="shared" si="46"/>
        <v>7.3812500000000007E-4</v>
      </c>
      <c r="BM71" s="1">
        <v>32476</v>
      </c>
      <c r="BN71">
        <f t="shared" si="47"/>
        <v>6.765833333333334E-4</v>
      </c>
      <c r="BP71" s="1">
        <v>31016</v>
      </c>
      <c r="BQ71">
        <f t="shared" si="48"/>
        <v>6.765833333333334E-4</v>
      </c>
      <c r="BS71" s="1">
        <v>28072</v>
      </c>
      <c r="BT71">
        <f t="shared" si="49"/>
        <v>5.8483333333333336E-4</v>
      </c>
      <c r="BV71" s="1">
        <v>28068</v>
      </c>
      <c r="BW71">
        <f t="shared" si="50"/>
        <v>5.8474999999999998E-4</v>
      </c>
      <c r="BY71" s="1">
        <v>25124</v>
      </c>
      <c r="BZ71">
        <f t="shared" si="51"/>
        <v>5.2341666666666671E-4</v>
      </c>
      <c r="CB71" s="1">
        <v>25114</v>
      </c>
      <c r="CC71">
        <f t="shared" si="52"/>
        <v>5.2320833333333332E-4</v>
      </c>
    </row>
    <row r="72" spans="2:81" x14ac:dyDescent="0.2">
      <c r="B72" s="1">
        <v>81425</v>
      </c>
      <c r="C72">
        <f t="shared" si="27"/>
        <v>1.6963541666666668E-3</v>
      </c>
      <c r="E72" s="1">
        <v>81407</v>
      </c>
      <c r="F72">
        <f t="shared" si="28"/>
        <v>1.6959791666666668E-3</v>
      </c>
      <c r="H72" s="1">
        <v>246156</v>
      </c>
      <c r="I72">
        <f t="shared" si="29"/>
        <v>5.12825E-3</v>
      </c>
      <c r="K72" s="1"/>
      <c r="N72" s="1">
        <v>123059</v>
      </c>
      <c r="O72">
        <f t="shared" si="30"/>
        <v>2.5637291666666668E-3</v>
      </c>
      <c r="P72">
        <v>450</v>
      </c>
      <c r="Q72" s="1">
        <v>54596</v>
      </c>
      <c r="R72">
        <f t="shared" si="31"/>
        <v>1.1374166666666668E-3</v>
      </c>
      <c r="T72" s="1">
        <v>123085</v>
      </c>
      <c r="U72">
        <f t="shared" si="32"/>
        <v>2.5642708333333333E-3</v>
      </c>
      <c r="V72">
        <v>350</v>
      </c>
      <c r="W72" s="1">
        <v>70810</v>
      </c>
      <c r="X72">
        <f t="shared" si="33"/>
        <v>1.4752083333333334E-3</v>
      </c>
      <c r="Y72">
        <v>400</v>
      </c>
      <c r="Z72" s="1">
        <v>61966</v>
      </c>
      <c r="AA72">
        <f t="shared" si="34"/>
        <v>1.2909583333333334E-3</v>
      </c>
      <c r="AB72">
        <v>400</v>
      </c>
      <c r="AC72" s="1">
        <v>61976</v>
      </c>
      <c r="AD72">
        <f t="shared" si="35"/>
        <v>1.2911666666666668E-3</v>
      </c>
      <c r="AE72">
        <v>420</v>
      </c>
      <c r="AF72" s="1">
        <v>59030</v>
      </c>
      <c r="AG72">
        <f t="shared" si="36"/>
        <v>1.2297916666666668E-3</v>
      </c>
      <c r="AI72" s="1">
        <v>56100</v>
      </c>
      <c r="AJ72">
        <f t="shared" si="37"/>
        <v>1.1687500000000001E-3</v>
      </c>
      <c r="AL72" s="1">
        <v>54616</v>
      </c>
      <c r="AM72">
        <f t="shared" si="38"/>
        <v>1.1378333333333334E-3</v>
      </c>
      <c r="AO72" s="1">
        <v>54576</v>
      </c>
      <c r="AP72">
        <f t="shared" si="39"/>
        <v>1.137E-3</v>
      </c>
      <c r="AQ72">
        <v>450</v>
      </c>
      <c r="AR72" s="1">
        <v>54600</v>
      </c>
      <c r="AS72">
        <f t="shared" si="40"/>
        <v>1.1375000000000001E-3</v>
      </c>
      <c r="AU72" s="1">
        <v>53144</v>
      </c>
      <c r="AV72">
        <f t="shared" si="41"/>
        <v>1.1071666666666667E-3</v>
      </c>
      <c r="AX72" s="1">
        <v>48698</v>
      </c>
      <c r="AY72">
        <f t="shared" si="42"/>
        <v>1.0145416666666666E-3</v>
      </c>
      <c r="BA72" s="1">
        <v>44280</v>
      </c>
      <c r="BB72">
        <f t="shared" si="43"/>
        <v>9.2250000000000003E-4</v>
      </c>
      <c r="BD72" s="1">
        <v>39852</v>
      </c>
      <c r="BE72">
        <f t="shared" si="44"/>
        <v>8.3025000000000004E-4</v>
      </c>
      <c r="BG72" s="1">
        <v>38390</v>
      </c>
      <c r="BH72">
        <f t="shared" si="45"/>
        <v>7.9979166666666675E-4</v>
      </c>
      <c r="BJ72" s="1">
        <v>35432</v>
      </c>
      <c r="BK72">
        <f t="shared" si="46"/>
        <v>7.381666666666667E-4</v>
      </c>
      <c r="BM72" s="1">
        <v>32478</v>
      </c>
      <c r="BN72">
        <f t="shared" si="47"/>
        <v>6.7662500000000003E-4</v>
      </c>
      <c r="BP72" s="1">
        <v>31018</v>
      </c>
      <c r="BQ72">
        <f t="shared" si="48"/>
        <v>6.7662500000000003E-4</v>
      </c>
      <c r="BS72" s="1">
        <v>29544</v>
      </c>
      <c r="BT72">
        <f t="shared" si="49"/>
        <v>6.1550000000000005E-4</v>
      </c>
      <c r="BV72" s="1">
        <v>28068</v>
      </c>
      <c r="BW72">
        <f t="shared" si="50"/>
        <v>5.8474999999999998E-4</v>
      </c>
      <c r="BY72" s="1">
        <v>26600</v>
      </c>
      <c r="BZ72">
        <f t="shared" si="51"/>
        <v>5.5416666666666667E-4</v>
      </c>
      <c r="CB72" s="1">
        <v>23642</v>
      </c>
      <c r="CC72">
        <f t="shared" si="52"/>
        <v>4.9254166666666674E-4</v>
      </c>
    </row>
    <row r="73" spans="2:81" x14ac:dyDescent="0.2">
      <c r="B73" s="1">
        <v>81825</v>
      </c>
      <c r="C73">
        <f t="shared" si="27"/>
        <v>1.7046875E-3</v>
      </c>
      <c r="E73" s="1">
        <v>81126</v>
      </c>
      <c r="F73">
        <f t="shared" si="28"/>
        <v>1.690125E-3</v>
      </c>
      <c r="H73" s="1">
        <v>245127</v>
      </c>
      <c r="I73">
        <f t="shared" si="29"/>
        <v>5.1068125000000002E-3</v>
      </c>
      <c r="K73" s="1"/>
      <c r="N73" s="1">
        <v>123055</v>
      </c>
      <c r="O73">
        <f t="shared" si="30"/>
        <v>2.5636458333333336E-3</v>
      </c>
      <c r="P73">
        <v>450</v>
      </c>
      <c r="Q73" s="1">
        <v>54600</v>
      </c>
      <c r="R73">
        <f t="shared" si="31"/>
        <v>1.1375000000000001E-3</v>
      </c>
      <c r="T73" s="1">
        <v>123089</v>
      </c>
      <c r="U73">
        <f t="shared" si="32"/>
        <v>2.564354166666667E-3</v>
      </c>
      <c r="V73">
        <v>350</v>
      </c>
      <c r="W73" s="1">
        <v>69344</v>
      </c>
      <c r="X73">
        <f t="shared" si="33"/>
        <v>1.4446666666666668E-3</v>
      </c>
      <c r="Y73">
        <v>400</v>
      </c>
      <c r="Z73" s="1">
        <v>61966</v>
      </c>
      <c r="AA73">
        <f t="shared" si="34"/>
        <v>1.2909583333333334E-3</v>
      </c>
      <c r="AB73">
        <v>400</v>
      </c>
      <c r="AC73" s="1">
        <v>61974</v>
      </c>
      <c r="AD73">
        <f t="shared" si="35"/>
        <v>1.2911250000000002E-3</v>
      </c>
      <c r="AE73">
        <v>420</v>
      </c>
      <c r="AF73" s="1">
        <v>57548</v>
      </c>
      <c r="AG73">
        <f t="shared" si="36"/>
        <v>1.1989166666666667E-3</v>
      </c>
      <c r="AI73" s="1">
        <v>54626</v>
      </c>
      <c r="AJ73">
        <f t="shared" si="37"/>
        <v>1.1380416666666668E-3</v>
      </c>
      <c r="AL73" s="1">
        <v>54616</v>
      </c>
      <c r="AM73">
        <f t="shared" si="38"/>
        <v>1.1378333333333334E-3</v>
      </c>
      <c r="AO73" s="1">
        <v>56056</v>
      </c>
      <c r="AP73">
        <f t="shared" si="39"/>
        <v>1.1678333333333334E-3</v>
      </c>
      <c r="AQ73">
        <v>450</v>
      </c>
      <c r="AR73" s="1">
        <v>54600</v>
      </c>
      <c r="AS73">
        <f t="shared" si="40"/>
        <v>1.1375000000000001E-3</v>
      </c>
      <c r="AU73" s="1">
        <v>51654</v>
      </c>
      <c r="AV73">
        <f t="shared" si="41"/>
        <v>1.076125E-3</v>
      </c>
      <c r="AX73" s="1">
        <v>48696</v>
      </c>
      <c r="AY73">
        <f t="shared" si="42"/>
        <v>1.0145E-3</v>
      </c>
      <c r="BA73" s="1">
        <v>44276</v>
      </c>
      <c r="BB73">
        <f t="shared" si="43"/>
        <v>9.2241666666666676E-4</v>
      </c>
      <c r="BD73" s="1">
        <v>41326</v>
      </c>
      <c r="BE73">
        <f t="shared" si="44"/>
        <v>8.6095833333333337E-4</v>
      </c>
      <c r="BG73" s="1">
        <v>38392</v>
      </c>
      <c r="BH73">
        <f t="shared" si="45"/>
        <v>7.9983333333333339E-4</v>
      </c>
      <c r="BJ73" s="1">
        <v>35430</v>
      </c>
      <c r="BK73">
        <f t="shared" si="46"/>
        <v>7.3812500000000007E-4</v>
      </c>
      <c r="BM73" s="1">
        <v>32476</v>
      </c>
      <c r="BN73">
        <f t="shared" si="47"/>
        <v>6.765833333333334E-4</v>
      </c>
      <c r="BP73" s="1">
        <v>31016</v>
      </c>
      <c r="BQ73">
        <f t="shared" si="48"/>
        <v>6.765833333333334E-4</v>
      </c>
      <c r="BS73" s="1">
        <v>29546</v>
      </c>
      <c r="BT73">
        <f t="shared" si="49"/>
        <v>6.1554166666666669E-4</v>
      </c>
      <c r="BV73" s="1">
        <v>26596</v>
      </c>
      <c r="BW73">
        <f t="shared" si="50"/>
        <v>5.540833333333334E-4</v>
      </c>
      <c r="BY73" s="1">
        <v>25120</v>
      </c>
      <c r="BZ73">
        <f t="shared" si="51"/>
        <v>5.2333333333333333E-4</v>
      </c>
      <c r="CB73" s="1">
        <v>25116</v>
      </c>
      <c r="CC73">
        <f t="shared" si="52"/>
        <v>5.2325000000000006E-4</v>
      </c>
    </row>
    <row r="74" spans="2:81" x14ac:dyDescent="0.2">
      <c r="B74" s="1">
        <v>81542</v>
      </c>
      <c r="C74">
        <f t="shared" si="27"/>
        <v>1.6987916666666668E-3</v>
      </c>
      <c r="E74" s="1">
        <v>82604</v>
      </c>
      <c r="F74">
        <f t="shared" si="28"/>
        <v>1.7209166666666668E-3</v>
      </c>
      <c r="H74" s="1">
        <v>245826</v>
      </c>
      <c r="I74">
        <f t="shared" si="29"/>
        <v>5.1213750000000001E-3</v>
      </c>
      <c r="K74" s="1"/>
      <c r="N74" s="1">
        <v>123063</v>
      </c>
      <c r="O74">
        <f t="shared" si="30"/>
        <v>2.5638125000000001E-3</v>
      </c>
      <c r="P74">
        <v>450</v>
      </c>
      <c r="Q74" s="1">
        <v>54600</v>
      </c>
      <c r="R74">
        <f t="shared" si="31"/>
        <v>1.1375000000000001E-3</v>
      </c>
      <c r="T74" s="1">
        <v>121615</v>
      </c>
      <c r="U74">
        <f t="shared" si="32"/>
        <v>2.5336458333333335E-3</v>
      </c>
      <c r="V74">
        <v>350</v>
      </c>
      <c r="W74" s="1">
        <v>69342</v>
      </c>
      <c r="X74">
        <f t="shared" si="33"/>
        <v>1.4446250000000002E-3</v>
      </c>
      <c r="Y74">
        <v>400</v>
      </c>
      <c r="Z74" s="1">
        <v>61970</v>
      </c>
      <c r="AA74">
        <f t="shared" si="34"/>
        <v>1.2910416666666667E-3</v>
      </c>
      <c r="AB74">
        <v>400</v>
      </c>
      <c r="AC74" s="1">
        <v>61972</v>
      </c>
      <c r="AD74">
        <f t="shared" si="35"/>
        <v>1.2910833333333333E-3</v>
      </c>
      <c r="AE74">
        <v>420</v>
      </c>
      <c r="AF74" s="1">
        <v>59022</v>
      </c>
      <c r="AG74">
        <f t="shared" si="36"/>
        <v>1.229625E-3</v>
      </c>
      <c r="AI74" s="1">
        <v>54616</v>
      </c>
      <c r="AJ74">
        <f t="shared" si="37"/>
        <v>1.1378333333333334E-3</v>
      </c>
      <c r="AL74" s="1">
        <v>56094</v>
      </c>
      <c r="AM74">
        <f t="shared" si="38"/>
        <v>1.1686250000000002E-3</v>
      </c>
      <c r="AO74" s="1">
        <v>54582</v>
      </c>
      <c r="AP74">
        <f t="shared" si="39"/>
        <v>1.1371250000000001E-3</v>
      </c>
      <c r="AQ74">
        <v>450</v>
      </c>
      <c r="AR74" s="1">
        <v>54600</v>
      </c>
      <c r="AS74">
        <f t="shared" si="40"/>
        <v>1.1375000000000001E-3</v>
      </c>
      <c r="AU74" s="1">
        <v>53134</v>
      </c>
      <c r="AV74">
        <f t="shared" si="41"/>
        <v>1.1069583333333335E-3</v>
      </c>
      <c r="AX74" s="1">
        <v>48696</v>
      </c>
      <c r="AY74">
        <f t="shared" si="42"/>
        <v>1.0145E-3</v>
      </c>
      <c r="BA74" s="1">
        <v>45746</v>
      </c>
      <c r="BB74">
        <f t="shared" si="43"/>
        <v>9.5304166666666671E-4</v>
      </c>
      <c r="BD74" s="1">
        <v>41330</v>
      </c>
      <c r="BE74">
        <f t="shared" si="44"/>
        <v>8.6104166666666675E-4</v>
      </c>
      <c r="BG74" s="1">
        <v>38390</v>
      </c>
      <c r="BH74">
        <f t="shared" si="45"/>
        <v>7.9979166666666675E-4</v>
      </c>
      <c r="BJ74" s="1">
        <v>35432</v>
      </c>
      <c r="BK74">
        <f t="shared" si="46"/>
        <v>7.381666666666667E-4</v>
      </c>
      <c r="BM74" s="1">
        <v>33950</v>
      </c>
      <c r="BN74">
        <f t="shared" si="47"/>
        <v>7.0729166666666672E-4</v>
      </c>
      <c r="BP74" s="1">
        <v>31016</v>
      </c>
      <c r="BQ74">
        <f t="shared" si="48"/>
        <v>7.0729166666666672E-4</v>
      </c>
      <c r="BS74" s="1">
        <v>29546</v>
      </c>
      <c r="BT74">
        <f t="shared" si="49"/>
        <v>6.1554166666666669E-4</v>
      </c>
      <c r="BV74" s="1">
        <v>26594</v>
      </c>
      <c r="BW74">
        <f t="shared" si="50"/>
        <v>5.5404166666666666E-4</v>
      </c>
      <c r="BY74" s="1">
        <v>26596</v>
      </c>
      <c r="BZ74">
        <f t="shared" si="51"/>
        <v>5.540833333333334E-4</v>
      </c>
      <c r="CB74" s="1">
        <v>23640</v>
      </c>
      <c r="CC74">
        <f t="shared" si="52"/>
        <v>4.9249999999999999E-4</v>
      </c>
    </row>
    <row r="75" spans="2:81" x14ac:dyDescent="0.2">
      <c r="B75" s="1">
        <v>81431</v>
      </c>
      <c r="C75">
        <f t="shared" si="27"/>
        <v>1.6964791666666667E-3</v>
      </c>
      <c r="E75" s="1">
        <v>82600</v>
      </c>
      <c r="F75">
        <f t="shared" si="28"/>
        <v>1.7208333333333333E-3</v>
      </c>
      <c r="H75" s="1">
        <v>245327</v>
      </c>
      <c r="I75">
        <f t="shared" si="29"/>
        <v>5.1109791666666673E-3</v>
      </c>
      <c r="K75" s="1"/>
      <c r="N75" s="1">
        <v>121575</v>
      </c>
      <c r="O75">
        <f t="shared" si="30"/>
        <v>2.5328125000000003E-3</v>
      </c>
      <c r="P75">
        <v>450</v>
      </c>
      <c r="Q75" s="1">
        <v>56074</v>
      </c>
      <c r="R75">
        <f t="shared" si="31"/>
        <v>1.1682083333333334E-3</v>
      </c>
      <c r="T75" s="1">
        <v>123091</v>
      </c>
      <c r="U75">
        <f t="shared" si="32"/>
        <v>2.5643958333333335E-3</v>
      </c>
      <c r="V75">
        <v>350</v>
      </c>
      <c r="W75" s="1">
        <v>70820</v>
      </c>
      <c r="X75">
        <f t="shared" si="33"/>
        <v>1.4754166666666668E-3</v>
      </c>
      <c r="Y75">
        <v>400</v>
      </c>
      <c r="Z75" s="1">
        <v>61970</v>
      </c>
      <c r="AA75">
        <f t="shared" si="34"/>
        <v>1.2910416666666667E-3</v>
      </c>
      <c r="AB75">
        <v>400</v>
      </c>
      <c r="AC75" s="1">
        <v>60498</v>
      </c>
      <c r="AD75">
        <f t="shared" si="35"/>
        <v>1.260375E-3</v>
      </c>
      <c r="AE75">
        <v>420</v>
      </c>
      <c r="AF75" s="1">
        <v>59020</v>
      </c>
      <c r="AG75">
        <f t="shared" si="36"/>
        <v>1.2295833333333334E-3</v>
      </c>
      <c r="AI75" s="1">
        <v>56094</v>
      </c>
      <c r="AJ75">
        <f t="shared" si="37"/>
        <v>1.1686250000000002E-3</v>
      </c>
      <c r="AL75" s="1">
        <v>54620</v>
      </c>
      <c r="AM75">
        <f t="shared" si="38"/>
        <v>1.1379166666666666E-3</v>
      </c>
      <c r="AO75" s="1">
        <v>54578</v>
      </c>
      <c r="AP75">
        <f t="shared" si="39"/>
        <v>1.1370416666666668E-3</v>
      </c>
      <c r="AR75" s="1">
        <v>54594</v>
      </c>
      <c r="AS75">
        <f t="shared" si="40"/>
        <v>1.1373750000000001E-3</v>
      </c>
      <c r="AU75" s="1">
        <v>51658</v>
      </c>
      <c r="AV75">
        <f t="shared" si="41"/>
        <v>1.0762083333333333E-3</v>
      </c>
      <c r="AX75" s="1">
        <v>48696</v>
      </c>
      <c r="AY75">
        <f t="shared" si="42"/>
        <v>1.0145E-3</v>
      </c>
      <c r="BA75" s="1">
        <v>45750</v>
      </c>
      <c r="BB75">
        <f t="shared" si="43"/>
        <v>9.5312500000000009E-4</v>
      </c>
      <c r="BD75" s="1">
        <v>39850</v>
      </c>
      <c r="BE75">
        <f t="shared" si="44"/>
        <v>8.3020833333333341E-4</v>
      </c>
      <c r="BG75" s="1">
        <v>38382</v>
      </c>
      <c r="BH75">
        <f t="shared" si="45"/>
        <v>7.996250000000001E-4</v>
      </c>
      <c r="BJ75" s="1">
        <v>35426</v>
      </c>
      <c r="BK75">
        <f t="shared" si="46"/>
        <v>7.3804166666666669E-4</v>
      </c>
      <c r="BM75" s="1">
        <v>32478</v>
      </c>
      <c r="BN75">
        <f t="shared" si="47"/>
        <v>6.7662500000000003E-4</v>
      </c>
      <c r="BP75" s="1">
        <v>29546</v>
      </c>
      <c r="BQ75">
        <f t="shared" si="48"/>
        <v>6.7662500000000003E-4</v>
      </c>
      <c r="BS75" s="1">
        <v>29544</v>
      </c>
      <c r="BT75">
        <f t="shared" si="49"/>
        <v>6.1550000000000005E-4</v>
      </c>
      <c r="BV75" s="1">
        <v>28068</v>
      </c>
      <c r="BW75">
        <f t="shared" si="50"/>
        <v>5.8474999999999998E-4</v>
      </c>
      <c r="BY75" s="1">
        <v>26598</v>
      </c>
      <c r="BZ75">
        <f t="shared" si="51"/>
        <v>5.5412500000000004E-4</v>
      </c>
      <c r="CB75" s="1">
        <v>25114</v>
      </c>
      <c r="CC75">
        <f t="shared" si="52"/>
        <v>5.2320833333333332E-4</v>
      </c>
    </row>
    <row r="76" spans="2:81" x14ac:dyDescent="0.2">
      <c r="B76" s="1">
        <v>81538</v>
      </c>
      <c r="C76">
        <f t="shared" si="27"/>
        <v>1.6987083333333335E-3</v>
      </c>
      <c r="E76" s="1">
        <v>82604</v>
      </c>
      <c r="F76">
        <f t="shared" si="28"/>
        <v>1.7209166666666668E-3</v>
      </c>
      <c r="H76" s="1">
        <v>245165</v>
      </c>
      <c r="I76">
        <f t="shared" si="29"/>
        <v>5.1076041666666674E-3</v>
      </c>
      <c r="K76" s="1"/>
      <c r="N76" s="1">
        <v>123055</v>
      </c>
      <c r="O76">
        <f t="shared" si="30"/>
        <v>2.5636458333333336E-3</v>
      </c>
      <c r="P76">
        <v>450</v>
      </c>
      <c r="Q76" s="1">
        <v>54602</v>
      </c>
      <c r="R76">
        <f t="shared" si="31"/>
        <v>1.1375416666666667E-3</v>
      </c>
      <c r="T76" s="1">
        <v>121609</v>
      </c>
      <c r="U76">
        <f t="shared" si="32"/>
        <v>2.5335208333333334E-3</v>
      </c>
      <c r="V76">
        <v>350</v>
      </c>
      <c r="W76" s="1">
        <v>70812</v>
      </c>
      <c r="X76">
        <f t="shared" si="33"/>
        <v>1.47525E-3</v>
      </c>
      <c r="Y76">
        <v>400</v>
      </c>
      <c r="Z76" s="1">
        <v>61966</v>
      </c>
      <c r="AA76">
        <f t="shared" si="34"/>
        <v>1.2909583333333334E-3</v>
      </c>
      <c r="AB76">
        <v>400</v>
      </c>
      <c r="AC76" s="1">
        <v>61972</v>
      </c>
      <c r="AD76">
        <f t="shared" si="35"/>
        <v>1.2910833333333333E-3</v>
      </c>
      <c r="AE76">
        <v>420</v>
      </c>
      <c r="AF76" s="1">
        <v>59020</v>
      </c>
      <c r="AG76">
        <f t="shared" si="36"/>
        <v>1.2295833333333334E-3</v>
      </c>
      <c r="AI76" s="1">
        <v>54620</v>
      </c>
      <c r="AJ76">
        <f t="shared" si="37"/>
        <v>1.1379166666666666E-3</v>
      </c>
      <c r="AL76" s="1">
        <v>54616</v>
      </c>
      <c r="AM76">
        <f t="shared" si="38"/>
        <v>1.1378333333333334E-3</v>
      </c>
      <c r="AO76" s="1">
        <v>54578</v>
      </c>
      <c r="AP76">
        <f t="shared" si="39"/>
        <v>1.1370416666666668E-3</v>
      </c>
      <c r="AR76" s="1">
        <v>54594</v>
      </c>
      <c r="AS76">
        <f t="shared" si="40"/>
        <v>1.1373750000000001E-3</v>
      </c>
      <c r="AU76" s="1">
        <v>53134</v>
      </c>
      <c r="AV76">
        <f t="shared" si="41"/>
        <v>1.1069583333333335E-3</v>
      </c>
      <c r="AX76" s="1">
        <v>48696</v>
      </c>
      <c r="AY76">
        <f t="shared" si="42"/>
        <v>1.0145E-3</v>
      </c>
      <c r="BA76" s="1">
        <v>44278</v>
      </c>
      <c r="BB76">
        <f t="shared" si="43"/>
        <v>9.224583333333334E-4</v>
      </c>
      <c r="BD76" s="1">
        <v>41328</v>
      </c>
      <c r="BE76">
        <f t="shared" si="44"/>
        <v>8.61E-4</v>
      </c>
      <c r="BG76" s="1">
        <v>36910</v>
      </c>
      <c r="BH76">
        <f t="shared" si="45"/>
        <v>7.6895833333333341E-4</v>
      </c>
      <c r="BJ76" s="1">
        <v>35428</v>
      </c>
      <c r="BK76">
        <f t="shared" si="46"/>
        <v>7.3808333333333343E-4</v>
      </c>
      <c r="BM76" s="1">
        <v>32478</v>
      </c>
      <c r="BN76">
        <f t="shared" si="47"/>
        <v>6.7662500000000003E-4</v>
      </c>
      <c r="BP76" s="1">
        <v>29544</v>
      </c>
      <c r="BQ76">
        <f t="shared" si="48"/>
        <v>6.7662500000000003E-4</v>
      </c>
      <c r="BS76" s="1">
        <v>29544</v>
      </c>
      <c r="BT76">
        <f t="shared" si="49"/>
        <v>6.1550000000000005E-4</v>
      </c>
      <c r="BV76" s="1">
        <v>28066</v>
      </c>
      <c r="BW76">
        <f t="shared" si="50"/>
        <v>5.8470833333333335E-4</v>
      </c>
      <c r="BY76" s="1">
        <v>26598</v>
      </c>
      <c r="BZ76">
        <f t="shared" si="51"/>
        <v>5.5412500000000004E-4</v>
      </c>
      <c r="CB76" s="1">
        <v>23642</v>
      </c>
      <c r="CC76">
        <f t="shared" si="52"/>
        <v>4.9254166666666674E-4</v>
      </c>
    </row>
    <row r="77" spans="2:81" x14ac:dyDescent="0.2">
      <c r="B77" s="1">
        <v>81815</v>
      </c>
      <c r="C77">
        <f t="shared" si="27"/>
        <v>1.7044791666666669E-3</v>
      </c>
      <c r="E77" s="1">
        <v>81126</v>
      </c>
      <c r="F77">
        <f t="shared" si="28"/>
        <v>1.690125E-3</v>
      </c>
      <c r="H77" s="1">
        <v>245946</v>
      </c>
      <c r="I77">
        <f t="shared" si="29"/>
        <v>5.123875E-3</v>
      </c>
      <c r="K77" s="1"/>
      <c r="N77" s="1">
        <v>123061</v>
      </c>
      <c r="O77">
        <f t="shared" si="30"/>
        <v>2.5637708333333337E-3</v>
      </c>
      <c r="P77">
        <v>450</v>
      </c>
      <c r="Q77" s="1">
        <v>56076</v>
      </c>
      <c r="R77">
        <f t="shared" si="31"/>
        <v>1.16825E-3</v>
      </c>
      <c r="T77" s="1"/>
      <c r="W77" s="1">
        <v>69338</v>
      </c>
      <c r="X77">
        <f t="shared" si="33"/>
        <v>1.4445416666666667E-3</v>
      </c>
      <c r="Y77">
        <v>400</v>
      </c>
      <c r="Z77" s="1">
        <v>60490</v>
      </c>
      <c r="AA77">
        <f t="shared" si="34"/>
        <v>1.2602083333333334E-3</v>
      </c>
      <c r="AB77">
        <v>400</v>
      </c>
      <c r="AC77" s="1">
        <v>61970</v>
      </c>
      <c r="AD77">
        <f t="shared" si="35"/>
        <v>1.2910416666666667E-3</v>
      </c>
      <c r="AE77">
        <v>420</v>
      </c>
      <c r="AF77" s="1">
        <v>57552</v>
      </c>
      <c r="AG77">
        <f t="shared" si="36"/>
        <v>1.199E-3</v>
      </c>
      <c r="AI77" s="1">
        <v>54622</v>
      </c>
      <c r="AJ77">
        <f t="shared" si="37"/>
        <v>1.1379583333333335E-3</v>
      </c>
      <c r="AL77" s="1">
        <v>56090</v>
      </c>
      <c r="AM77">
        <f t="shared" si="38"/>
        <v>1.1685416666666667E-3</v>
      </c>
      <c r="AO77" s="1">
        <v>54578</v>
      </c>
      <c r="AP77">
        <f t="shared" si="39"/>
        <v>1.1370416666666668E-3</v>
      </c>
      <c r="AR77" s="1">
        <v>54600</v>
      </c>
      <c r="AS77">
        <f t="shared" si="40"/>
        <v>1.1375000000000001E-3</v>
      </c>
      <c r="AU77" s="1">
        <v>53136</v>
      </c>
      <c r="AV77">
        <f t="shared" si="41"/>
        <v>1.1070000000000001E-3</v>
      </c>
      <c r="AX77" s="1">
        <v>50170</v>
      </c>
      <c r="AY77">
        <f t="shared" si="42"/>
        <v>1.0452083333333333E-3</v>
      </c>
      <c r="BA77" s="1">
        <v>44272</v>
      </c>
      <c r="BB77">
        <f t="shared" si="43"/>
        <v>9.2233333333333338E-4</v>
      </c>
      <c r="BD77" s="1">
        <v>41330</v>
      </c>
      <c r="BE77">
        <f t="shared" si="44"/>
        <v>8.6104166666666675E-4</v>
      </c>
      <c r="BG77" s="1">
        <v>38388</v>
      </c>
      <c r="BH77">
        <f t="shared" si="45"/>
        <v>7.9975000000000001E-4</v>
      </c>
      <c r="BJ77" s="1">
        <v>35430</v>
      </c>
      <c r="BK77">
        <f t="shared" si="46"/>
        <v>7.3812500000000007E-4</v>
      </c>
      <c r="BM77" s="1">
        <v>33950</v>
      </c>
      <c r="BN77">
        <f t="shared" si="47"/>
        <v>7.0729166666666672E-4</v>
      </c>
      <c r="BP77" s="1">
        <v>29544</v>
      </c>
      <c r="BQ77">
        <f t="shared" si="48"/>
        <v>7.0729166666666672E-4</v>
      </c>
      <c r="BS77" s="1">
        <v>29542</v>
      </c>
      <c r="BT77">
        <f t="shared" si="49"/>
        <v>6.1545833333333342E-4</v>
      </c>
      <c r="BV77" s="1">
        <v>28066</v>
      </c>
      <c r="BW77">
        <f t="shared" si="50"/>
        <v>5.8470833333333335E-4</v>
      </c>
      <c r="BY77" s="1">
        <v>26596</v>
      </c>
      <c r="BZ77">
        <f t="shared" si="51"/>
        <v>5.540833333333334E-4</v>
      </c>
      <c r="CB77" s="1">
        <v>25114</v>
      </c>
      <c r="CC77">
        <f t="shared" si="52"/>
        <v>5.2320833333333332E-4</v>
      </c>
    </row>
    <row r="78" spans="2:81" x14ac:dyDescent="0.2">
      <c r="B78" s="1">
        <v>80351</v>
      </c>
      <c r="C78">
        <f t="shared" si="27"/>
        <v>1.6739791666666667E-3</v>
      </c>
      <c r="E78" s="1">
        <v>82610</v>
      </c>
      <c r="F78">
        <f t="shared" si="28"/>
        <v>1.7210416666666667E-3</v>
      </c>
      <c r="H78" s="1">
        <v>246500</v>
      </c>
      <c r="I78">
        <f t="shared" si="29"/>
        <v>5.1354166666666666E-3</v>
      </c>
      <c r="K78" s="1"/>
      <c r="N78" s="1">
        <v>123057</v>
      </c>
      <c r="O78">
        <f t="shared" si="30"/>
        <v>2.5636875E-3</v>
      </c>
      <c r="P78">
        <v>450</v>
      </c>
      <c r="Q78" s="1">
        <v>54600</v>
      </c>
      <c r="R78">
        <f t="shared" si="31"/>
        <v>1.1375000000000001E-3</v>
      </c>
      <c r="T78" s="1">
        <v>123091</v>
      </c>
      <c r="U78">
        <f t="shared" si="32"/>
        <v>2.5643958333333335E-3</v>
      </c>
      <c r="W78" s="1">
        <v>70820</v>
      </c>
      <c r="X78">
        <f t="shared" si="33"/>
        <v>1.4754166666666668E-3</v>
      </c>
      <c r="Y78">
        <v>400</v>
      </c>
      <c r="Z78" s="1">
        <v>61970</v>
      </c>
      <c r="AA78">
        <f t="shared" si="34"/>
        <v>1.2910416666666667E-3</v>
      </c>
      <c r="AB78">
        <v>400</v>
      </c>
      <c r="AC78" s="1">
        <v>61974</v>
      </c>
      <c r="AD78">
        <f t="shared" si="35"/>
        <v>1.2911250000000002E-3</v>
      </c>
      <c r="AE78">
        <v>420</v>
      </c>
      <c r="AF78" s="1">
        <v>59024</v>
      </c>
      <c r="AG78">
        <f t="shared" si="36"/>
        <v>1.2296666666666667E-3</v>
      </c>
      <c r="AI78" s="1">
        <v>56100</v>
      </c>
      <c r="AJ78">
        <f t="shared" si="37"/>
        <v>1.1687500000000001E-3</v>
      </c>
      <c r="AL78" s="1">
        <v>54620</v>
      </c>
      <c r="AM78">
        <f t="shared" si="38"/>
        <v>1.1379166666666666E-3</v>
      </c>
      <c r="AO78" s="1">
        <v>56054</v>
      </c>
      <c r="AP78">
        <f t="shared" si="39"/>
        <v>1.1677916666666668E-3</v>
      </c>
      <c r="AR78" s="1">
        <v>54594</v>
      </c>
      <c r="AS78">
        <f t="shared" si="40"/>
        <v>1.1373750000000001E-3</v>
      </c>
      <c r="AU78" s="1">
        <v>53138</v>
      </c>
      <c r="AV78">
        <f t="shared" si="41"/>
        <v>1.1070416666666668E-3</v>
      </c>
      <c r="AX78" s="1">
        <v>50170</v>
      </c>
      <c r="AY78">
        <f t="shared" si="42"/>
        <v>1.0452083333333333E-3</v>
      </c>
      <c r="BA78" s="1">
        <v>44278</v>
      </c>
      <c r="BB78">
        <f t="shared" si="43"/>
        <v>9.224583333333334E-4</v>
      </c>
      <c r="BD78" s="1">
        <v>41328</v>
      </c>
      <c r="BE78">
        <f t="shared" si="44"/>
        <v>8.61E-4</v>
      </c>
      <c r="BG78" s="1">
        <v>38388</v>
      </c>
      <c r="BH78">
        <f t="shared" si="45"/>
        <v>7.9975000000000001E-4</v>
      </c>
      <c r="BJ78" s="1">
        <v>35430</v>
      </c>
      <c r="BK78">
        <f t="shared" si="46"/>
        <v>7.3812500000000007E-4</v>
      </c>
      <c r="BM78" s="1">
        <v>32476</v>
      </c>
      <c r="BN78">
        <f t="shared" si="47"/>
        <v>6.765833333333334E-4</v>
      </c>
      <c r="BP78" s="1">
        <v>31018</v>
      </c>
      <c r="BQ78">
        <f t="shared" si="48"/>
        <v>6.765833333333334E-4</v>
      </c>
      <c r="BS78" s="1">
        <v>29544</v>
      </c>
      <c r="BT78">
        <f t="shared" si="49"/>
        <v>6.1550000000000005E-4</v>
      </c>
      <c r="BV78" s="1">
        <v>28066</v>
      </c>
      <c r="BW78">
        <f t="shared" si="50"/>
        <v>5.8470833333333335E-4</v>
      </c>
      <c r="BY78" s="1">
        <v>25118</v>
      </c>
      <c r="BZ78">
        <f t="shared" si="51"/>
        <v>5.232916666666667E-4</v>
      </c>
      <c r="CB78" s="1">
        <v>23640</v>
      </c>
      <c r="CC78">
        <f t="shared" si="52"/>
        <v>4.9249999999999999E-4</v>
      </c>
    </row>
    <row r="79" spans="2:81" x14ac:dyDescent="0.2">
      <c r="B79" s="1">
        <v>81431</v>
      </c>
      <c r="C79">
        <f t="shared" si="27"/>
        <v>1.6964791666666667E-3</v>
      </c>
      <c r="E79" s="1">
        <v>81134</v>
      </c>
      <c r="F79">
        <f t="shared" si="28"/>
        <v>1.6902916666666668E-3</v>
      </c>
      <c r="H79" s="1">
        <v>245847</v>
      </c>
      <c r="I79">
        <f t="shared" si="29"/>
        <v>5.1218125000000005E-3</v>
      </c>
      <c r="K79" s="1"/>
      <c r="N79" s="1">
        <v>123061</v>
      </c>
      <c r="O79">
        <f t="shared" si="30"/>
        <v>2.5637708333333337E-3</v>
      </c>
      <c r="P79">
        <v>450</v>
      </c>
      <c r="Q79" s="1">
        <v>54596</v>
      </c>
      <c r="R79">
        <f t="shared" si="31"/>
        <v>1.1374166666666668E-3</v>
      </c>
      <c r="T79" s="1">
        <v>123083</v>
      </c>
      <c r="U79">
        <f t="shared" si="32"/>
        <v>2.5642291666666669E-3</v>
      </c>
      <c r="W79" s="1">
        <v>70812</v>
      </c>
      <c r="X79">
        <f t="shared" si="33"/>
        <v>1.47525E-3</v>
      </c>
      <c r="Y79">
        <v>400</v>
      </c>
      <c r="Z79" s="1">
        <v>61968</v>
      </c>
      <c r="AA79">
        <f t="shared" si="34"/>
        <v>1.291E-3</v>
      </c>
      <c r="AB79">
        <v>400</v>
      </c>
      <c r="AC79" s="1">
        <v>61970</v>
      </c>
      <c r="AD79">
        <f t="shared" si="35"/>
        <v>1.2910416666666667E-3</v>
      </c>
      <c r="AE79">
        <v>420</v>
      </c>
      <c r="AF79" s="1">
        <v>59024</v>
      </c>
      <c r="AG79">
        <f t="shared" si="36"/>
        <v>1.2296666666666667E-3</v>
      </c>
      <c r="AI79" s="1">
        <v>54628</v>
      </c>
      <c r="AJ79">
        <f t="shared" si="37"/>
        <v>1.1380833333333334E-3</v>
      </c>
      <c r="AL79" s="1">
        <v>56090</v>
      </c>
      <c r="AM79">
        <f t="shared" si="38"/>
        <v>1.1685416666666667E-3</v>
      </c>
      <c r="AO79" s="1">
        <v>54582</v>
      </c>
      <c r="AP79">
        <f t="shared" si="39"/>
        <v>1.1371250000000001E-3</v>
      </c>
      <c r="AR79" s="1">
        <v>54596</v>
      </c>
      <c r="AS79">
        <f t="shared" si="40"/>
        <v>1.1374166666666668E-3</v>
      </c>
      <c r="AU79" s="1">
        <v>53138</v>
      </c>
      <c r="AV79">
        <f t="shared" si="41"/>
        <v>1.1070416666666668E-3</v>
      </c>
      <c r="AX79" s="1">
        <v>50168</v>
      </c>
      <c r="AY79">
        <f t="shared" si="42"/>
        <v>1.0451666666666667E-3</v>
      </c>
      <c r="BA79" s="1">
        <v>44276</v>
      </c>
      <c r="BB79">
        <f t="shared" si="43"/>
        <v>9.2241666666666676E-4</v>
      </c>
      <c r="BD79" s="1">
        <v>39852</v>
      </c>
      <c r="BE79">
        <f t="shared" si="44"/>
        <v>8.3025000000000004E-4</v>
      </c>
      <c r="BG79" s="1">
        <v>38388</v>
      </c>
      <c r="BH79">
        <f t="shared" si="45"/>
        <v>7.9975000000000001E-4</v>
      </c>
      <c r="BJ79" s="1">
        <v>35430</v>
      </c>
      <c r="BK79">
        <f t="shared" si="46"/>
        <v>7.3812500000000007E-4</v>
      </c>
      <c r="BM79" s="1">
        <v>32478</v>
      </c>
      <c r="BN79">
        <f t="shared" si="47"/>
        <v>6.7662500000000003E-4</v>
      </c>
      <c r="BP79" s="1">
        <v>31020</v>
      </c>
      <c r="BQ79">
        <f t="shared" si="48"/>
        <v>6.7662500000000003E-4</v>
      </c>
      <c r="BS79" s="1">
        <v>29544</v>
      </c>
      <c r="BT79">
        <f t="shared" si="49"/>
        <v>6.1550000000000005E-4</v>
      </c>
      <c r="BV79" s="1">
        <v>26592</v>
      </c>
      <c r="BW79">
        <f t="shared" si="50"/>
        <v>5.5400000000000002E-4</v>
      </c>
      <c r="BY79" s="1">
        <v>25120</v>
      </c>
      <c r="BZ79">
        <f t="shared" si="51"/>
        <v>5.2333333333333333E-4</v>
      </c>
      <c r="CB79" s="1">
        <v>25118</v>
      </c>
      <c r="CC79">
        <f t="shared" si="52"/>
        <v>5.232916666666667E-4</v>
      </c>
    </row>
    <row r="80" spans="2:81" x14ac:dyDescent="0.2">
      <c r="B80" s="1">
        <v>81542</v>
      </c>
      <c r="C80">
        <f t="shared" si="27"/>
        <v>1.6987916666666668E-3</v>
      </c>
      <c r="E80" s="1">
        <v>82612</v>
      </c>
      <c r="F80">
        <f t="shared" si="28"/>
        <v>1.7210833333333334E-3</v>
      </c>
      <c r="H80" s="1">
        <v>245925</v>
      </c>
      <c r="I80">
        <f t="shared" si="29"/>
        <v>5.1234375000000004E-3</v>
      </c>
      <c r="K80" s="1"/>
      <c r="N80" s="1">
        <v>123061</v>
      </c>
      <c r="O80">
        <f t="shared" si="30"/>
        <v>2.5637708333333337E-3</v>
      </c>
      <c r="P80">
        <v>450</v>
      </c>
      <c r="Q80" s="1">
        <v>54598</v>
      </c>
      <c r="R80">
        <f t="shared" si="31"/>
        <v>1.1374583333333334E-3</v>
      </c>
      <c r="T80" s="1">
        <v>121609</v>
      </c>
      <c r="U80">
        <f t="shared" si="32"/>
        <v>2.5335208333333334E-3</v>
      </c>
      <c r="W80" s="1">
        <v>70810</v>
      </c>
      <c r="X80">
        <f t="shared" si="33"/>
        <v>1.4752083333333334E-3</v>
      </c>
      <c r="Y80">
        <v>400</v>
      </c>
      <c r="Z80" s="1">
        <v>61966</v>
      </c>
      <c r="AA80">
        <f t="shared" si="34"/>
        <v>1.2909583333333334E-3</v>
      </c>
      <c r="AB80">
        <v>400</v>
      </c>
      <c r="AC80" s="1">
        <v>61972</v>
      </c>
      <c r="AD80">
        <f t="shared" si="35"/>
        <v>1.2910833333333333E-3</v>
      </c>
      <c r="AE80">
        <v>420</v>
      </c>
      <c r="AF80" s="1">
        <v>59022</v>
      </c>
      <c r="AG80">
        <f t="shared" si="36"/>
        <v>1.229625E-3</v>
      </c>
      <c r="AI80" s="1">
        <v>54620</v>
      </c>
      <c r="AJ80">
        <f t="shared" si="37"/>
        <v>1.1379166666666666E-3</v>
      </c>
      <c r="AL80" s="1">
        <v>54622</v>
      </c>
      <c r="AM80">
        <f t="shared" si="38"/>
        <v>1.1379583333333335E-3</v>
      </c>
      <c r="AO80" s="1">
        <v>54584</v>
      </c>
      <c r="AP80">
        <f t="shared" si="39"/>
        <v>1.1371666666666668E-3</v>
      </c>
      <c r="AR80" s="1">
        <v>54598</v>
      </c>
      <c r="AS80">
        <f t="shared" si="40"/>
        <v>1.1374583333333334E-3</v>
      </c>
      <c r="AU80" s="1">
        <v>53132</v>
      </c>
      <c r="AV80">
        <f t="shared" si="41"/>
        <v>1.1069166666666666E-3</v>
      </c>
      <c r="AX80" s="1">
        <v>50172</v>
      </c>
      <c r="AY80">
        <f t="shared" si="42"/>
        <v>1.04525E-3</v>
      </c>
      <c r="BA80" s="1">
        <v>44276</v>
      </c>
      <c r="BB80">
        <f t="shared" si="43"/>
        <v>9.2241666666666676E-4</v>
      </c>
      <c r="BD80" s="1">
        <v>41324</v>
      </c>
      <c r="BE80">
        <f t="shared" si="44"/>
        <v>8.6091666666666673E-4</v>
      </c>
      <c r="BG80" s="1">
        <v>38388</v>
      </c>
      <c r="BH80">
        <f t="shared" si="45"/>
        <v>7.9975000000000001E-4</v>
      </c>
      <c r="BJ80" s="1">
        <v>35430</v>
      </c>
      <c r="BK80">
        <f t="shared" si="46"/>
        <v>7.3812500000000007E-4</v>
      </c>
      <c r="BM80" s="1">
        <v>32480</v>
      </c>
      <c r="BN80">
        <f t="shared" si="47"/>
        <v>6.7666666666666667E-4</v>
      </c>
      <c r="BP80" s="1">
        <v>31016</v>
      </c>
      <c r="BQ80">
        <f t="shared" si="48"/>
        <v>6.7666666666666667E-4</v>
      </c>
      <c r="BS80" s="1">
        <v>28068</v>
      </c>
      <c r="BT80">
        <f t="shared" si="49"/>
        <v>5.8474999999999998E-4</v>
      </c>
      <c r="BV80" s="1">
        <v>26594</v>
      </c>
      <c r="BW80">
        <f t="shared" si="50"/>
        <v>5.5404166666666666E-4</v>
      </c>
      <c r="BY80" s="1">
        <v>25118</v>
      </c>
      <c r="BZ80">
        <f t="shared" si="51"/>
        <v>5.232916666666667E-4</v>
      </c>
      <c r="CB80" s="1">
        <v>23642</v>
      </c>
      <c r="CC80">
        <f t="shared" si="52"/>
        <v>4.9254166666666674E-4</v>
      </c>
    </row>
    <row r="81" spans="2:81" x14ac:dyDescent="0.2">
      <c r="B81" s="1">
        <v>81526</v>
      </c>
      <c r="C81">
        <f t="shared" si="27"/>
        <v>1.6984583333333335E-3</v>
      </c>
      <c r="E81" s="1">
        <v>81413</v>
      </c>
      <c r="F81">
        <f t="shared" si="28"/>
        <v>1.6961041666666667E-3</v>
      </c>
      <c r="H81" s="1">
        <v>245593</v>
      </c>
      <c r="I81">
        <f t="shared" si="29"/>
        <v>5.116520833333334E-3</v>
      </c>
      <c r="K81" s="1"/>
      <c r="N81" s="1">
        <v>121583</v>
      </c>
      <c r="O81">
        <f t="shared" si="30"/>
        <v>2.5329791666666669E-3</v>
      </c>
      <c r="P81">
        <v>450</v>
      </c>
      <c r="Q81" s="1">
        <v>54596</v>
      </c>
      <c r="R81">
        <f t="shared" si="31"/>
        <v>1.1374166666666668E-3</v>
      </c>
      <c r="T81" s="1">
        <v>121615</v>
      </c>
      <c r="U81">
        <f t="shared" si="32"/>
        <v>2.5336458333333335E-3</v>
      </c>
      <c r="W81" s="1">
        <v>69338</v>
      </c>
      <c r="X81">
        <f t="shared" si="33"/>
        <v>1.4445416666666667E-3</v>
      </c>
      <c r="Y81">
        <v>400</v>
      </c>
      <c r="Z81" s="1">
        <v>61970</v>
      </c>
      <c r="AA81">
        <f t="shared" si="34"/>
        <v>1.2910416666666667E-3</v>
      </c>
      <c r="AB81">
        <v>400</v>
      </c>
      <c r="AC81" s="1">
        <v>61966</v>
      </c>
      <c r="AD81">
        <f t="shared" si="35"/>
        <v>1.2909583333333334E-3</v>
      </c>
      <c r="AE81">
        <v>420</v>
      </c>
      <c r="AF81" s="1">
        <v>59024</v>
      </c>
      <c r="AG81">
        <f t="shared" si="36"/>
        <v>1.2296666666666667E-3</v>
      </c>
      <c r="AI81" s="1">
        <v>54624</v>
      </c>
      <c r="AJ81">
        <f t="shared" si="37"/>
        <v>1.1380000000000001E-3</v>
      </c>
      <c r="AL81" s="1">
        <v>54620</v>
      </c>
      <c r="AM81">
        <f t="shared" si="38"/>
        <v>1.1379166666666666E-3</v>
      </c>
      <c r="AO81" s="1">
        <v>56060</v>
      </c>
      <c r="AP81">
        <f t="shared" si="39"/>
        <v>1.1679166666666667E-3</v>
      </c>
      <c r="AR81" s="1">
        <v>56076</v>
      </c>
      <c r="AS81">
        <f t="shared" si="40"/>
        <v>1.16825E-3</v>
      </c>
      <c r="AU81" s="1">
        <v>53134</v>
      </c>
      <c r="AV81">
        <f t="shared" si="41"/>
        <v>1.1069583333333335E-3</v>
      </c>
      <c r="AX81" s="1">
        <v>50174</v>
      </c>
      <c r="AY81">
        <f t="shared" si="42"/>
        <v>1.0452916666666668E-3</v>
      </c>
      <c r="BA81" s="1">
        <v>45748</v>
      </c>
      <c r="BB81">
        <f t="shared" si="43"/>
        <v>9.5308333333333334E-4</v>
      </c>
      <c r="BD81" s="1">
        <v>41328</v>
      </c>
      <c r="BE81">
        <f t="shared" si="44"/>
        <v>8.61E-4</v>
      </c>
      <c r="BG81" s="1">
        <v>38390</v>
      </c>
      <c r="BH81">
        <f t="shared" si="45"/>
        <v>7.9979166666666675E-4</v>
      </c>
      <c r="BJ81" s="1">
        <v>35434</v>
      </c>
      <c r="BK81">
        <f t="shared" si="46"/>
        <v>7.3820833333333334E-4</v>
      </c>
      <c r="BM81" s="1">
        <v>32474</v>
      </c>
      <c r="BN81">
        <f t="shared" si="47"/>
        <v>6.7654166666666665E-4</v>
      </c>
      <c r="BP81" s="1">
        <v>31018</v>
      </c>
      <c r="BQ81">
        <f t="shared" si="48"/>
        <v>6.7654166666666665E-4</v>
      </c>
      <c r="BS81" s="1">
        <v>28072</v>
      </c>
      <c r="BT81">
        <f t="shared" si="49"/>
        <v>5.8483333333333336E-4</v>
      </c>
      <c r="BV81" s="1">
        <v>28066</v>
      </c>
      <c r="BW81">
        <f t="shared" si="50"/>
        <v>5.8470833333333335E-4</v>
      </c>
      <c r="BY81" s="1">
        <v>25120</v>
      </c>
      <c r="BZ81">
        <f t="shared" si="51"/>
        <v>5.2333333333333333E-4</v>
      </c>
      <c r="CB81" s="1">
        <v>25114</v>
      </c>
      <c r="CC81">
        <f t="shared" si="52"/>
        <v>5.2320833333333332E-4</v>
      </c>
    </row>
    <row r="82" spans="2:81" x14ac:dyDescent="0.2">
      <c r="B82" s="1">
        <v>80339</v>
      </c>
      <c r="C82">
        <f t="shared" si="27"/>
        <v>1.6737291666666667E-3</v>
      </c>
      <c r="E82" s="1">
        <v>82614</v>
      </c>
      <c r="F82">
        <f t="shared" si="28"/>
        <v>1.721125E-3</v>
      </c>
      <c r="H82" s="1">
        <v>245820</v>
      </c>
      <c r="I82">
        <f t="shared" si="29"/>
        <v>5.1212499999999999E-3</v>
      </c>
      <c r="K82" s="1"/>
      <c r="N82" s="1">
        <v>123055</v>
      </c>
      <c r="O82">
        <f t="shared" si="30"/>
        <v>2.5636458333333336E-3</v>
      </c>
      <c r="P82">
        <v>450</v>
      </c>
      <c r="Q82" s="1">
        <v>54588</v>
      </c>
      <c r="R82">
        <f t="shared" si="31"/>
        <v>1.13725E-3</v>
      </c>
      <c r="T82" s="1"/>
      <c r="W82" s="1">
        <v>70812</v>
      </c>
      <c r="X82">
        <f t="shared" si="33"/>
        <v>1.47525E-3</v>
      </c>
      <c r="Y82">
        <v>400</v>
      </c>
      <c r="Z82" s="1">
        <v>61970</v>
      </c>
      <c r="AA82">
        <f t="shared" si="34"/>
        <v>1.2910416666666667E-3</v>
      </c>
      <c r="AB82">
        <v>400</v>
      </c>
      <c r="AC82" s="1">
        <v>61974</v>
      </c>
      <c r="AD82">
        <f t="shared" si="35"/>
        <v>1.2911250000000002E-3</v>
      </c>
      <c r="AE82">
        <v>420</v>
      </c>
      <c r="AF82" s="1">
        <v>59022</v>
      </c>
      <c r="AG82">
        <f t="shared" si="36"/>
        <v>1.229625E-3</v>
      </c>
      <c r="AI82" s="1">
        <v>54620</v>
      </c>
      <c r="AJ82">
        <f t="shared" si="37"/>
        <v>1.1379166666666666E-3</v>
      </c>
      <c r="AL82" s="1">
        <v>56094</v>
      </c>
      <c r="AM82">
        <f t="shared" si="38"/>
        <v>1.1686250000000002E-3</v>
      </c>
      <c r="AO82" s="1">
        <v>54582</v>
      </c>
      <c r="AP82">
        <f t="shared" si="39"/>
        <v>1.1371250000000001E-3</v>
      </c>
      <c r="AR82" s="1">
        <v>54598</v>
      </c>
      <c r="AS82">
        <f t="shared" si="40"/>
        <v>1.1374583333333334E-3</v>
      </c>
      <c r="AU82" s="1">
        <v>51656</v>
      </c>
      <c r="AV82">
        <f t="shared" si="41"/>
        <v>1.0761666666666667E-3</v>
      </c>
      <c r="AX82" s="1">
        <v>48698</v>
      </c>
      <c r="AY82">
        <f t="shared" si="42"/>
        <v>1.0145416666666666E-3</v>
      </c>
      <c r="BA82" s="1">
        <v>45750</v>
      </c>
      <c r="BB82">
        <f t="shared" si="43"/>
        <v>9.5312500000000009E-4</v>
      </c>
      <c r="BD82" s="1">
        <v>41328</v>
      </c>
      <c r="BE82">
        <f t="shared" si="44"/>
        <v>8.61E-4</v>
      </c>
      <c r="BG82" s="1">
        <v>36912</v>
      </c>
      <c r="BH82">
        <f t="shared" si="45"/>
        <v>7.6900000000000004E-4</v>
      </c>
      <c r="BJ82" s="1">
        <v>35434</v>
      </c>
      <c r="BK82">
        <f t="shared" si="46"/>
        <v>7.3820833333333334E-4</v>
      </c>
      <c r="BM82" s="1">
        <v>33950</v>
      </c>
      <c r="BN82">
        <f t="shared" si="47"/>
        <v>7.0729166666666672E-4</v>
      </c>
      <c r="BP82" s="1">
        <v>31020</v>
      </c>
      <c r="BQ82">
        <f t="shared" si="48"/>
        <v>7.0729166666666672E-4</v>
      </c>
      <c r="BS82" s="1">
        <v>29542</v>
      </c>
      <c r="BT82">
        <f t="shared" si="49"/>
        <v>6.1545833333333342E-4</v>
      </c>
      <c r="BV82" s="1">
        <v>28066</v>
      </c>
      <c r="BW82">
        <f t="shared" si="50"/>
        <v>5.8470833333333335E-4</v>
      </c>
      <c r="BY82" s="1">
        <v>25120</v>
      </c>
      <c r="BZ82">
        <f t="shared" si="51"/>
        <v>5.2333333333333333E-4</v>
      </c>
      <c r="CB82" s="1">
        <v>23642</v>
      </c>
      <c r="CC82">
        <f t="shared" si="52"/>
        <v>4.9254166666666674E-4</v>
      </c>
    </row>
    <row r="83" spans="2:81" x14ac:dyDescent="0.2">
      <c r="B83" s="1">
        <v>81413</v>
      </c>
      <c r="C83">
        <f t="shared" si="27"/>
        <v>1.6961041666666667E-3</v>
      </c>
      <c r="E83" s="1">
        <v>81411</v>
      </c>
      <c r="F83">
        <f t="shared" si="28"/>
        <v>1.6960625000000001E-3</v>
      </c>
      <c r="H83" s="1">
        <v>246510</v>
      </c>
      <c r="I83">
        <f t="shared" si="29"/>
        <v>5.1356250000000004E-3</v>
      </c>
      <c r="K83" s="1"/>
      <c r="N83" s="1">
        <v>121583</v>
      </c>
      <c r="O83">
        <f t="shared" si="30"/>
        <v>2.5329791666666669E-3</v>
      </c>
      <c r="P83">
        <v>450</v>
      </c>
      <c r="Q83" s="1">
        <v>56064</v>
      </c>
      <c r="R83">
        <f t="shared" si="31"/>
        <v>1.168E-3</v>
      </c>
      <c r="T83" s="1">
        <v>123089</v>
      </c>
      <c r="U83">
        <f t="shared" si="32"/>
        <v>2.564354166666667E-3</v>
      </c>
      <c r="W83" s="1">
        <v>70806</v>
      </c>
      <c r="X83">
        <f t="shared" si="33"/>
        <v>1.4751250000000001E-3</v>
      </c>
      <c r="Y83">
        <v>400</v>
      </c>
      <c r="Z83" s="1">
        <v>60496</v>
      </c>
      <c r="AA83">
        <f t="shared" si="34"/>
        <v>1.2603333333333334E-3</v>
      </c>
      <c r="AB83">
        <v>400</v>
      </c>
      <c r="AC83" s="1">
        <v>60496</v>
      </c>
      <c r="AD83">
        <f t="shared" si="35"/>
        <v>1.2603333333333334E-3</v>
      </c>
      <c r="AE83">
        <v>420</v>
      </c>
      <c r="AF83" s="1">
        <v>59024</v>
      </c>
      <c r="AG83">
        <f t="shared" si="36"/>
        <v>1.2296666666666667E-3</v>
      </c>
      <c r="AI83" s="1">
        <v>56094</v>
      </c>
      <c r="AJ83">
        <f t="shared" si="37"/>
        <v>1.1686250000000002E-3</v>
      </c>
      <c r="AL83" s="1">
        <v>54618</v>
      </c>
      <c r="AM83">
        <f t="shared" si="38"/>
        <v>1.137875E-3</v>
      </c>
      <c r="AO83" s="1">
        <v>54582</v>
      </c>
      <c r="AP83">
        <f t="shared" si="39"/>
        <v>1.1371250000000001E-3</v>
      </c>
      <c r="AR83" s="1">
        <v>54598</v>
      </c>
      <c r="AS83">
        <f t="shared" si="40"/>
        <v>1.1374583333333334E-3</v>
      </c>
      <c r="AU83" s="1">
        <v>53132</v>
      </c>
      <c r="AV83">
        <f t="shared" si="41"/>
        <v>1.1069166666666666E-3</v>
      </c>
      <c r="AX83" s="1">
        <v>48702</v>
      </c>
      <c r="AY83">
        <f t="shared" si="42"/>
        <v>1.0146250000000001E-3</v>
      </c>
      <c r="BA83" s="1">
        <v>45748</v>
      </c>
      <c r="BB83">
        <f t="shared" si="43"/>
        <v>9.5308333333333334E-4</v>
      </c>
      <c r="BD83" s="1">
        <v>41330</v>
      </c>
      <c r="BE83">
        <f t="shared" si="44"/>
        <v>8.6104166666666675E-4</v>
      </c>
      <c r="BG83" s="1">
        <v>38392</v>
      </c>
      <c r="BH83">
        <f t="shared" si="45"/>
        <v>7.9983333333333339E-4</v>
      </c>
      <c r="BJ83" s="1">
        <v>35432</v>
      </c>
      <c r="BK83">
        <f t="shared" si="46"/>
        <v>7.381666666666667E-4</v>
      </c>
      <c r="BM83" s="1">
        <v>32478</v>
      </c>
      <c r="BN83">
        <f t="shared" si="47"/>
        <v>6.7662500000000003E-4</v>
      </c>
      <c r="BP83" s="1">
        <v>31018</v>
      </c>
      <c r="BQ83">
        <f t="shared" si="48"/>
        <v>6.7662500000000003E-4</v>
      </c>
      <c r="BS83" s="1">
        <v>29542</v>
      </c>
      <c r="BT83">
        <f t="shared" si="49"/>
        <v>6.1545833333333342E-4</v>
      </c>
      <c r="BV83" s="1">
        <v>28068</v>
      </c>
      <c r="BW83">
        <f t="shared" si="50"/>
        <v>5.8474999999999998E-4</v>
      </c>
      <c r="BY83" s="1">
        <v>25118</v>
      </c>
      <c r="BZ83">
        <f t="shared" si="51"/>
        <v>5.232916666666667E-4</v>
      </c>
      <c r="CB83" s="1">
        <v>25114</v>
      </c>
      <c r="CC83">
        <f t="shared" si="52"/>
        <v>5.2320833333333332E-4</v>
      </c>
    </row>
    <row r="84" spans="2:81" x14ac:dyDescent="0.2">
      <c r="B84" s="1">
        <v>82620</v>
      </c>
      <c r="C84">
        <f t="shared" si="27"/>
        <v>1.7212500000000001E-3</v>
      </c>
      <c r="E84" s="1">
        <v>82608</v>
      </c>
      <c r="F84">
        <f t="shared" si="28"/>
        <v>1.7210000000000001E-3</v>
      </c>
      <c r="H84" s="1">
        <v>246316</v>
      </c>
      <c r="I84">
        <f t="shared" si="29"/>
        <v>5.1315833333333335E-3</v>
      </c>
      <c r="K84" s="1"/>
      <c r="N84" s="1">
        <v>123055</v>
      </c>
      <c r="O84">
        <f t="shared" si="30"/>
        <v>2.5636458333333336E-3</v>
      </c>
      <c r="P84">
        <v>450</v>
      </c>
      <c r="Q84" s="1">
        <v>54594</v>
      </c>
      <c r="R84">
        <f t="shared" si="31"/>
        <v>1.1373750000000001E-3</v>
      </c>
      <c r="T84" s="1">
        <v>123099</v>
      </c>
      <c r="U84">
        <f t="shared" si="32"/>
        <v>2.5645625E-3</v>
      </c>
      <c r="W84" s="1">
        <v>70804</v>
      </c>
      <c r="X84">
        <f t="shared" si="33"/>
        <v>1.4750833333333335E-3</v>
      </c>
      <c r="Y84">
        <v>400</v>
      </c>
      <c r="Z84" s="1">
        <v>61966</v>
      </c>
      <c r="AA84">
        <f t="shared" si="34"/>
        <v>1.2909583333333334E-3</v>
      </c>
      <c r="AB84">
        <v>400</v>
      </c>
      <c r="AC84" s="1">
        <v>61970</v>
      </c>
      <c r="AD84">
        <f t="shared" si="35"/>
        <v>1.2910416666666667E-3</v>
      </c>
      <c r="AE84">
        <v>420</v>
      </c>
      <c r="AF84" s="1">
        <v>59026</v>
      </c>
      <c r="AG84">
        <f t="shared" si="36"/>
        <v>1.2297083333333333E-3</v>
      </c>
      <c r="AI84" s="1">
        <v>54622</v>
      </c>
      <c r="AJ84">
        <f t="shared" si="37"/>
        <v>1.1379583333333335E-3</v>
      </c>
      <c r="AL84" s="1">
        <v>54608</v>
      </c>
      <c r="AM84">
        <f t="shared" si="38"/>
        <v>1.1376666666666668E-3</v>
      </c>
      <c r="AO84" s="1">
        <v>56046</v>
      </c>
      <c r="AP84">
        <f t="shared" si="39"/>
        <v>1.167625E-3</v>
      </c>
      <c r="AR84" s="1">
        <v>54590</v>
      </c>
      <c r="AS84">
        <f t="shared" si="40"/>
        <v>1.1372916666666667E-3</v>
      </c>
      <c r="AU84" s="1">
        <v>53132</v>
      </c>
      <c r="AV84">
        <f t="shared" si="41"/>
        <v>1.1069166666666666E-3</v>
      </c>
      <c r="AX84" s="1">
        <v>48698</v>
      </c>
      <c r="AY84">
        <f t="shared" si="42"/>
        <v>1.0145416666666666E-3</v>
      </c>
      <c r="BA84" s="1">
        <v>44274</v>
      </c>
      <c r="BB84">
        <f t="shared" si="43"/>
        <v>9.2237500000000002E-4</v>
      </c>
      <c r="BD84" s="1">
        <v>39854</v>
      </c>
      <c r="BE84">
        <f t="shared" si="44"/>
        <v>8.3029166666666668E-4</v>
      </c>
      <c r="BG84" s="1">
        <v>38390</v>
      </c>
      <c r="BH84">
        <f t="shared" si="45"/>
        <v>7.9979166666666675E-4</v>
      </c>
      <c r="BJ84" s="1">
        <v>35430</v>
      </c>
      <c r="BK84">
        <f t="shared" si="46"/>
        <v>7.3812500000000007E-4</v>
      </c>
      <c r="BM84" s="1">
        <v>32480</v>
      </c>
      <c r="BN84">
        <f t="shared" si="47"/>
        <v>6.7666666666666667E-4</v>
      </c>
      <c r="BP84" s="1">
        <v>31018</v>
      </c>
      <c r="BQ84">
        <f t="shared" si="48"/>
        <v>6.7666666666666667E-4</v>
      </c>
      <c r="BS84" s="1">
        <v>29544</v>
      </c>
      <c r="BT84">
        <f t="shared" si="49"/>
        <v>6.1550000000000005E-4</v>
      </c>
      <c r="BV84" s="1">
        <v>26594</v>
      </c>
      <c r="BW84">
        <f t="shared" si="50"/>
        <v>5.5404166666666666E-4</v>
      </c>
      <c r="BY84" s="1">
        <v>26594</v>
      </c>
      <c r="BZ84">
        <f t="shared" si="51"/>
        <v>5.5404166666666666E-4</v>
      </c>
      <c r="CB84" s="1">
        <v>25114</v>
      </c>
      <c r="CC84">
        <f t="shared" si="52"/>
        <v>5.2320833333333332E-4</v>
      </c>
    </row>
    <row r="85" spans="2:81" x14ac:dyDescent="0.2">
      <c r="B85" s="1">
        <v>81421</v>
      </c>
      <c r="C85">
        <f t="shared" si="27"/>
        <v>1.6962708333333335E-3</v>
      </c>
      <c r="E85" s="1">
        <v>81413</v>
      </c>
      <c r="F85">
        <f t="shared" si="28"/>
        <v>1.6961041666666667E-3</v>
      </c>
      <c r="H85" s="1">
        <v>246727</v>
      </c>
      <c r="I85">
        <f t="shared" si="29"/>
        <v>5.1401458333333334E-3</v>
      </c>
      <c r="K85" s="1"/>
      <c r="N85" s="1">
        <v>123059</v>
      </c>
      <c r="O85">
        <f t="shared" si="30"/>
        <v>2.5637291666666668E-3</v>
      </c>
      <c r="P85">
        <v>450</v>
      </c>
      <c r="Q85" s="1">
        <v>54594</v>
      </c>
      <c r="R85">
        <f t="shared" si="31"/>
        <v>1.1373750000000001E-3</v>
      </c>
      <c r="T85" s="1">
        <v>123091</v>
      </c>
      <c r="U85">
        <f t="shared" si="32"/>
        <v>2.5643958333333335E-3</v>
      </c>
      <c r="W85" s="1">
        <v>69328</v>
      </c>
      <c r="X85">
        <f t="shared" si="33"/>
        <v>1.4443333333333335E-3</v>
      </c>
      <c r="Y85">
        <v>400</v>
      </c>
      <c r="Z85" s="1">
        <v>61968</v>
      </c>
      <c r="AA85">
        <f t="shared" si="34"/>
        <v>1.291E-3</v>
      </c>
      <c r="AB85">
        <v>400</v>
      </c>
      <c r="AC85" s="1">
        <v>61972</v>
      </c>
      <c r="AD85">
        <f t="shared" si="35"/>
        <v>1.2910833333333333E-3</v>
      </c>
      <c r="AE85">
        <v>420</v>
      </c>
      <c r="AF85" s="1">
        <v>59026</v>
      </c>
      <c r="AG85">
        <f t="shared" si="36"/>
        <v>1.2297083333333333E-3</v>
      </c>
      <c r="AI85" s="1">
        <v>54618</v>
      </c>
      <c r="AJ85">
        <f t="shared" si="37"/>
        <v>1.137875E-3</v>
      </c>
      <c r="AL85" s="1">
        <v>56088</v>
      </c>
      <c r="AM85">
        <f t="shared" si="38"/>
        <v>1.1685000000000001E-3</v>
      </c>
      <c r="AO85" s="1">
        <v>54578</v>
      </c>
      <c r="AP85">
        <f t="shared" si="39"/>
        <v>1.1370416666666668E-3</v>
      </c>
      <c r="AR85" s="1">
        <v>54600</v>
      </c>
      <c r="AS85">
        <f t="shared" si="40"/>
        <v>1.1375000000000001E-3</v>
      </c>
      <c r="AU85" s="1">
        <v>53130</v>
      </c>
      <c r="AV85">
        <f t="shared" si="41"/>
        <v>1.106875E-3</v>
      </c>
      <c r="AX85" s="1">
        <v>48696</v>
      </c>
      <c r="AY85">
        <f t="shared" si="42"/>
        <v>1.0145E-3</v>
      </c>
      <c r="BA85" s="1">
        <v>44274</v>
      </c>
      <c r="BB85">
        <f t="shared" si="43"/>
        <v>9.2237500000000002E-4</v>
      </c>
      <c r="BD85" s="1">
        <v>41324</v>
      </c>
      <c r="BE85">
        <f t="shared" si="44"/>
        <v>8.6091666666666673E-4</v>
      </c>
      <c r="BG85" s="1">
        <v>38390</v>
      </c>
      <c r="BH85">
        <f t="shared" si="45"/>
        <v>7.9979166666666675E-4</v>
      </c>
      <c r="BJ85" s="1">
        <v>33958</v>
      </c>
      <c r="BK85">
        <f t="shared" si="46"/>
        <v>7.0745833333333338E-4</v>
      </c>
      <c r="BM85" s="1">
        <v>33950</v>
      </c>
      <c r="BN85">
        <f t="shared" si="47"/>
        <v>7.0729166666666672E-4</v>
      </c>
      <c r="BP85" s="1">
        <v>31018</v>
      </c>
      <c r="BQ85">
        <f t="shared" si="48"/>
        <v>7.0729166666666672E-4</v>
      </c>
      <c r="BS85" s="1">
        <v>29540</v>
      </c>
      <c r="BT85">
        <f t="shared" si="49"/>
        <v>6.1541666666666667E-4</v>
      </c>
      <c r="BV85" s="1">
        <v>26592</v>
      </c>
      <c r="BW85">
        <f t="shared" si="50"/>
        <v>5.5400000000000002E-4</v>
      </c>
      <c r="BY85" s="1">
        <v>25118</v>
      </c>
      <c r="BZ85">
        <f t="shared" si="51"/>
        <v>5.232916666666667E-4</v>
      </c>
      <c r="CB85" s="1">
        <v>25114</v>
      </c>
      <c r="CC85">
        <f t="shared" si="52"/>
        <v>5.2320833333333332E-4</v>
      </c>
    </row>
    <row r="86" spans="2:81" x14ac:dyDescent="0.2">
      <c r="B86" s="1">
        <v>81417</v>
      </c>
      <c r="C86">
        <f t="shared" si="27"/>
        <v>1.6961875E-3</v>
      </c>
      <c r="E86" s="1">
        <v>82612</v>
      </c>
      <c r="F86">
        <f t="shared" si="28"/>
        <v>1.7210833333333334E-3</v>
      </c>
      <c r="H86" s="1">
        <v>245869</v>
      </c>
      <c r="I86">
        <f t="shared" si="29"/>
        <v>5.1222708333333337E-3</v>
      </c>
      <c r="K86" s="1"/>
      <c r="N86" s="1">
        <v>123065</v>
      </c>
      <c r="O86">
        <f t="shared" si="30"/>
        <v>2.563854166666667E-3</v>
      </c>
      <c r="P86">
        <v>450</v>
      </c>
      <c r="Q86" s="1">
        <v>54600</v>
      </c>
      <c r="R86">
        <f t="shared" si="31"/>
        <v>1.1375000000000001E-3</v>
      </c>
      <c r="T86" s="1">
        <v>123095</v>
      </c>
      <c r="U86">
        <f t="shared" si="32"/>
        <v>2.5644791666666667E-3</v>
      </c>
      <c r="W86" s="1">
        <v>70804</v>
      </c>
      <c r="X86">
        <f t="shared" si="33"/>
        <v>1.4750833333333335E-3</v>
      </c>
      <c r="Y86">
        <v>400</v>
      </c>
      <c r="Z86" s="1">
        <v>61968</v>
      </c>
      <c r="AA86">
        <f t="shared" si="34"/>
        <v>1.291E-3</v>
      </c>
      <c r="AB86">
        <v>400</v>
      </c>
      <c r="AC86" s="1">
        <v>61970</v>
      </c>
      <c r="AD86">
        <f t="shared" si="35"/>
        <v>1.2910416666666667E-3</v>
      </c>
      <c r="AE86">
        <v>420</v>
      </c>
      <c r="AF86" s="1">
        <v>59022</v>
      </c>
      <c r="AG86">
        <f t="shared" si="36"/>
        <v>1.229625E-3</v>
      </c>
      <c r="AI86" s="1">
        <v>54624</v>
      </c>
      <c r="AJ86">
        <f t="shared" si="37"/>
        <v>1.1380000000000001E-3</v>
      </c>
      <c r="AL86" s="1">
        <v>54618</v>
      </c>
      <c r="AM86">
        <f t="shared" si="38"/>
        <v>1.137875E-3</v>
      </c>
      <c r="AO86" s="1">
        <v>54580</v>
      </c>
      <c r="AP86">
        <f t="shared" si="39"/>
        <v>1.1370833333333335E-3</v>
      </c>
      <c r="AR86" s="1">
        <v>54598</v>
      </c>
      <c r="AS86">
        <f t="shared" si="40"/>
        <v>1.1374583333333334E-3</v>
      </c>
      <c r="AU86" s="1">
        <v>51662</v>
      </c>
      <c r="AV86">
        <f t="shared" si="41"/>
        <v>1.0762916666666668E-3</v>
      </c>
      <c r="AX86" s="1">
        <v>48702</v>
      </c>
      <c r="AY86">
        <f t="shared" si="42"/>
        <v>1.0146250000000001E-3</v>
      </c>
      <c r="BA86" s="1">
        <v>44278</v>
      </c>
      <c r="BB86">
        <f t="shared" si="43"/>
        <v>9.224583333333334E-4</v>
      </c>
      <c r="BD86" s="1">
        <v>41326</v>
      </c>
      <c r="BE86">
        <f t="shared" si="44"/>
        <v>8.6095833333333337E-4</v>
      </c>
      <c r="BG86" s="1">
        <v>38384</v>
      </c>
      <c r="BH86">
        <f t="shared" si="45"/>
        <v>7.9966666666666673E-4</v>
      </c>
      <c r="BJ86" s="1">
        <v>35428</v>
      </c>
      <c r="BK86">
        <f t="shared" si="46"/>
        <v>7.3808333333333343E-4</v>
      </c>
      <c r="BM86" s="1">
        <v>32474</v>
      </c>
      <c r="BN86">
        <f t="shared" si="47"/>
        <v>6.7654166666666665E-4</v>
      </c>
      <c r="BP86" s="1">
        <v>31016</v>
      </c>
      <c r="BQ86">
        <f t="shared" si="48"/>
        <v>6.7654166666666665E-4</v>
      </c>
      <c r="BS86" s="1">
        <v>29542</v>
      </c>
      <c r="BT86">
        <f t="shared" si="49"/>
        <v>6.1545833333333342E-4</v>
      </c>
      <c r="BV86" s="1">
        <v>26590</v>
      </c>
      <c r="BW86">
        <f t="shared" si="50"/>
        <v>5.5395833333333339E-4</v>
      </c>
      <c r="BY86" s="1">
        <v>26594</v>
      </c>
      <c r="BZ86">
        <f t="shared" si="51"/>
        <v>5.5404166666666666E-4</v>
      </c>
      <c r="CB86" s="1">
        <v>25114</v>
      </c>
      <c r="CC86">
        <f t="shared" si="52"/>
        <v>5.2320833333333332E-4</v>
      </c>
    </row>
    <row r="87" spans="2:81" x14ac:dyDescent="0.2">
      <c r="B87" s="1">
        <v>81419</v>
      </c>
      <c r="C87">
        <f t="shared" si="27"/>
        <v>1.6962291666666668E-3</v>
      </c>
      <c r="E87" s="1">
        <v>82608</v>
      </c>
      <c r="F87">
        <f t="shared" si="28"/>
        <v>1.7210000000000001E-3</v>
      </c>
      <c r="H87" s="1">
        <v>246244</v>
      </c>
      <c r="I87">
        <f t="shared" si="29"/>
        <v>5.1300833333333337E-3</v>
      </c>
      <c r="K87" s="1"/>
      <c r="N87" s="1">
        <v>123045</v>
      </c>
      <c r="O87">
        <f t="shared" si="30"/>
        <v>2.5634375000000002E-3</v>
      </c>
      <c r="P87">
        <v>450</v>
      </c>
      <c r="Q87" s="1">
        <v>54600</v>
      </c>
      <c r="R87">
        <f t="shared" si="31"/>
        <v>1.1375000000000001E-3</v>
      </c>
      <c r="T87" s="1">
        <v>121617</v>
      </c>
      <c r="U87">
        <f t="shared" si="32"/>
        <v>2.5336875000000003E-3</v>
      </c>
      <c r="W87" s="1">
        <v>70810</v>
      </c>
      <c r="X87">
        <f t="shared" si="33"/>
        <v>1.4752083333333334E-3</v>
      </c>
      <c r="Y87">
        <v>400</v>
      </c>
      <c r="Z87" s="1">
        <v>61966</v>
      </c>
      <c r="AA87">
        <f t="shared" si="34"/>
        <v>1.2909583333333334E-3</v>
      </c>
      <c r="AB87">
        <v>400</v>
      </c>
      <c r="AC87" s="1">
        <v>61972</v>
      </c>
      <c r="AD87">
        <f t="shared" si="35"/>
        <v>1.2910833333333333E-3</v>
      </c>
      <c r="AE87">
        <v>420</v>
      </c>
      <c r="AF87" s="1">
        <v>59026</v>
      </c>
      <c r="AG87">
        <f t="shared" si="36"/>
        <v>1.2297083333333333E-3</v>
      </c>
      <c r="AI87" s="1">
        <v>54618</v>
      </c>
      <c r="AJ87">
        <f t="shared" si="37"/>
        <v>1.137875E-3</v>
      </c>
      <c r="AL87" s="1">
        <v>54620</v>
      </c>
      <c r="AM87">
        <f t="shared" si="38"/>
        <v>1.1379166666666666E-3</v>
      </c>
      <c r="AO87" s="1">
        <v>56052</v>
      </c>
      <c r="AP87">
        <f t="shared" si="39"/>
        <v>1.1677500000000002E-3</v>
      </c>
      <c r="AR87" s="1">
        <v>54600</v>
      </c>
      <c r="AS87">
        <f t="shared" si="40"/>
        <v>1.1375000000000001E-3</v>
      </c>
      <c r="AU87" s="1">
        <v>53128</v>
      </c>
      <c r="AV87">
        <f t="shared" si="41"/>
        <v>1.1068333333333334E-3</v>
      </c>
      <c r="AX87" s="1">
        <v>48702</v>
      </c>
      <c r="AY87">
        <f t="shared" si="42"/>
        <v>1.0146250000000001E-3</v>
      </c>
      <c r="BA87" s="1">
        <v>45748</v>
      </c>
      <c r="BB87">
        <f t="shared" si="43"/>
        <v>9.5308333333333334E-4</v>
      </c>
      <c r="BD87" s="1">
        <v>41324</v>
      </c>
      <c r="BE87">
        <f t="shared" si="44"/>
        <v>8.6091666666666673E-4</v>
      </c>
      <c r="BG87" s="1">
        <v>36914</v>
      </c>
      <c r="BH87">
        <f t="shared" si="45"/>
        <v>7.6904166666666668E-4</v>
      </c>
      <c r="BJ87" s="1">
        <v>35430</v>
      </c>
      <c r="BK87">
        <f t="shared" si="46"/>
        <v>7.3812500000000007E-4</v>
      </c>
      <c r="BM87" s="1">
        <v>32480</v>
      </c>
      <c r="BN87">
        <f t="shared" si="47"/>
        <v>6.7666666666666667E-4</v>
      </c>
      <c r="BP87" s="1">
        <v>29542</v>
      </c>
      <c r="BQ87">
        <f t="shared" si="48"/>
        <v>6.7666666666666667E-4</v>
      </c>
      <c r="BS87" s="1">
        <v>29544</v>
      </c>
      <c r="BT87">
        <f t="shared" si="49"/>
        <v>6.1550000000000005E-4</v>
      </c>
      <c r="BV87" s="1">
        <v>28064</v>
      </c>
      <c r="BW87">
        <f t="shared" si="50"/>
        <v>5.8466666666666671E-4</v>
      </c>
      <c r="BY87" s="1">
        <v>26596</v>
      </c>
      <c r="BZ87">
        <f t="shared" si="51"/>
        <v>5.540833333333334E-4</v>
      </c>
      <c r="CB87" s="1">
        <v>23642</v>
      </c>
      <c r="CC87">
        <f t="shared" si="52"/>
        <v>4.9254166666666674E-4</v>
      </c>
    </row>
    <row r="88" spans="2:81" x14ac:dyDescent="0.2">
      <c r="B88" s="1">
        <v>81534</v>
      </c>
      <c r="C88">
        <f t="shared" si="27"/>
        <v>1.698625E-3</v>
      </c>
      <c r="E88" s="1">
        <v>81136</v>
      </c>
      <c r="F88">
        <f t="shared" si="28"/>
        <v>1.6903333333333334E-3</v>
      </c>
      <c r="H88" s="1">
        <v>245525</v>
      </c>
      <c r="I88">
        <f t="shared" si="29"/>
        <v>5.1151041666666671E-3</v>
      </c>
      <c r="K88" s="1"/>
      <c r="N88" s="1">
        <v>121585</v>
      </c>
      <c r="O88">
        <f t="shared" si="30"/>
        <v>2.5330208333333333E-3</v>
      </c>
      <c r="P88">
        <v>450</v>
      </c>
      <c r="Q88" s="1">
        <v>54592</v>
      </c>
      <c r="R88">
        <f t="shared" si="31"/>
        <v>1.1373333333333333E-3</v>
      </c>
      <c r="T88" s="1">
        <v>121617</v>
      </c>
      <c r="U88">
        <f t="shared" si="32"/>
        <v>2.5336875000000003E-3</v>
      </c>
      <c r="W88" s="1"/>
      <c r="Y88" s="1"/>
      <c r="Z88" s="1">
        <v>61968</v>
      </c>
      <c r="AA88">
        <f t="shared" si="34"/>
        <v>1.291E-3</v>
      </c>
      <c r="AB88">
        <v>400</v>
      </c>
      <c r="AC88" s="1">
        <v>60500</v>
      </c>
      <c r="AD88">
        <f t="shared" si="35"/>
        <v>1.2604166666666668E-3</v>
      </c>
      <c r="AE88">
        <v>420</v>
      </c>
      <c r="AF88" s="1">
        <v>59026</v>
      </c>
      <c r="AG88">
        <f t="shared" si="36"/>
        <v>1.2297083333333333E-3</v>
      </c>
      <c r="AI88" s="1">
        <v>54624</v>
      </c>
      <c r="AJ88">
        <f t="shared" si="37"/>
        <v>1.1380000000000001E-3</v>
      </c>
      <c r="AL88" s="1">
        <v>54616</v>
      </c>
      <c r="AM88">
        <f t="shared" si="38"/>
        <v>1.1378333333333334E-3</v>
      </c>
      <c r="AO88" s="1">
        <v>54582</v>
      </c>
      <c r="AP88">
        <f t="shared" si="39"/>
        <v>1.1371250000000001E-3</v>
      </c>
      <c r="AR88" s="1">
        <v>54598</v>
      </c>
      <c r="AS88">
        <f t="shared" si="40"/>
        <v>1.1374583333333334E-3</v>
      </c>
      <c r="AU88" s="1">
        <v>53132</v>
      </c>
      <c r="AV88">
        <f t="shared" si="41"/>
        <v>1.1069166666666666E-3</v>
      </c>
      <c r="AX88" s="1">
        <v>48698</v>
      </c>
      <c r="AY88">
        <f t="shared" si="42"/>
        <v>1.0145416666666666E-3</v>
      </c>
      <c r="BA88" s="1">
        <v>45752</v>
      </c>
      <c r="BB88">
        <f t="shared" si="43"/>
        <v>9.5316666666666672E-4</v>
      </c>
      <c r="BD88" s="1">
        <v>41326</v>
      </c>
      <c r="BE88">
        <f t="shared" si="44"/>
        <v>8.6095833333333337E-4</v>
      </c>
      <c r="BG88" s="1">
        <v>36912</v>
      </c>
      <c r="BH88">
        <f t="shared" si="45"/>
        <v>7.6900000000000004E-4</v>
      </c>
      <c r="BJ88" s="1">
        <v>35430</v>
      </c>
      <c r="BK88">
        <f t="shared" si="46"/>
        <v>7.3812500000000007E-4</v>
      </c>
      <c r="BM88" s="1">
        <v>32478</v>
      </c>
      <c r="BN88">
        <f t="shared" si="47"/>
        <v>6.7662500000000003E-4</v>
      </c>
      <c r="BP88" s="1">
        <v>31018</v>
      </c>
      <c r="BQ88">
        <f t="shared" si="48"/>
        <v>6.7662500000000003E-4</v>
      </c>
      <c r="BS88" s="1">
        <v>29544</v>
      </c>
      <c r="BT88">
        <f t="shared" si="49"/>
        <v>6.1550000000000005E-4</v>
      </c>
      <c r="BV88" s="1">
        <v>28066</v>
      </c>
      <c r="BW88">
        <f t="shared" si="50"/>
        <v>5.8470833333333335E-4</v>
      </c>
      <c r="BY88" s="1">
        <v>26588</v>
      </c>
      <c r="BZ88">
        <f t="shared" si="51"/>
        <v>5.5391666666666675E-4</v>
      </c>
      <c r="CB88" s="1">
        <v>25116</v>
      </c>
      <c r="CC88">
        <f t="shared" si="52"/>
        <v>5.2325000000000006E-4</v>
      </c>
    </row>
    <row r="89" spans="2:81" x14ac:dyDescent="0.2">
      <c r="B89" s="1">
        <v>81536</v>
      </c>
      <c r="C89">
        <f t="shared" si="27"/>
        <v>1.6986666666666667E-3</v>
      </c>
      <c r="E89" s="1">
        <v>82600</v>
      </c>
      <c r="F89">
        <f t="shared" si="28"/>
        <v>1.7208333333333333E-3</v>
      </c>
      <c r="H89" s="1">
        <v>245809</v>
      </c>
      <c r="I89">
        <f t="shared" si="29"/>
        <v>5.1210208333333333E-3</v>
      </c>
      <c r="K89" s="1"/>
      <c r="N89" s="1">
        <v>121591</v>
      </c>
      <c r="O89">
        <f t="shared" si="30"/>
        <v>2.5331458333333334E-3</v>
      </c>
      <c r="P89">
        <v>450</v>
      </c>
      <c r="Q89" s="1">
        <v>54594</v>
      </c>
      <c r="R89">
        <f t="shared" si="31"/>
        <v>1.1373750000000001E-3</v>
      </c>
      <c r="T89" s="1">
        <v>121609</v>
      </c>
      <c r="U89">
        <f t="shared" si="32"/>
        <v>2.5335208333333334E-3</v>
      </c>
      <c r="W89" s="1">
        <v>70806</v>
      </c>
      <c r="X89">
        <f t="shared" si="33"/>
        <v>1.4751250000000001E-3</v>
      </c>
      <c r="Y89" s="1"/>
      <c r="Z89" s="1">
        <v>60506</v>
      </c>
      <c r="AA89">
        <f t="shared" si="34"/>
        <v>1.2605416666666668E-3</v>
      </c>
      <c r="AB89">
        <v>400</v>
      </c>
      <c r="AC89" s="1">
        <v>60498</v>
      </c>
      <c r="AD89">
        <f t="shared" si="35"/>
        <v>1.260375E-3</v>
      </c>
      <c r="AE89">
        <v>420</v>
      </c>
      <c r="AF89" s="1">
        <v>59026</v>
      </c>
      <c r="AG89">
        <f t="shared" si="36"/>
        <v>1.2297083333333333E-3</v>
      </c>
      <c r="AI89" s="1">
        <v>56094</v>
      </c>
      <c r="AJ89">
        <f t="shared" si="37"/>
        <v>1.1686250000000002E-3</v>
      </c>
      <c r="AL89" s="1">
        <v>54618</v>
      </c>
      <c r="AM89">
        <f t="shared" si="38"/>
        <v>1.137875E-3</v>
      </c>
      <c r="AO89" s="1">
        <v>56052</v>
      </c>
      <c r="AP89">
        <f t="shared" si="39"/>
        <v>1.1677500000000002E-3</v>
      </c>
      <c r="AR89" s="1">
        <v>54596</v>
      </c>
      <c r="AS89">
        <f t="shared" si="40"/>
        <v>1.1374166666666668E-3</v>
      </c>
      <c r="AU89" s="1">
        <v>53128</v>
      </c>
      <c r="AV89">
        <f t="shared" si="41"/>
        <v>1.1068333333333334E-3</v>
      </c>
      <c r="AX89" s="1">
        <v>48698</v>
      </c>
      <c r="AY89">
        <f t="shared" si="42"/>
        <v>1.0145416666666666E-3</v>
      </c>
      <c r="BA89" s="1">
        <v>45746</v>
      </c>
      <c r="BB89">
        <f t="shared" si="43"/>
        <v>9.5304166666666671E-4</v>
      </c>
      <c r="BD89" s="1">
        <v>41324</v>
      </c>
      <c r="BE89">
        <f t="shared" si="44"/>
        <v>8.6091666666666673E-4</v>
      </c>
      <c r="BG89" s="1">
        <v>38388</v>
      </c>
      <c r="BH89">
        <f t="shared" si="45"/>
        <v>7.9975000000000001E-4</v>
      </c>
      <c r="BJ89" s="1">
        <v>35432</v>
      </c>
      <c r="BK89">
        <f t="shared" si="46"/>
        <v>7.381666666666667E-4</v>
      </c>
      <c r="BM89" s="1">
        <v>32476</v>
      </c>
      <c r="BN89">
        <f t="shared" si="47"/>
        <v>6.765833333333334E-4</v>
      </c>
      <c r="BP89" s="1">
        <v>31020</v>
      </c>
      <c r="BQ89">
        <f t="shared" si="48"/>
        <v>6.765833333333334E-4</v>
      </c>
      <c r="BS89" s="1">
        <v>28068</v>
      </c>
      <c r="BT89">
        <f t="shared" si="49"/>
        <v>5.8474999999999998E-4</v>
      </c>
      <c r="BV89" s="1">
        <v>28068</v>
      </c>
      <c r="BW89">
        <f t="shared" si="50"/>
        <v>5.8474999999999998E-4</v>
      </c>
      <c r="BY89" s="1">
        <v>26590</v>
      </c>
      <c r="BZ89">
        <f t="shared" si="51"/>
        <v>5.5395833333333339E-4</v>
      </c>
      <c r="CB89" s="1">
        <v>23640</v>
      </c>
      <c r="CC89">
        <f t="shared" si="52"/>
        <v>4.9249999999999999E-4</v>
      </c>
    </row>
    <row r="90" spans="2:81" x14ac:dyDescent="0.2">
      <c r="B90" s="1">
        <v>81419</v>
      </c>
      <c r="C90">
        <f t="shared" si="27"/>
        <v>1.6962291666666668E-3</v>
      </c>
      <c r="E90" s="1">
        <v>82602</v>
      </c>
      <c r="F90">
        <f t="shared" si="28"/>
        <v>1.7208750000000002E-3</v>
      </c>
      <c r="H90" s="1">
        <v>245178</v>
      </c>
      <c r="I90">
        <f t="shared" si="29"/>
        <v>5.1078750000000004E-3</v>
      </c>
      <c r="K90" s="1"/>
      <c r="N90" s="1">
        <v>123061</v>
      </c>
      <c r="O90">
        <f t="shared" si="30"/>
        <v>2.5637708333333337E-3</v>
      </c>
      <c r="P90">
        <v>450</v>
      </c>
      <c r="Q90" s="1">
        <v>54594</v>
      </c>
      <c r="R90">
        <f t="shared" si="31"/>
        <v>1.1373750000000001E-3</v>
      </c>
      <c r="T90" s="1">
        <v>123089</v>
      </c>
      <c r="U90">
        <f t="shared" si="32"/>
        <v>2.564354166666667E-3</v>
      </c>
      <c r="W90" s="1">
        <v>70812</v>
      </c>
      <c r="X90">
        <f t="shared" si="33"/>
        <v>1.47525E-3</v>
      </c>
      <c r="Y90" s="1"/>
      <c r="Z90" s="1">
        <v>60504</v>
      </c>
      <c r="AA90">
        <f t="shared" si="34"/>
        <v>1.2605000000000001E-3</v>
      </c>
      <c r="AB90">
        <v>400</v>
      </c>
      <c r="AC90" s="1">
        <v>61982</v>
      </c>
      <c r="AD90">
        <f t="shared" si="35"/>
        <v>1.2912916666666667E-3</v>
      </c>
      <c r="AE90">
        <v>420</v>
      </c>
      <c r="AF90" s="1">
        <v>59024</v>
      </c>
      <c r="AG90">
        <f t="shared" si="36"/>
        <v>1.2296666666666667E-3</v>
      </c>
      <c r="AI90" s="1">
        <v>54620</v>
      </c>
      <c r="AJ90">
        <f t="shared" si="37"/>
        <v>1.1379166666666666E-3</v>
      </c>
      <c r="AL90" s="1">
        <v>54622</v>
      </c>
      <c r="AM90">
        <f t="shared" si="38"/>
        <v>1.1379583333333335E-3</v>
      </c>
      <c r="AO90" s="1">
        <v>54580</v>
      </c>
      <c r="AP90">
        <f t="shared" si="39"/>
        <v>1.1370833333333335E-3</v>
      </c>
      <c r="AR90" s="1">
        <v>54596</v>
      </c>
      <c r="AS90">
        <f t="shared" si="40"/>
        <v>1.1374166666666668E-3</v>
      </c>
      <c r="AU90" s="1">
        <v>51658</v>
      </c>
      <c r="AV90">
        <f t="shared" si="41"/>
        <v>1.0762083333333333E-3</v>
      </c>
      <c r="AX90" s="1">
        <v>50170</v>
      </c>
      <c r="AY90">
        <f t="shared" si="42"/>
        <v>1.0452083333333333E-3</v>
      </c>
      <c r="BA90" s="1">
        <v>44274</v>
      </c>
      <c r="BB90">
        <f t="shared" si="43"/>
        <v>9.2237500000000002E-4</v>
      </c>
      <c r="BD90" s="1">
        <v>41328</v>
      </c>
      <c r="BE90">
        <f t="shared" si="44"/>
        <v>8.61E-4</v>
      </c>
      <c r="BG90" s="1">
        <v>38390</v>
      </c>
      <c r="BH90">
        <f t="shared" si="45"/>
        <v>7.9979166666666675E-4</v>
      </c>
      <c r="BJ90" s="1">
        <v>35432</v>
      </c>
      <c r="BK90">
        <f t="shared" si="46"/>
        <v>7.381666666666667E-4</v>
      </c>
      <c r="BM90" s="1">
        <v>33950</v>
      </c>
      <c r="BN90">
        <f t="shared" si="47"/>
        <v>7.0729166666666672E-4</v>
      </c>
      <c r="BP90" s="1">
        <v>29540</v>
      </c>
      <c r="BQ90">
        <f t="shared" si="48"/>
        <v>7.0729166666666672E-4</v>
      </c>
      <c r="BS90" s="1">
        <v>28070</v>
      </c>
      <c r="BT90">
        <f t="shared" si="49"/>
        <v>5.8479166666666673E-4</v>
      </c>
      <c r="BV90" s="1">
        <v>26590</v>
      </c>
      <c r="BW90">
        <f t="shared" si="50"/>
        <v>5.5395833333333339E-4</v>
      </c>
      <c r="BY90" s="1">
        <v>26588</v>
      </c>
      <c r="BZ90">
        <f t="shared" si="51"/>
        <v>5.5391666666666675E-4</v>
      </c>
      <c r="CB90" s="1">
        <v>25114</v>
      </c>
      <c r="CC90">
        <f t="shared" si="52"/>
        <v>5.2320833333333332E-4</v>
      </c>
    </row>
    <row r="91" spans="2:81" x14ac:dyDescent="0.2">
      <c r="B91" s="1">
        <v>81538</v>
      </c>
      <c r="C91">
        <f t="shared" si="27"/>
        <v>1.6987083333333335E-3</v>
      </c>
      <c r="E91" s="1">
        <v>82602</v>
      </c>
      <c r="F91">
        <f t="shared" si="28"/>
        <v>1.7208750000000002E-3</v>
      </c>
      <c r="H91" s="1">
        <v>245120</v>
      </c>
      <c r="I91">
        <f t="shared" si="29"/>
        <v>5.1066666666666673E-3</v>
      </c>
      <c r="K91" s="1"/>
      <c r="N91" s="1">
        <v>123055</v>
      </c>
      <c r="O91">
        <f t="shared" si="30"/>
        <v>2.5636458333333336E-3</v>
      </c>
      <c r="P91">
        <v>450</v>
      </c>
      <c r="Q91" s="1">
        <v>56072</v>
      </c>
      <c r="R91">
        <f t="shared" si="31"/>
        <v>1.1681666666666667E-3</v>
      </c>
      <c r="T91" s="1">
        <v>123087</v>
      </c>
      <c r="U91">
        <f t="shared" si="32"/>
        <v>2.5643125000000002E-3</v>
      </c>
      <c r="W91" s="1">
        <v>70812</v>
      </c>
      <c r="X91">
        <f t="shared" si="33"/>
        <v>1.47525E-3</v>
      </c>
      <c r="Y91" s="1"/>
      <c r="Z91" s="1">
        <v>61972</v>
      </c>
      <c r="AA91">
        <f t="shared" si="34"/>
        <v>1.2910833333333333E-3</v>
      </c>
      <c r="AB91">
        <v>400</v>
      </c>
      <c r="AC91" s="1">
        <v>61970</v>
      </c>
      <c r="AD91">
        <f t="shared" si="35"/>
        <v>1.2910416666666667E-3</v>
      </c>
      <c r="AE91">
        <v>420</v>
      </c>
      <c r="AF91" s="1">
        <v>59026</v>
      </c>
      <c r="AG91">
        <f t="shared" si="36"/>
        <v>1.2297083333333333E-3</v>
      </c>
      <c r="AI91" s="1">
        <v>54624</v>
      </c>
      <c r="AJ91">
        <f t="shared" si="37"/>
        <v>1.1380000000000001E-3</v>
      </c>
      <c r="AL91" s="1">
        <v>54618</v>
      </c>
      <c r="AM91">
        <f t="shared" si="38"/>
        <v>1.137875E-3</v>
      </c>
      <c r="AO91" s="1">
        <v>54580</v>
      </c>
      <c r="AP91">
        <f t="shared" si="39"/>
        <v>1.1370833333333335E-3</v>
      </c>
      <c r="AR91" s="1">
        <v>54598</v>
      </c>
      <c r="AS91">
        <f t="shared" si="40"/>
        <v>1.1374583333333334E-3</v>
      </c>
      <c r="AU91" s="1">
        <v>51656</v>
      </c>
      <c r="AV91">
        <f t="shared" si="41"/>
        <v>1.0761666666666667E-3</v>
      </c>
      <c r="AX91" s="1">
        <v>50174</v>
      </c>
      <c r="AY91">
        <f t="shared" si="42"/>
        <v>1.0452916666666668E-3</v>
      </c>
      <c r="BA91" s="1">
        <v>44276</v>
      </c>
      <c r="BB91">
        <f t="shared" si="43"/>
        <v>9.2241666666666676E-4</v>
      </c>
      <c r="BD91" s="1">
        <v>41326</v>
      </c>
      <c r="BE91">
        <f t="shared" si="44"/>
        <v>8.6095833333333337E-4</v>
      </c>
      <c r="BG91" s="1">
        <v>38390</v>
      </c>
      <c r="BH91">
        <f t="shared" si="45"/>
        <v>7.9979166666666675E-4</v>
      </c>
      <c r="BJ91" s="1">
        <v>35436</v>
      </c>
      <c r="BK91">
        <f t="shared" si="46"/>
        <v>7.3825000000000008E-4</v>
      </c>
      <c r="BM91" s="1">
        <v>32476</v>
      </c>
      <c r="BN91">
        <f t="shared" si="47"/>
        <v>6.765833333333334E-4</v>
      </c>
      <c r="BP91" s="1">
        <v>31018</v>
      </c>
      <c r="BQ91">
        <f t="shared" si="48"/>
        <v>6.765833333333334E-4</v>
      </c>
      <c r="BS91" s="1">
        <v>28070</v>
      </c>
      <c r="BT91">
        <f t="shared" si="49"/>
        <v>5.8479166666666673E-4</v>
      </c>
      <c r="BV91" s="1">
        <v>26594</v>
      </c>
      <c r="BW91">
        <f t="shared" si="50"/>
        <v>5.5404166666666666E-4</v>
      </c>
      <c r="BY91" s="1">
        <v>26590</v>
      </c>
      <c r="BZ91">
        <f t="shared" si="51"/>
        <v>5.5395833333333339E-4</v>
      </c>
      <c r="CB91" s="1">
        <v>23642</v>
      </c>
      <c r="CC91">
        <f t="shared" si="52"/>
        <v>4.9254166666666674E-4</v>
      </c>
    </row>
    <row r="92" spans="2:81" x14ac:dyDescent="0.2">
      <c r="B92" s="1">
        <v>81534</v>
      </c>
      <c r="C92">
        <f t="shared" si="27"/>
        <v>1.698625E-3</v>
      </c>
      <c r="E92" s="1">
        <v>81128</v>
      </c>
      <c r="F92">
        <f t="shared" si="28"/>
        <v>1.6901666666666669E-3</v>
      </c>
      <c r="H92" s="1">
        <v>245799</v>
      </c>
      <c r="I92">
        <f t="shared" si="29"/>
        <v>5.1208125000000004E-3</v>
      </c>
      <c r="K92" s="1"/>
      <c r="N92" s="1">
        <v>123049</v>
      </c>
      <c r="O92">
        <f t="shared" si="30"/>
        <v>2.5635208333333334E-3</v>
      </c>
      <c r="P92">
        <v>450</v>
      </c>
      <c r="Q92" s="1">
        <v>54600</v>
      </c>
      <c r="R92">
        <f t="shared" si="31"/>
        <v>1.1375000000000001E-3</v>
      </c>
      <c r="T92" s="1">
        <v>123079</v>
      </c>
      <c r="U92">
        <f t="shared" si="32"/>
        <v>2.5641458333333336E-3</v>
      </c>
      <c r="W92" s="1">
        <v>69332</v>
      </c>
      <c r="X92">
        <f t="shared" si="33"/>
        <v>1.4444166666666668E-3</v>
      </c>
      <c r="Y92" s="1"/>
      <c r="Z92" s="1">
        <v>61972</v>
      </c>
      <c r="AA92">
        <f t="shared" si="34"/>
        <v>1.2910833333333333E-3</v>
      </c>
      <c r="AB92">
        <v>400</v>
      </c>
      <c r="AC92" s="1">
        <v>61970</v>
      </c>
      <c r="AD92">
        <f t="shared" si="35"/>
        <v>1.2910416666666667E-3</v>
      </c>
      <c r="AE92">
        <v>420</v>
      </c>
      <c r="AF92" s="1">
        <v>57548</v>
      </c>
      <c r="AG92">
        <f t="shared" si="36"/>
        <v>1.1989166666666667E-3</v>
      </c>
      <c r="AI92" s="1">
        <v>54620</v>
      </c>
      <c r="AJ92">
        <f t="shared" si="37"/>
        <v>1.1379166666666666E-3</v>
      </c>
      <c r="AL92" s="1">
        <v>54620</v>
      </c>
      <c r="AM92">
        <f t="shared" si="38"/>
        <v>1.1379166666666666E-3</v>
      </c>
      <c r="AO92" s="1">
        <v>54582</v>
      </c>
      <c r="AP92">
        <f t="shared" si="39"/>
        <v>1.1371250000000001E-3</v>
      </c>
      <c r="AR92" s="1">
        <v>56072</v>
      </c>
      <c r="AS92">
        <f t="shared" si="40"/>
        <v>1.1681666666666667E-3</v>
      </c>
      <c r="AU92" s="1">
        <v>53132</v>
      </c>
      <c r="AV92">
        <f t="shared" si="41"/>
        <v>1.1069166666666666E-3</v>
      </c>
      <c r="AX92" s="1">
        <v>50172</v>
      </c>
      <c r="AY92">
        <f t="shared" si="42"/>
        <v>1.04525E-3</v>
      </c>
      <c r="BA92" s="1">
        <v>44274</v>
      </c>
      <c r="BB92">
        <f t="shared" si="43"/>
        <v>9.2237500000000002E-4</v>
      </c>
      <c r="BD92" s="1">
        <v>41324</v>
      </c>
      <c r="BE92">
        <f t="shared" si="44"/>
        <v>8.6091666666666673E-4</v>
      </c>
      <c r="BG92" s="1">
        <v>38388</v>
      </c>
      <c r="BH92">
        <f t="shared" si="45"/>
        <v>7.9975000000000001E-4</v>
      </c>
      <c r="BJ92" s="1">
        <v>35436</v>
      </c>
      <c r="BK92">
        <f t="shared" si="46"/>
        <v>7.3825000000000008E-4</v>
      </c>
      <c r="BM92" s="1">
        <v>32480</v>
      </c>
      <c r="BN92">
        <f t="shared" si="47"/>
        <v>6.7666666666666667E-4</v>
      </c>
      <c r="BP92" s="1">
        <v>31018</v>
      </c>
      <c r="BQ92">
        <f t="shared" si="48"/>
        <v>6.7666666666666667E-4</v>
      </c>
      <c r="BS92" s="1">
        <v>29544</v>
      </c>
      <c r="BT92">
        <f t="shared" si="49"/>
        <v>6.1550000000000005E-4</v>
      </c>
      <c r="BV92" s="1">
        <v>28066</v>
      </c>
      <c r="BW92">
        <f t="shared" si="50"/>
        <v>5.8470833333333335E-4</v>
      </c>
      <c r="BY92" s="1">
        <v>26588</v>
      </c>
      <c r="BZ92">
        <f t="shared" si="51"/>
        <v>5.5391666666666675E-4</v>
      </c>
      <c r="CB92" s="1">
        <v>25116</v>
      </c>
      <c r="CC92">
        <f t="shared" si="52"/>
        <v>5.2325000000000006E-4</v>
      </c>
    </row>
    <row r="93" spans="2:81" x14ac:dyDescent="0.2">
      <c r="B93" s="1">
        <v>80341</v>
      </c>
      <c r="C93">
        <f t="shared" si="27"/>
        <v>1.6737708333333335E-3</v>
      </c>
      <c r="E93" s="1">
        <v>82602</v>
      </c>
      <c r="F93">
        <f t="shared" si="28"/>
        <v>1.7208750000000002E-3</v>
      </c>
      <c r="H93" s="1">
        <v>245969</v>
      </c>
      <c r="I93">
        <f t="shared" si="29"/>
        <v>5.1243541666666668E-3</v>
      </c>
      <c r="K93" s="1"/>
      <c r="N93" s="1">
        <v>123059</v>
      </c>
      <c r="O93">
        <f t="shared" si="30"/>
        <v>2.5637291666666668E-3</v>
      </c>
      <c r="P93">
        <v>450</v>
      </c>
      <c r="Q93" s="1">
        <v>54594</v>
      </c>
      <c r="R93">
        <f t="shared" si="31"/>
        <v>1.1373750000000001E-3</v>
      </c>
      <c r="T93" s="1">
        <v>123083</v>
      </c>
      <c r="U93">
        <f t="shared" si="32"/>
        <v>2.5642291666666669E-3</v>
      </c>
      <c r="W93" s="1">
        <v>70808</v>
      </c>
      <c r="X93">
        <f t="shared" si="33"/>
        <v>1.4751666666666667E-3</v>
      </c>
      <c r="Y93" s="1"/>
      <c r="Z93" s="1">
        <v>61982</v>
      </c>
      <c r="AA93">
        <f t="shared" si="34"/>
        <v>1.2912916666666667E-3</v>
      </c>
      <c r="AB93">
        <v>400</v>
      </c>
      <c r="AC93" s="1">
        <v>61972</v>
      </c>
      <c r="AD93">
        <f t="shared" si="35"/>
        <v>1.2910833333333333E-3</v>
      </c>
      <c r="AE93">
        <v>420</v>
      </c>
      <c r="AF93" s="1">
        <v>59024</v>
      </c>
      <c r="AG93">
        <f t="shared" si="36"/>
        <v>1.2296666666666667E-3</v>
      </c>
      <c r="AI93" s="1">
        <v>54624</v>
      </c>
      <c r="AJ93">
        <f t="shared" si="37"/>
        <v>1.1380000000000001E-3</v>
      </c>
      <c r="AL93" s="1">
        <v>56092</v>
      </c>
      <c r="AM93">
        <f t="shared" si="38"/>
        <v>1.1685833333333333E-3</v>
      </c>
      <c r="AO93" s="1">
        <v>54582</v>
      </c>
      <c r="AP93">
        <f t="shared" si="39"/>
        <v>1.1371250000000001E-3</v>
      </c>
      <c r="AR93" s="1">
        <v>54598</v>
      </c>
      <c r="AS93">
        <f t="shared" si="40"/>
        <v>1.1374583333333334E-3</v>
      </c>
      <c r="AU93" s="1">
        <v>51658</v>
      </c>
      <c r="AV93">
        <f t="shared" si="41"/>
        <v>1.0762083333333333E-3</v>
      </c>
      <c r="AX93" s="1">
        <v>50174</v>
      </c>
      <c r="AY93">
        <f t="shared" si="42"/>
        <v>1.0452916666666668E-3</v>
      </c>
      <c r="BA93" s="1">
        <v>45748</v>
      </c>
      <c r="BB93">
        <f t="shared" si="43"/>
        <v>9.5308333333333334E-4</v>
      </c>
      <c r="BD93" s="1">
        <v>41326</v>
      </c>
      <c r="BE93">
        <f t="shared" si="44"/>
        <v>8.6095833333333337E-4</v>
      </c>
      <c r="BG93" s="1">
        <v>36912</v>
      </c>
      <c r="BH93">
        <f t="shared" si="45"/>
        <v>7.6900000000000004E-4</v>
      </c>
      <c r="BJ93" s="1">
        <v>33958</v>
      </c>
      <c r="BK93">
        <f t="shared" si="46"/>
        <v>7.0745833333333338E-4</v>
      </c>
      <c r="BM93" s="1">
        <v>33950</v>
      </c>
      <c r="BN93">
        <f t="shared" si="47"/>
        <v>7.0729166666666672E-4</v>
      </c>
      <c r="BP93" s="1">
        <v>31014</v>
      </c>
      <c r="BQ93">
        <f t="shared" si="48"/>
        <v>7.0729166666666672E-4</v>
      </c>
      <c r="BS93" s="1">
        <v>29546</v>
      </c>
      <c r="BT93">
        <f t="shared" si="49"/>
        <v>6.1554166666666669E-4</v>
      </c>
      <c r="BV93" s="1">
        <v>28066</v>
      </c>
      <c r="BW93">
        <f t="shared" si="50"/>
        <v>5.8470833333333335E-4</v>
      </c>
      <c r="BY93" s="1">
        <v>26590</v>
      </c>
      <c r="BZ93">
        <f t="shared" si="51"/>
        <v>5.5395833333333339E-4</v>
      </c>
      <c r="CB93" s="1">
        <v>23640</v>
      </c>
      <c r="CC93">
        <f t="shared" si="52"/>
        <v>4.9249999999999999E-4</v>
      </c>
    </row>
    <row r="94" spans="2:81" x14ac:dyDescent="0.2">
      <c r="B94" s="1">
        <v>81425</v>
      </c>
      <c r="C94">
        <f t="shared" si="27"/>
        <v>1.6963541666666668E-3</v>
      </c>
      <c r="E94" s="1">
        <v>81423</v>
      </c>
      <c r="F94">
        <f t="shared" si="28"/>
        <v>1.6963125000000001E-3</v>
      </c>
      <c r="H94" s="1">
        <v>246931</v>
      </c>
      <c r="I94">
        <f t="shared" si="29"/>
        <v>5.1443958333333333E-3</v>
      </c>
      <c r="K94" s="1"/>
      <c r="N94" s="1">
        <v>123055</v>
      </c>
      <c r="O94">
        <f t="shared" si="30"/>
        <v>2.5636458333333336E-3</v>
      </c>
      <c r="P94">
        <v>450</v>
      </c>
      <c r="Q94" s="1">
        <v>56070</v>
      </c>
      <c r="R94">
        <f t="shared" si="31"/>
        <v>1.1681250000000001E-3</v>
      </c>
      <c r="T94" s="1">
        <v>120455</v>
      </c>
      <c r="U94">
        <f t="shared" si="32"/>
        <v>2.5094791666666668E-3</v>
      </c>
      <c r="W94" s="1">
        <v>70804</v>
      </c>
      <c r="X94">
        <f t="shared" si="33"/>
        <v>1.4750833333333335E-3</v>
      </c>
      <c r="Y94" s="1"/>
      <c r="Z94" s="1">
        <v>61972</v>
      </c>
      <c r="AA94">
        <f t="shared" si="34"/>
        <v>1.2910833333333333E-3</v>
      </c>
      <c r="AB94">
        <v>400</v>
      </c>
      <c r="AC94" s="1">
        <v>61978</v>
      </c>
      <c r="AD94">
        <f t="shared" si="35"/>
        <v>1.2912083333333334E-3</v>
      </c>
      <c r="AE94">
        <v>420</v>
      </c>
      <c r="AF94" s="1">
        <v>59024</v>
      </c>
      <c r="AG94">
        <f t="shared" si="36"/>
        <v>1.2296666666666667E-3</v>
      </c>
      <c r="AI94" s="1">
        <v>56098</v>
      </c>
      <c r="AJ94">
        <f t="shared" si="37"/>
        <v>1.1687083333333334E-3</v>
      </c>
      <c r="AL94" s="1">
        <v>54618</v>
      </c>
      <c r="AM94">
        <f t="shared" si="38"/>
        <v>1.137875E-3</v>
      </c>
      <c r="AO94" s="1">
        <v>54580</v>
      </c>
      <c r="AP94">
        <f t="shared" si="39"/>
        <v>1.1370833333333335E-3</v>
      </c>
      <c r="AR94" s="1">
        <v>54602</v>
      </c>
      <c r="AS94">
        <f t="shared" si="40"/>
        <v>1.1375416666666667E-3</v>
      </c>
      <c r="AU94" s="1">
        <v>53132</v>
      </c>
      <c r="AV94">
        <f t="shared" si="41"/>
        <v>1.1069166666666666E-3</v>
      </c>
      <c r="AX94" s="1">
        <v>50172</v>
      </c>
      <c r="AY94">
        <f t="shared" si="42"/>
        <v>1.04525E-3</v>
      </c>
      <c r="BA94" s="1">
        <v>45746</v>
      </c>
      <c r="BB94">
        <f t="shared" si="43"/>
        <v>9.5304166666666671E-4</v>
      </c>
      <c r="BD94" s="1">
        <v>41324</v>
      </c>
      <c r="BE94">
        <f t="shared" si="44"/>
        <v>8.6091666666666673E-4</v>
      </c>
      <c r="BG94" s="1">
        <v>36914</v>
      </c>
      <c r="BH94">
        <f t="shared" si="45"/>
        <v>7.6904166666666668E-4</v>
      </c>
      <c r="BJ94" s="1">
        <v>35430</v>
      </c>
      <c r="BK94">
        <f t="shared" si="46"/>
        <v>7.3812500000000007E-4</v>
      </c>
      <c r="BM94" s="1">
        <v>32480</v>
      </c>
      <c r="BN94">
        <f t="shared" si="47"/>
        <v>6.7666666666666667E-4</v>
      </c>
      <c r="BP94" s="1">
        <v>31014</v>
      </c>
      <c r="BQ94">
        <f t="shared" si="48"/>
        <v>6.7666666666666667E-4</v>
      </c>
      <c r="BS94" s="1">
        <v>29546</v>
      </c>
      <c r="BT94">
        <f t="shared" si="49"/>
        <v>6.1554166666666669E-4</v>
      </c>
      <c r="BV94" s="1">
        <v>28068</v>
      </c>
      <c r="BW94">
        <f t="shared" si="50"/>
        <v>5.8474999999999998E-4</v>
      </c>
      <c r="BY94" s="1">
        <v>26588</v>
      </c>
      <c r="BZ94">
        <f t="shared" si="51"/>
        <v>5.5391666666666675E-4</v>
      </c>
      <c r="CB94" s="1">
        <v>25114</v>
      </c>
      <c r="CC94">
        <f t="shared" si="52"/>
        <v>5.2320833333333332E-4</v>
      </c>
    </row>
    <row r="95" spans="2:81" x14ac:dyDescent="0.2">
      <c r="B95" s="1">
        <v>81536</v>
      </c>
      <c r="C95">
        <f t="shared" si="27"/>
        <v>1.6986666666666667E-3</v>
      </c>
      <c r="E95" s="1">
        <v>82606</v>
      </c>
      <c r="F95">
        <f t="shared" si="28"/>
        <v>1.7209583333333335E-3</v>
      </c>
      <c r="H95" s="1">
        <v>246233</v>
      </c>
      <c r="I95">
        <f t="shared" si="29"/>
        <v>5.1298541666666671E-3</v>
      </c>
      <c r="K95" s="1"/>
      <c r="N95" s="1">
        <v>124529</v>
      </c>
      <c r="O95">
        <f t="shared" si="30"/>
        <v>2.5943541666666667E-3</v>
      </c>
      <c r="P95">
        <v>450</v>
      </c>
      <c r="Q95" s="1">
        <v>54596</v>
      </c>
      <c r="R95">
        <f t="shared" si="31"/>
        <v>1.1374166666666668E-3</v>
      </c>
      <c r="T95" s="1">
        <v>123077</v>
      </c>
      <c r="U95">
        <f t="shared" si="32"/>
        <v>2.5641041666666668E-3</v>
      </c>
      <c r="W95" s="1">
        <v>70800</v>
      </c>
      <c r="X95">
        <f t="shared" si="33"/>
        <v>1.4750000000000002E-3</v>
      </c>
      <c r="Y95" s="1"/>
      <c r="Z95" s="1">
        <v>60502</v>
      </c>
      <c r="AA95">
        <f t="shared" si="34"/>
        <v>1.2604583333333335E-3</v>
      </c>
      <c r="AB95">
        <v>400</v>
      </c>
      <c r="AC95" s="1">
        <v>61972</v>
      </c>
      <c r="AD95">
        <f t="shared" si="35"/>
        <v>1.2910833333333333E-3</v>
      </c>
      <c r="AE95">
        <v>420</v>
      </c>
      <c r="AF95" s="1">
        <v>59022</v>
      </c>
      <c r="AG95">
        <f t="shared" si="36"/>
        <v>1.229625E-3</v>
      </c>
      <c r="AI95" s="1">
        <v>54624</v>
      </c>
      <c r="AJ95">
        <f t="shared" si="37"/>
        <v>1.1380000000000001E-3</v>
      </c>
      <c r="AL95" s="1">
        <v>54620</v>
      </c>
      <c r="AM95">
        <f t="shared" si="38"/>
        <v>1.1379166666666666E-3</v>
      </c>
      <c r="AO95" s="1">
        <v>56052</v>
      </c>
      <c r="AP95">
        <f t="shared" si="39"/>
        <v>1.1677500000000002E-3</v>
      </c>
      <c r="AR95" s="1">
        <v>54598</v>
      </c>
      <c r="AS95">
        <f t="shared" si="40"/>
        <v>1.1374583333333334E-3</v>
      </c>
      <c r="AU95" s="1">
        <v>53128</v>
      </c>
      <c r="AV95">
        <f t="shared" si="41"/>
        <v>1.1068333333333334E-3</v>
      </c>
      <c r="AX95" s="1">
        <v>50168</v>
      </c>
      <c r="AY95">
        <f t="shared" si="42"/>
        <v>1.0451666666666667E-3</v>
      </c>
      <c r="BA95" s="1">
        <v>45752</v>
      </c>
      <c r="BB95">
        <f t="shared" si="43"/>
        <v>9.5316666666666672E-4</v>
      </c>
      <c r="BD95" s="1">
        <v>41328</v>
      </c>
      <c r="BE95">
        <f t="shared" si="44"/>
        <v>8.61E-4</v>
      </c>
      <c r="BG95" s="1">
        <v>38386</v>
      </c>
      <c r="BH95">
        <f t="shared" si="45"/>
        <v>7.9970833333333337E-4</v>
      </c>
      <c r="BJ95" s="1">
        <v>35434</v>
      </c>
      <c r="BK95">
        <f t="shared" si="46"/>
        <v>7.3820833333333334E-4</v>
      </c>
      <c r="BM95" s="1">
        <v>33954</v>
      </c>
      <c r="BN95">
        <f t="shared" si="47"/>
        <v>7.07375E-4</v>
      </c>
      <c r="BP95" s="1">
        <v>31018</v>
      </c>
      <c r="BQ95">
        <f t="shared" si="48"/>
        <v>7.07375E-4</v>
      </c>
      <c r="BS95" s="1">
        <v>29544</v>
      </c>
      <c r="BT95">
        <f t="shared" si="49"/>
        <v>6.1550000000000005E-4</v>
      </c>
      <c r="BV95" s="1">
        <v>26596</v>
      </c>
      <c r="BW95">
        <f t="shared" si="50"/>
        <v>5.540833333333334E-4</v>
      </c>
      <c r="BY95" s="1">
        <v>26586</v>
      </c>
      <c r="BZ95">
        <f t="shared" si="51"/>
        <v>5.5387500000000001E-4</v>
      </c>
      <c r="CB95" s="1">
        <v>23642</v>
      </c>
      <c r="CC95">
        <f t="shared" si="52"/>
        <v>4.9254166666666674E-4</v>
      </c>
    </row>
    <row r="96" spans="2:81" x14ac:dyDescent="0.2">
      <c r="B96" s="1">
        <v>81425</v>
      </c>
      <c r="C96">
        <f t="shared" si="27"/>
        <v>1.6963541666666668E-3</v>
      </c>
      <c r="E96" s="1">
        <v>81411</v>
      </c>
      <c r="F96">
        <f t="shared" si="28"/>
        <v>1.6960625000000001E-3</v>
      </c>
      <c r="H96" s="1">
        <v>246575</v>
      </c>
      <c r="I96">
        <f t="shared" si="29"/>
        <v>5.1369791666666673E-3</v>
      </c>
      <c r="K96" s="1"/>
      <c r="N96" s="1">
        <v>123063</v>
      </c>
      <c r="O96">
        <f t="shared" si="30"/>
        <v>2.5638125000000001E-3</v>
      </c>
      <c r="P96">
        <v>450</v>
      </c>
      <c r="Q96" s="1">
        <v>54594</v>
      </c>
      <c r="R96">
        <f t="shared" si="31"/>
        <v>1.1373750000000001E-3</v>
      </c>
      <c r="T96" s="1">
        <v>123085</v>
      </c>
      <c r="U96">
        <f t="shared" si="32"/>
        <v>2.5642708333333333E-3</v>
      </c>
      <c r="W96" s="1">
        <v>69328</v>
      </c>
      <c r="X96">
        <f t="shared" si="33"/>
        <v>1.4443333333333335E-3</v>
      </c>
      <c r="Y96" s="1"/>
      <c r="Z96" s="1">
        <v>61976</v>
      </c>
      <c r="AA96">
        <f t="shared" si="34"/>
        <v>1.2911666666666668E-3</v>
      </c>
      <c r="AB96">
        <v>400</v>
      </c>
      <c r="AC96" s="1">
        <v>61972</v>
      </c>
      <c r="AD96">
        <f t="shared" si="35"/>
        <v>1.2910833333333333E-3</v>
      </c>
      <c r="AE96">
        <v>420</v>
      </c>
      <c r="AF96" s="1">
        <v>59020</v>
      </c>
      <c r="AG96">
        <f t="shared" si="36"/>
        <v>1.2295833333333334E-3</v>
      </c>
      <c r="AI96" s="1">
        <v>54620</v>
      </c>
      <c r="AJ96">
        <f t="shared" si="37"/>
        <v>1.1379166666666666E-3</v>
      </c>
      <c r="AL96" s="1">
        <v>56098</v>
      </c>
      <c r="AM96">
        <f t="shared" si="38"/>
        <v>1.1687083333333334E-3</v>
      </c>
      <c r="AO96" s="1">
        <v>54576</v>
      </c>
      <c r="AP96">
        <f t="shared" si="39"/>
        <v>1.137E-3</v>
      </c>
      <c r="AR96" s="1">
        <v>54596</v>
      </c>
      <c r="AS96">
        <f t="shared" si="40"/>
        <v>1.1374166666666668E-3</v>
      </c>
      <c r="AU96" s="1">
        <v>51650</v>
      </c>
      <c r="AV96">
        <f t="shared" si="41"/>
        <v>1.0760416666666668E-3</v>
      </c>
      <c r="AX96" s="1">
        <v>48696</v>
      </c>
      <c r="AY96">
        <f t="shared" si="42"/>
        <v>1.0145E-3</v>
      </c>
      <c r="BA96" s="1">
        <v>45748</v>
      </c>
      <c r="BB96">
        <f t="shared" si="43"/>
        <v>9.5308333333333334E-4</v>
      </c>
      <c r="BD96" s="1">
        <v>41324</v>
      </c>
      <c r="BE96">
        <f t="shared" si="44"/>
        <v>8.6091666666666673E-4</v>
      </c>
      <c r="BG96" s="1">
        <v>38386</v>
      </c>
      <c r="BH96">
        <f t="shared" si="45"/>
        <v>7.9970833333333337E-4</v>
      </c>
      <c r="BJ96" s="1">
        <v>35434</v>
      </c>
      <c r="BK96">
        <f t="shared" si="46"/>
        <v>7.3820833333333334E-4</v>
      </c>
      <c r="BM96" s="1">
        <v>32482</v>
      </c>
      <c r="BN96">
        <f t="shared" si="47"/>
        <v>6.7670833333333342E-4</v>
      </c>
      <c r="BP96" s="1">
        <v>31018</v>
      </c>
      <c r="BQ96">
        <f t="shared" si="48"/>
        <v>6.7670833333333342E-4</v>
      </c>
      <c r="BS96" s="1">
        <v>29548</v>
      </c>
      <c r="BT96">
        <f t="shared" si="49"/>
        <v>6.1558333333333333E-4</v>
      </c>
      <c r="BV96" s="1">
        <v>26592</v>
      </c>
      <c r="BW96">
        <f t="shared" si="50"/>
        <v>5.5400000000000002E-4</v>
      </c>
      <c r="BY96" s="1">
        <v>26588</v>
      </c>
      <c r="BZ96">
        <f t="shared" si="51"/>
        <v>5.5391666666666675E-4</v>
      </c>
      <c r="CB96" s="1">
        <v>23640</v>
      </c>
      <c r="CC96">
        <f t="shared" si="52"/>
        <v>4.9249999999999999E-4</v>
      </c>
    </row>
    <row r="97" spans="1:81" x14ac:dyDescent="0.2">
      <c r="B97" s="1">
        <v>81146</v>
      </c>
      <c r="C97">
        <f t="shared" si="27"/>
        <v>1.6905416666666668E-3</v>
      </c>
      <c r="E97" s="1">
        <v>81528</v>
      </c>
      <c r="F97">
        <f t="shared" si="28"/>
        <v>1.6985000000000001E-3</v>
      </c>
      <c r="H97" s="1">
        <v>246141</v>
      </c>
      <c r="I97">
        <f t="shared" si="29"/>
        <v>5.1279375000000006E-3</v>
      </c>
      <c r="K97" s="1"/>
      <c r="N97" s="1">
        <v>123059</v>
      </c>
      <c r="O97">
        <f t="shared" si="30"/>
        <v>2.5637291666666668E-3</v>
      </c>
      <c r="P97">
        <v>450</v>
      </c>
      <c r="Q97" s="1">
        <v>54598</v>
      </c>
      <c r="R97">
        <f t="shared" si="31"/>
        <v>1.1374583333333334E-3</v>
      </c>
      <c r="T97" s="1">
        <v>123093</v>
      </c>
      <c r="U97">
        <f t="shared" si="32"/>
        <v>2.5644375000000003E-3</v>
      </c>
      <c r="W97" s="1">
        <v>70810</v>
      </c>
      <c r="X97">
        <f t="shared" si="33"/>
        <v>1.4752083333333334E-3</v>
      </c>
      <c r="Y97" s="1"/>
      <c r="Z97" s="1">
        <v>61974</v>
      </c>
      <c r="AA97">
        <f t="shared" si="34"/>
        <v>1.2911250000000002E-3</v>
      </c>
      <c r="AB97">
        <v>400</v>
      </c>
      <c r="AC97" s="1">
        <v>61974</v>
      </c>
      <c r="AD97">
        <f t="shared" si="35"/>
        <v>1.2911250000000002E-3</v>
      </c>
      <c r="AE97">
        <v>420</v>
      </c>
      <c r="AF97" s="1">
        <v>59022</v>
      </c>
      <c r="AG97">
        <f t="shared" si="36"/>
        <v>1.229625E-3</v>
      </c>
      <c r="AI97" s="1">
        <v>54624</v>
      </c>
      <c r="AJ97">
        <f t="shared" si="37"/>
        <v>1.1380000000000001E-3</v>
      </c>
      <c r="AL97" s="1">
        <v>54620</v>
      </c>
      <c r="AM97">
        <f t="shared" si="38"/>
        <v>1.1379166666666666E-3</v>
      </c>
      <c r="AO97" s="1">
        <v>54582</v>
      </c>
      <c r="AP97">
        <f t="shared" si="39"/>
        <v>1.1371250000000001E-3</v>
      </c>
      <c r="AR97" s="1">
        <v>56070</v>
      </c>
      <c r="AS97">
        <f t="shared" si="40"/>
        <v>1.1681250000000001E-3</v>
      </c>
      <c r="AU97" s="1">
        <v>53130</v>
      </c>
      <c r="AV97">
        <f t="shared" si="41"/>
        <v>1.106875E-3</v>
      </c>
      <c r="AX97" s="1">
        <v>50176</v>
      </c>
      <c r="AY97">
        <f t="shared" si="42"/>
        <v>1.0453333333333334E-3</v>
      </c>
      <c r="BA97" s="1"/>
      <c r="BD97" s="1">
        <v>41322</v>
      </c>
      <c r="BE97">
        <f t="shared" si="44"/>
        <v>8.608750000000001E-4</v>
      </c>
      <c r="BG97" s="1">
        <v>38386</v>
      </c>
      <c r="BH97">
        <f t="shared" si="45"/>
        <v>7.9970833333333337E-4</v>
      </c>
      <c r="BJ97" s="1">
        <v>35436</v>
      </c>
      <c r="BK97">
        <f t="shared" si="46"/>
        <v>7.3825000000000008E-4</v>
      </c>
      <c r="BM97" s="1">
        <v>32480</v>
      </c>
      <c r="BN97">
        <f t="shared" si="47"/>
        <v>6.7666666666666667E-4</v>
      </c>
      <c r="BP97" s="1">
        <v>31016</v>
      </c>
      <c r="BQ97">
        <f t="shared" si="48"/>
        <v>6.7666666666666667E-4</v>
      </c>
      <c r="BS97" s="1">
        <v>29546</v>
      </c>
      <c r="BT97">
        <f t="shared" si="49"/>
        <v>6.1554166666666669E-4</v>
      </c>
      <c r="BV97" s="1">
        <v>26592</v>
      </c>
      <c r="BW97">
        <f t="shared" si="50"/>
        <v>5.5400000000000002E-4</v>
      </c>
      <c r="BY97" s="1">
        <v>26588</v>
      </c>
      <c r="BZ97">
        <f t="shared" si="51"/>
        <v>5.5391666666666675E-4</v>
      </c>
      <c r="CB97" s="1">
        <v>25116</v>
      </c>
      <c r="CC97">
        <f t="shared" si="52"/>
        <v>5.2325000000000006E-4</v>
      </c>
    </row>
    <row r="98" spans="1:81" x14ac:dyDescent="0.2">
      <c r="B98" s="1">
        <v>81536</v>
      </c>
      <c r="C98">
        <f t="shared" si="27"/>
        <v>1.6986666666666667E-3</v>
      </c>
      <c r="E98" s="1">
        <v>82612</v>
      </c>
      <c r="F98">
        <f t="shared" si="28"/>
        <v>1.7210833333333334E-3</v>
      </c>
      <c r="H98" s="1">
        <v>245815</v>
      </c>
      <c r="I98">
        <f t="shared" si="29"/>
        <v>5.1211458333333335E-3</v>
      </c>
      <c r="K98" s="1"/>
      <c r="N98" s="1">
        <v>123051</v>
      </c>
      <c r="O98">
        <f t="shared" si="30"/>
        <v>2.5635625000000003E-3</v>
      </c>
      <c r="P98">
        <v>450</v>
      </c>
      <c r="Q98" s="1">
        <v>54598</v>
      </c>
      <c r="R98">
        <f t="shared" si="31"/>
        <v>1.1374583333333334E-3</v>
      </c>
      <c r="T98" s="1">
        <v>121617</v>
      </c>
      <c r="U98">
        <f t="shared" si="32"/>
        <v>2.5336875000000003E-3</v>
      </c>
      <c r="W98" s="1">
        <v>70798</v>
      </c>
      <c r="X98">
        <f t="shared" si="33"/>
        <v>1.4749583333333333E-3</v>
      </c>
      <c r="Y98" s="1"/>
      <c r="Z98" s="1">
        <v>61974</v>
      </c>
      <c r="AA98">
        <f t="shared" si="34"/>
        <v>1.2911250000000002E-3</v>
      </c>
      <c r="AB98">
        <v>400</v>
      </c>
      <c r="AC98" s="1">
        <v>61970</v>
      </c>
      <c r="AD98">
        <f t="shared" si="35"/>
        <v>1.2910416666666667E-3</v>
      </c>
      <c r="AE98">
        <v>420</v>
      </c>
      <c r="AF98" s="1">
        <v>57550</v>
      </c>
      <c r="AG98">
        <f t="shared" si="36"/>
        <v>1.1989583333333333E-3</v>
      </c>
      <c r="AI98" s="1">
        <v>54622</v>
      </c>
      <c r="AJ98">
        <f t="shared" si="37"/>
        <v>1.1379583333333335E-3</v>
      </c>
      <c r="AL98" s="1">
        <v>54620</v>
      </c>
      <c r="AM98">
        <f t="shared" si="38"/>
        <v>1.1379166666666666E-3</v>
      </c>
      <c r="AO98" s="1">
        <v>54580</v>
      </c>
      <c r="AP98">
        <f t="shared" si="39"/>
        <v>1.1370833333333335E-3</v>
      </c>
      <c r="AR98" s="1">
        <v>56074</v>
      </c>
      <c r="AS98">
        <f t="shared" si="40"/>
        <v>1.1682083333333334E-3</v>
      </c>
      <c r="AU98" s="1">
        <v>53132</v>
      </c>
      <c r="AV98">
        <f t="shared" si="41"/>
        <v>1.1069166666666666E-3</v>
      </c>
      <c r="AX98" s="1">
        <v>48700</v>
      </c>
      <c r="AY98">
        <f t="shared" si="42"/>
        <v>1.0145833333333335E-3</v>
      </c>
      <c r="BA98" s="1">
        <v>45750</v>
      </c>
      <c r="BB98">
        <f t="shared" si="43"/>
        <v>9.5312500000000009E-4</v>
      </c>
      <c r="BD98" s="1">
        <v>41324</v>
      </c>
      <c r="BE98">
        <f t="shared" si="44"/>
        <v>8.6091666666666673E-4</v>
      </c>
      <c r="BG98" s="1">
        <v>38388</v>
      </c>
      <c r="BH98">
        <f t="shared" si="45"/>
        <v>7.9975000000000001E-4</v>
      </c>
      <c r="BJ98" s="1">
        <v>35434</v>
      </c>
      <c r="BK98">
        <f t="shared" si="46"/>
        <v>7.3820833333333334E-4</v>
      </c>
      <c r="BM98" s="1">
        <v>33952</v>
      </c>
      <c r="BN98">
        <f t="shared" si="47"/>
        <v>7.0733333333333336E-4</v>
      </c>
      <c r="BP98" s="1">
        <v>31018</v>
      </c>
      <c r="BQ98">
        <f t="shared" si="48"/>
        <v>7.0733333333333336E-4</v>
      </c>
      <c r="BS98" s="1">
        <v>29544</v>
      </c>
      <c r="BT98">
        <f t="shared" si="49"/>
        <v>6.1550000000000005E-4</v>
      </c>
      <c r="BV98" s="1">
        <v>28066</v>
      </c>
      <c r="BW98">
        <f t="shared" si="50"/>
        <v>5.8470833333333335E-4</v>
      </c>
      <c r="BY98" s="1">
        <v>26588</v>
      </c>
      <c r="BZ98">
        <f t="shared" si="51"/>
        <v>5.5391666666666675E-4</v>
      </c>
      <c r="CB98" s="1">
        <v>23640</v>
      </c>
      <c r="CC98">
        <f t="shared" si="52"/>
        <v>4.9249999999999999E-4</v>
      </c>
    </row>
    <row r="99" spans="1:81" x14ac:dyDescent="0.2">
      <c r="B99" s="1">
        <v>81431</v>
      </c>
      <c r="C99">
        <f t="shared" si="27"/>
        <v>1.6964791666666667E-3</v>
      </c>
      <c r="E99" s="1">
        <v>81411</v>
      </c>
      <c r="F99">
        <f t="shared" si="28"/>
        <v>1.6960625000000001E-3</v>
      </c>
      <c r="H99" s="1">
        <v>245460</v>
      </c>
      <c r="I99">
        <f t="shared" si="29"/>
        <v>5.1137500000000002E-3</v>
      </c>
      <c r="K99" s="1"/>
      <c r="N99" s="1">
        <v>123051</v>
      </c>
      <c r="O99">
        <f t="shared" si="30"/>
        <v>2.5635625000000003E-3</v>
      </c>
      <c r="P99">
        <v>450</v>
      </c>
      <c r="Q99" s="1">
        <v>54594</v>
      </c>
      <c r="R99">
        <f t="shared" si="31"/>
        <v>1.1373750000000001E-3</v>
      </c>
      <c r="T99" s="1">
        <v>123087</v>
      </c>
      <c r="U99">
        <f t="shared" si="32"/>
        <v>2.5643125000000002E-3</v>
      </c>
      <c r="W99" s="1">
        <v>69328</v>
      </c>
      <c r="X99">
        <f t="shared" si="33"/>
        <v>1.4443333333333335E-3</v>
      </c>
      <c r="Y99" s="1"/>
      <c r="Z99" s="1">
        <v>61972</v>
      </c>
      <c r="AA99">
        <f t="shared" si="34"/>
        <v>1.2910833333333333E-3</v>
      </c>
      <c r="AB99">
        <v>400</v>
      </c>
      <c r="AC99" s="1">
        <v>61968</v>
      </c>
      <c r="AD99">
        <f t="shared" si="35"/>
        <v>1.291E-3</v>
      </c>
      <c r="AE99">
        <v>420</v>
      </c>
      <c r="AF99" s="1">
        <v>59022</v>
      </c>
      <c r="AG99">
        <f t="shared" si="36"/>
        <v>1.229625E-3</v>
      </c>
      <c r="AI99" s="1">
        <v>54622</v>
      </c>
      <c r="AJ99">
        <f t="shared" si="37"/>
        <v>1.1379583333333335E-3</v>
      </c>
      <c r="AL99" s="1">
        <v>56094</v>
      </c>
      <c r="AM99">
        <f t="shared" si="38"/>
        <v>1.1686250000000002E-3</v>
      </c>
      <c r="AO99" s="1">
        <v>54580</v>
      </c>
      <c r="AP99">
        <f t="shared" si="39"/>
        <v>1.1370833333333335E-3</v>
      </c>
      <c r="AR99" s="1">
        <v>54596</v>
      </c>
      <c r="AS99">
        <f t="shared" si="40"/>
        <v>1.1374166666666668E-3</v>
      </c>
      <c r="AU99" s="1">
        <v>53132</v>
      </c>
      <c r="AV99">
        <f t="shared" si="41"/>
        <v>1.1069166666666666E-3</v>
      </c>
      <c r="AX99" s="1">
        <v>48702</v>
      </c>
      <c r="AY99">
        <f t="shared" si="42"/>
        <v>1.0146250000000001E-3</v>
      </c>
      <c r="BA99" s="1">
        <v>45748</v>
      </c>
      <c r="BB99">
        <f t="shared" si="43"/>
        <v>9.5308333333333334E-4</v>
      </c>
      <c r="BD99" s="1">
        <v>41330</v>
      </c>
      <c r="BE99">
        <f t="shared" si="44"/>
        <v>8.6104166666666675E-4</v>
      </c>
      <c r="BG99" s="1">
        <v>36912</v>
      </c>
      <c r="BH99">
        <f t="shared" si="45"/>
        <v>7.6900000000000004E-4</v>
      </c>
      <c r="BJ99" s="1">
        <v>35432</v>
      </c>
      <c r="BK99">
        <f t="shared" si="46"/>
        <v>7.381666666666667E-4</v>
      </c>
      <c r="BM99" s="1">
        <v>32478</v>
      </c>
      <c r="BN99">
        <f t="shared" si="47"/>
        <v>6.7662500000000003E-4</v>
      </c>
      <c r="BP99" s="1">
        <v>31016</v>
      </c>
      <c r="BQ99">
        <f t="shared" si="48"/>
        <v>6.7662500000000003E-4</v>
      </c>
      <c r="BS99" s="1">
        <v>28070</v>
      </c>
      <c r="BT99">
        <f t="shared" si="49"/>
        <v>5.8479166666666673E-4</v>
      </c>
      <c r="BV99" s="1">
        <v>28066</v>
      </c>
      <c r="BW99">
        <f t="shared" si="50"/>
        <v>5.8470833333333335E-4</v>
      </c>
      <c r="BY99" s="1">
        <v>26586</v>
      </c>
      <c r="BZ99">
        <f t="shared" si="51"/>
        <v>5.5387500000000001E-4</v>
      </c>
      <c r="CB99" s="1">
        <v>25114</v>
      </c>
      <c r="CC99">
        <f t="shared" si="52"/>
        <v>5.2320833333333332E-4</v>
      </c>
    </row>
    <row r="100" spans="1:81" x14ac:dyDescent="0.2">
      <c r="B100" s="1">
        <v>81532</v>
      </c>
      <c r="C100">
        <f t="shared" si="27"/>
        <v>1.6985833333333334E-3</v>
      </c>
      <c r="E100" s="1">
        <v>82602</v>
      </c>
      <c r="F100">
        <f t="shared" si="28"/>
        <v>1.7208750000000002E-3</v>
      </c>
      <c r="H100" s="1">
        <v>245793</v>
      </c>
      <c r="I100">
        <f t="shared" si="29"/>
        <v>5.1206875000000002E-3</v>
      </c>
      <c r="K100" s="1"/>
      <c r="N100" s="1">
        <v>121583</v>
      </c>
      <c r="O100">
        <f t="shared" si="30"/>
        <v>2.5329791666666669E-3</v>
      </c>
      <c r="P100">
        <v>450</v>
      </c>
      <c r="Q100" s="1">
        <v>54596</v>
      </c>
      <c r="R100">
        <f t="shared" si="31"/>
        <v>1.1374166666666668E-3</v>
      </c>
      <c r="T100" s="1">
        <v>121615</v>
      </c>
      <c r="U100">
        <f t="shared" si="32"/>
        <v>2.5336458333333335E-3</v>
      </c>
      <c r="W100" s="1">
        <v>69328</v>
      </c>
      <c r="X100">
        <f t="shared" si="33"/>
        <v>1.4443333333333335E-3</v>
      </c>
      <c r="Y100" s="1"/>
      <c r="Z100" s="1">
        <v>61970</v>
      </c>
      <c r="AA100">
        <f t="shared" si="34"/>
        <v>1.2910416666666667E-3</v>
      </c>
      <c r="AB100">
        <v>400</v>
      </c>
      <c r="AC100" s="1">
        <v>61974</v>
      </c>
      <c r="AD100">
        <f t="shared" si="35"/>
        <v>1.2911250000000002E-3</v>
      </c>
      <c r="AE100">
        <v>420</v>
      </c>
      <c r="AF100" s="1">
        <v>59026</v>
      </c>
      <c r="AG100">
        <f t="shared" si="36"/>
        <v>1.2297083333333333E-3</v>
      </c>
      <c r="AI100" s="1">
        <v>54624</v>
      </c>
      <c r="AJ100">
        <f t="shared" si="37"/>
        <v>1.1380000000000001E-3</v>
      </c>
      <c r="AL100" s="1">
        <v>54616</v>
      </c>
      <c r="AM100">
        <f t="shared" si="38"/>
        <v>1.1378333333333334E-3</v>
      </c>
      <c r="AO100" s="1">
        <v>54582</v>
      </c>
      <c r="AP100">
        <f t="shared" si="39"/>
        <v>1.1371250000000001E-3</v>
      </c>
      <c r="AR100" s="1">
        <v>53124</v>
      </c>
      <c r="AS100">
        <f t="shared" si="40"/>
        <v>1.1067500000000001E-3</v>
      </c>
      <c r="AU100" s="1">
        <v>51654</v>
      </c>
      <c r="AV100">
        <f t="shared" si="41"/>
        <v>1.076125E-3</v>
      </c>
      <c r="AX100" s="1">
        <v>48704</v>
      </c>
      <c r="AY100">
        <f t="shared" si="42"/>
        <v>1.0146666666666668E-3</v>
      </c>
      <c r="BA100" s="1">
        <v>44274</v>
      </c>
      <c r="BB100">
        <f t="shared" si="43"/>
        <v>9.2237500000000002E-4</v>
      </c>
      <c r="BD100" s="1">
        <v>41326</v>
      </c>
      <c r="BE100">
        <f t="shared" si="44"/>
        <v>8.6095833333333337E-4</v>
      </c>
      <c r="BG100" s="1">
        <v>38388</v>
      </c>
      <c r="BH100">
        <f t="shared" si="45"/>
        <v>7.9975000000000001E-4</v>
      </c>
      <c r="BJ100" s="1">
        <v>35434</v>
      </c>
      <c r="BK100">
        <f t="shared" si="46"/>
        <v>7.3820833333333334E-4</v>
      </c>
      <c r="BM100" s="1">
        <v>32480</v>
      </c>
      <c r="BN100">
        <f t="shared" si="47"/>
        <v>6.7666666666666667E-4</v>
      </c>
      <c r="BP100" s="1">
        <v>29540</v>
      </c>
      <c r="BQ100">
        <f t="shared" si="48"/>
        <v>6.7666666666666667E-4</v>
      </c>
      <c r="BS100" s="1">
        <v>28070</v>
      </c>
      <c r="BT100">
        <f t="shared" si="49"/>
        <v>5.8479166666666673E-4</v>
      </c>
      <c r="BV100" s="1">
        <v>26594</v>
      </c>
      <c r="BW100">
        <f t="shared" si="50"/>
        <v>5.5404166666666666E-4</v>
      </c>
      <c r="BY100" s="1">
        <v>26588</v>
      </c>
      <c r="BZ100">
        <f t="shared" si="51"/>
        <v>5.5391666666666675E-4</v>
      </c>
      <c r="CB100" s="1">
        <v>23638</v>
      </c>
      <c r="CC100">
        <f t="shared" si="52"/>
        <v>4.9245833333333335E-4</v>
      </c>
    </row>
    <row r="101" spans="1:81" x14ac:dyDescent="0.2">
      <c r="E101" s="1">
        <v>81409</v>
      </c>
      <c r="F101">
        <f t="shared" si="28"/>
        <v>1.6960208333333335E-3</v>
      </c>
      <c r="H101" s="1">
        <v>245441</v>
      </c>
      <c r="I101">
        <f t="shared" si="29"/>
        <v>5.1133541666666671E-3</v>
      </c>
      <c r="K101" s="1"/>
      <c r="N101" s="1">
        <v>123051</v>
      </c>
      <c r="O101">
        <f t="shared" si="30"/>
        <v>2.5635625000000003E-3</v>
      </c>
      <c r="P101">
        <v>450</v>
      </c>
      <c r="Q101" s="1">
        <v>54596</v>
      </c>
      <c r="R101">
        <f t="shared" si="31"/>
        <v>1.1374166666666668E-3</v>
      </c>
      <c r="T101" s="1">
        <v>121619</v>
      </c>
      <c r="U101">
        <f t="shared" si="32"/>
        <v>2.5337291666666668E-3</v>
      </c>
      <c r="W101" s="1">
        <v>70800</v>
      </c>
      <c r="X101">
        <f t="shared" si="33"/>
        <v>1.4750000000000002E-3</v>
      </c>
      <c r="Y101" s="1"/>
      <c r="Z101" s="1">
        <v>61970</v>
      </c>
      <c r="AA101">
        <f t="shared" si="34"/>
        <v>1.2910416666666667E-3</v>
      </c>
      <c r="AB101">
        <v>400</v>
      </c>
      <c r="AC101" s="1">
        <v>60494</v>
      </c>
      <c r="AD101">
        <f t="shared" si="35"/>
        <v>1.2602916666666667E-3</v>
      </c>
      <c r="AE101">
        <v>420</v>
      </c>
      <c r="AF101" s="1">
        <v>59026</v>
      </c>
      <c r="AG101">
        <f t="shared" si="36"/>
        <v>1.2297083333333333E-3</v>
      </c>
      <c r="AI101" s="1">
        <v>54626</v>
      </c>
      <c r="AJ101">
        <f t="shared" si="37"/>
        <v>1.1380416666666668E-3</v>
      </c>
      <c r="AL101" s="1">
        <v>54616</v>
      </c>
      <c r="AM101">
        <f t="shared" si="38"/>
        <v>1.1378333333333334E-3</v>
      </c>
      <c r="AO101" s="1">
        <v>54582</v>
      </c>
      <c r="AP101">
        <f t="shared" si="39"/>
        <v>1.1371250000000001E-3</v>
      </c>
      <c r="AR101" s="1">
        <v>54598</v>
      </c>
      <c r="AS101">
        <f t="shared" si="40"/>
        <v>1.1374583333333334E-3</v>
      </c>
      <c r="AU101" s="1">
        <v>53136</v>
      </c>
      <c r="AV101">
        <f t="shared" si="41"/>
        <v>1.1070000000000001E-3</v>
      </c>
      <c r="AX101" s="1">
        <v>48702</v>
      </c>
      <c r="AY101">
        <f t="shared" si="42"/>
        <v>1.0146250000000001E-3</v>
      </c>
      <c r="BA101" s="1">
        <v>44272</v>
      </c>
      <c r="BB101">
        <f t="shared" si="43"/>
        <v>9.2233333333333338E-4</v>
      </c>
      <c r="BD101" s="1">
        <v>41326</v>
      </c>
      <c r="BE101">
        <f t="shared" si="44"/>
        <v>8.6095833333333337E-4</v>
      </c>
      <c r="BG101" s="1">
        <v>38388</v>
      </c>
      <c r="BH101">
        <f t="shared" si="45"/>
        <v>7.9975000000000001E-4</v>
      </c>
      <c r="BJ101" s="1">
        <v>33958</v>
      </c>
      <c r="BK101">
        <f t="shared" si="46"/>
        <v>7.0745833333333338E-4</v>
      </c>
      <c r="BM101" s="1">
        <v>32478</v>
      </c>
      <c r="BN101">
        <f t="shared" si="47"/>
        <v>6.7662500000000003E-4</v>
      </c>
      <c r="BP101" s="1">
        <v>31016</v>
      </c>
      <c r="BQ101">
        <f t="shared" si="48"/>
        <v>6.7662500000000003E-4</v>
      </c>
      <c r="BS101" s="1">
        <v>29546</v>
      </c>
      <c r="BT101">
        <f t="shared" si="49"/>
        <v>6.1554166666666669E-4</v>
      </c>
      <c r="BV101" s="1">
        <v>26592</v>
      </c>
      <c r="BW101">
        <f t="shared" si="50"/>
        <v>5.5400000000000002E-4</v>
      </c>
      <c r="BY101" s="1">
        <v>26588</v>
      </c>
      <c r="BZ101">
        <f t="shared" si="51"/>
        <v>5.5391666666666675E-4</v>
      </c>
      <c r="CB101" s="1">
        <v>25112</v>
      </c>
      <c r="CC101">
        <f t="shared" si="52"/>
        <v>5.2316666666666668E-4</v>
      </c>
    </row>
    <row r="102" spans="1:81" x14ac:dyDescent="0.2">
      <c r="E102" s="1">
        <v>82600</v>
      </c>
      <c r="F102">
        <f t="shared" si="28"/>
        <v>1.7208333333333333E-3</v>
      </c>
      <c r="Q102" s="1"/>
      <c r="W102" s="1">
        <v>70808</v>
      </c>
      <c r="X102">
        <f t="shared" si="33"/>
        <v>1.4751666666666667E-3</v>
      </c>
      <c r="Y102" s="1"/>
      <c r="Z102" s="1">
        <v>60502</v>
      </c>
      <c r="AA102">
        <f t="shared" si="34"/>
        <v>1.2604583333333335E-3</v>
      </c>
      <c r="AB102">
        <v>400</v>
      </c>
      <c r="AC102" s="1">
        <v>61972</v>
      </c>
      <c r="AD102">
        <f t="shared" si="35"/>
        <v>1.2910833333333333E-3</v>
      </c>
      <c r="AE102">
        <v>420</v>
      </c>
      <c r="AF102" s="1">
        <v>59022</v>
      </c>
      <c r="AG102">
        <f t="shared" si="36"/>
        <v>1.229625E-3</v>
      </c>
      <c r="AI102" s="1"/>
      <c r="AL102" s="1">
        <v>56092</v>
      </c>
      <c r="AM102">
        <f t="shared" si="38"/>
        <v>1.1685833333333333E-3</v>
      </c>
      <c r="AO102" s="1">
        <v>54586</v>
      </c>
      <c r="AP102">
        <f t="shared" si="39"/>
        <v>1.1372083333333334E-3</v>
      </c>
      <c r="AR102" s="1">
        <v>54600</v>
      </c>
      <c r="AS102">
        <f t="shared" si="40"/>
        <v>1.1375000000000001E-3</v>
      </c>
      <c r="AU102" s="1">
        <v>51662</v>
      </c>
      <c r="AV102">
        <f t="shared" si="41"/>
        <v>1.0762916666666668E-3</v>
      </c>
      <c r="AX102" s="1">
        <v>48698</v>
      </c>
      <c r="AY102">
        <f t="shared" si="42"/>
        <v>1.0145416666666666E-3</v>
      </c>
      <c r="BA102" s="1">
        <v>44272</v>
      </c>
      <c r="BB102">
        <f t="shared" si="43"/>
        <v>9.2233333333333338E-4</v>
      </c>
      <c r="BD102" s="1">
        <v>41330</v>
      </c>
      <c r="BE102">
        <f t="shared" si="44"/>
        <v>8.6104166666666675E-4</v>
      </c>
      <c r="BJ102" s="1">
        <v>35430</v>
      </c>
      <c r="BK102">
        <f t="shared" si="46"/>
        <v>7.3812500000000007E-4</v>
      </c>
      <c r="BM102" s="1">
        <v>32478</v>
      </c>
      <c r="BN102">
        <f t="shared" si="47"/>
        <v>6.7662500000000003E-4</v>
      </c>
      <c r="BP102" s="1">
        <v>29540</v>
      </c>
      <c r="BQ102">
        <f t="shared" si="48"/>
        <v>6.7662500000000003E-4</v>
      </c>
      <c r="BS102" s="1">
        <v>29544</v>
      </c>
      <c r="BT102">
        <f t="shared" si="49"/>
        <v>6.1550000000000005E-4</v>
      </c>
      <c r="BV102" s="1">
        <v>26594</v>
      </c>
      <c r="BW102">
        <f t="shared" si="50"/>
        <v>5.5404166666666666E-4</v>
      </c>
      <c r="BY102" s="1">
        <v>26588</v>
      </c>
      <c r="BZ102">
        <f t="shared" si="51"/>
        <v>5.5391666666666675E-4</v>
      </c>
      <c r="CB102" s="1">
        <v>23638</v>
      </c>
      <c r="CC102">
        <f t="shared" si="52"/>
        <v>4.9245833333333335E-4</v>
      </c>
    </row>
    <row r="103" spans="1:81" x14ac:dyDescent="0.2">
      <c r="Y103" s="1"/>
      <c r="AB103" s="1"/>
    </row>
    <row r="104" spans="1:81" x14ac:dyDescent="0.2">
      <c r="Y104" s="1"/>
      <c r="AB104" s="1"/>
    </row>
    <row r="105" spans="1:81" x14ac:dyDescent="0.2">
      <c r="Y105" s="1"/>
      <c r="AB105" s="1"/>
    </row>
    <row r="106" spans="1:81" s="6" customFormat="1" x14ac:dyDescent="0.2">
      <c r="A106" s="6">
        <v>300</v>
      </c>
      <c r="C106" s="6">
        <f>(MAX(C2:C100)-MIN(C2:C101))*1000000</f>
        <v>53.333333333333186</v>
      </c>
      <c r="D106" s="6">
        <v>300</v>
      </c>
      <c r="F106" s="6">
        <f>(MAX(F2:F100)-MIN(F2:F101))*1000000</f>
        <v>31.3333333333333</v>
      </c>
      <c r="I106" s="6">
        <f t="shared" ref="I106:O106" si="53">(MAX(I2:I100)-MIN(I2:I101))*1000000</f>
        <v>38.43749999999941</v>
      </c>
      <c r="J106" s="6">
        <v>100</v>
      </c>
      <c r="L106" s="6">
        <f t="shared" si="53"/>
        <v>37.625000000000334</v>
      </c>
      <c r="M106" s="6">
        <v>200</v>
      </c>
      <c r="O106" s="6">
        <f t="shared" si="53"/>
        <v>61.874999999999865</v>
      </c>
      <c r="R106" s="6">
        <f>(MAX(R2:R101)-MIN(R2:R101))*1000000</f>
        <v>92.208333333333243</v>
      </c>
      <c r="U106" s="6">
        <f>(MAX(U2:U100)-MIN(U2:U101))*1000000</f>
        <v>55.250000000000178</v>
      </c>
      <c r="V106" s="6">
        <v>350</v>
      </c>
      <c r="X106" s="6">
        <f>(MAX(X2:X100)-MIN(X2:X101))*1000000</f>
        <v>31.16666666666654</v>
      </c>
      <c r="AA106" s="6">
        <f>(MAX(AA2:AA100)-MIN(AA2:AA101))*1000000</f>
        <v>31.250000000000028</v>
      </c>
      <c r="AB106" s="6">
        <v>400</v>
      </c>
      <c r="AD106" s="6">
        <f>(MAX(AD2:AD100)-MIN(AD2:AD101))*1000000</f>
        <v>31.16666666666654</v>
      </c>
      <c r="AE106" s="6">
        <v>450</v>
      </c>
      <c r="AG106" s="6">
        <f>(MAX(AG2:AG100)-MIN(AG2:AG101))*1000000</f>
        <v>30.958333333333357</v>
      </c>
      <c r="AH106" s="6">
        <v>450</v>
      </c>
      <c r="AJ106" s="6">
        <f>(MAX(AJ2:AJ102)-MIN(AJ2:AJ102))*1000000</f>
        <v>30.958333333333357</v>
      </c>
      <c r="AK106" s="6">
        <v>450</v>
      </c>
      <c r="AM106" s="6">
        <f>(MAX(AM2:AM100)-MIN(AM2:AM101))*1000000</f>
        <v>31.041666666666632</v>
      </c>
      <c r="AN106" s="6">
        <v>450</v>
      </c>
      <c r="AP106" s="6">
        <f>(MAX(AP2:AP102)-MIN(AP2:AP102))*1000000</f>
        <v>61.333333333333378</v>
      </c>
      <c r="AQ106" s="6">
        <v>450</v>
      </c>
      <c r="AS106" s="6">
        <f>(MAX(AS2:AS100)-MIN(AS2:AS101))*1000000</f>
        <v>61.624999999999829</v>
      </c>
      <c r="AT106" s="6">
        <v>470</v>
      </c>
      <c r="AV106" s="6">
        <f>(MAX(AV2:AV102)-MIN(AV2:AV102))*1000000</f>
        <v>31.250000000000028</v>
      </c>
      <c r="AW106" s="6">
        <v>500</v>
      </c>
      <c r="AY106" s="6">
        <f>(MAX(AY2:AY100)-MIN(AY2:AY101))*1000000</f>
        <v>31.083333333333268</v>
      </c>
      <c r="AZ106" s="6">
        <v>550</v>
      </c>
      <c r="BB106" s="6">
        <f t="shared" ref="BB106" si="54">(MAX(BB2:BB100)-MIN(BB2:BB101))*1000000</f>
        <v>30.916666666666615</v>
      </c>
      <c r="BC106" s="6">
        <v>600</v>
      </c>
      <c r="BE106" s="6">
        <f>(MAX(BE2:BE102)-MIN(BE2:BE102))*1000000</f>
        <v>30.958333333333357</v>
      </c>
      <c r="BF106" s="6">
        <v>650</v>
      </c>
      <c r="BH106" s="6">
        <f t="shared" ref="BH106:BQ106" si="55">(MAX(BH2:BH102)-MIN(BH2:BH102))*1000000</f>
        <v>30.958333333333357</v>
      </c>
      <c r="BI106" s="6">
        <v>700</v>
      </c>
      <c r="BK106" s="6">
        <f t="shared" si="55"/>
        <v>30.875000000000085</v>
      </c>
      <c r="BL106" s="6">
        <v>750</v>
      </c>
      <c r="BN106" s="6">
        <f t="shared" si="55"/>
        <v>30.916666666666721</v>
      </c>
      <c r="BO106" s="6">
        <v>800</v>
      </c>
      <c r="BQ106" s="6">
        <f t="shared" si="55"/>
        <v>30.916666666666721</v>
      </c>
      <c r="BR106" s="6">
        <v>850</v>
      </c>
      <c r="BT106" s="6">
        <f>(MAX(BT2:BT102)-MIN(BT2:BT102))*1000000</f>
        <v>30.916666666666721</v>
      </c>
      <c r="BU106" s="6">
        <v>900</v>
      </c>
      <c r="BW106" s="6">
        <f>(MAX(BW2:BW102)-MIN(BW2:BW102))*1000000</f>
        <v>30.833333333333343</v>
      </c>
      <c r="BX106" s="6">
        <v>950</v>
      </c>
      <c r="BZ106" s="6">
        <f t="shared" ref="BZ106:CC106" si="56">(MAX(BZ2:BZ102)-MIN(BZ2:BZ102))*1000000</f>
        <v>30.958333333333357</v>
      </c>
      <c r="CC106" s="6">
        <f t="shared" si="56"/>
        <v>30.874999999999979</v>
      </c>
    </row>
    <row r="107" spans="1:81" x14ac:dyDescent="0.2">
      <c r="Y107" s="1"/>
      <c r="AB107" s="1"/>
    </row>
    <row r="108" spans="1:81" x14ac:dyDescent="0.2">
      <c r="Y108" s="1"/>
      <c r="AB108" s="1"/>
    </row>
    <row r="109" spans="1:81" x14ac:dyDescent="0.2">
      <c r="Y109" s="1"/>
      <c r="AB109" s="1"/>
    </row>
    <row r="110" spans="1:81" x14ac:dyDescent="0.2">
      <c r="Y110" s="1"/>
      <c r="AB110" s="1"/>
      <c r="BC110">
        <v>100</v>
      </c>
      <c r="BD110">
        <v>38.43749999999941</v>
      </c>
      <c r="BR110">
        <v>100</v>
      </c>
      <c r="BS110">
        <v>38.43749999999941</v>
      </c>
    </row>
    <row r="111" spans="1:81" x14ac:dyDescent="0.2">
      <c r="U111">
        <v>100</v>
      </c>
      <c r="V111">
        <v>38.43749999999941</v>
      </c>
      <c r="Y111" s="1"/>
      <c r="AB111" s="1"/>
      <c r="AK111">
        <v>100</v>
      </c>
      <c r="AL111">
        <v>38.43749999999941</v>
      </c>
      <c r="BC111">
        <v>100</v>
      </c>
      <c r="BD111">
        <v>37.625000000000334</v>
      </c>
      <c r="BR111">
        <v>100</v>
      </c>
      <c r="BS111">
        <v>37.625000000000334</v>
      </c>
    </row>
    <row r="112" spans="1:81" x14ac:dyDescent="0.2">
      <c r="U112">
        <v>100</v>
      </c>
      <c r="V112">
        <v>37.625000000000334</v>
      </c>
      <c r="Y112" s="1"/>
      <c r="AB112" s="1"/>
      <c r="AK112">
        <v>100</v>
      </c>
      <c r="AL112">
        <v>37.625000000000334</v>
      </c>
      <c r="BC112">
        <v>200</v>
      </c>
      <c r="BD112">
        <v>61.874999999999865</v>
      </c>
      <c r="BR112">
        <v>200</v>
      </c>
      <c r="BS112">
        <v>61.874999999999865</v>
      </c>
    </row>
    <row r="113" spans="4:71" x14ac:dyDescent="0.2">
      <c r="D113" s="6">
        <v>100</v>
      </c>
      <c r="E113" s="2">
        <f>(MAX(I2:I100)-MIN(I2:I101))*1000000</f>
        <v>38.43749999999941</v>
      </c>
      <c r="U113">
        <v>200</v>
      </c>
      <c r="V113">
        <v>61.874999999999865</v>
      </c>
      <c r="Y113" s="1"/>
      <c r="AB113" s="1"/>
      <c r="AK113">
        <v>200</v>
      </c>
      <c r="AL113">
        <v>61.874999999999865</v>
      </c>
      <c r="BC113">
        <v>450</v>
      </c>
      <c r="BD113">
        <v>92.249999999999886</v>
      </c>
      <c r="BR113">
        <v>450</v>
      </c>
      <c r="BS113">
        <v>92.249999999999886</v>
      </c>
    </row>
    <row r="114" spans="4:71" x14ac:dyDescent="0.2">
      <c r="D114" s="2">
        <v>100</v>
      </c>
      <c r="E114" s="2">
        <f>(MAX(L2:L100)-MIN(L2:L101))*1000000</f>
        <v>37.625000000000334</v>
      </c>
      <c r="U114">
        <v>450</v>
      </c>
      <c r="V114">
        <v>92.249999999999886</v>
      </c>
      <c r="Y114" s="1"/>
      <c r="AB114" s="1"/>
      <c r="AK114">
        <v>450</v>
      </c>
      <c r="AL114">
        <v>92.249999999999886</v>
      </c>
      <c r="BC114">
        <v>200</v>
      </c>
      <c r="BD114" s="2">
        <v>55.250000000000178</v>
      </c>
      <c r="BR114">
        <v>200</v>
      </c>
      <c r="BS114" s="2">
        <v>55.250000000000178</v>
      </c>
    </row>
    <row r="115" spans="4:71" x14ac:dyDescent="0.2">
      <c r="D115" s="2">
        <v>200</v>
      </c>
      <c r="E115" s="2">
        <f>(MAX(O2:O100)-MIN(O2:O101))*1000000</f>
        <v>61.874999999999865</v>
      </c>
      <c r="U115">
        <v>200</v>
      </c>
      <c r="V115" s="2">
        <v>55.250000000000178</v>
      </c>
      <c r="Y115" s="1"/>
      <c r="AB115" s="1"/>
      <c r="AK115">
        <v>200</v>
      </c>
      <c r="AL115" s="2">
        <v>55.250000000000178</v>
      </c>
      <c r="BC115">
        <v>350</v>
      </c>
      <c r="BD115">
        <v>31.16666666666654</v>
      </c>
      <c r="BR115">
        <v>350</v>
      </c>
      <c r="BS115">
        <v>31.16666666666654</v>
      </c>
    </row>
    <row r="116" spans="4:71" x14ac:dyDescent="0.2">
      <c r="D116">
        <v>450</v>
      </c>
      <c r="E116">
        <v>92.249999999999886</v>
      </c>
      <c r="U116">
        <v>350</v>
      </c>
      <c r="V116">
        <v>31.16666666666654</v>
      </c>
      <c r="Y116" s="1"/>
      <c r="AB116" s="1"/>
      <c r="AK116">
        <v>350</v>
      </c>
      <c r="AL116">
        <v>31.16666666666654</v>
      </c>
      <c r="BC116">
        <v>400</v>
      </c>
      <c r="BD116">
        <v>31.16666666666654</v>
      </c>
      <c r="BR116">
        <v>400</v>
      </c>
      <c r="BS116">
        <v>31.16666666666654</v>
      </c>
    </row>
    <row r="117" spans="4:71" x14ac:dyDescent="0.2">
      <c r="U117">
        <v>400</v>
      </c>
      <c r="V117">
        <v>31.16666666666654</v>
      </c>
      <c r="Y117" s="1"/>
      <c r="AB117" s="1"/>
      <c r="AK117">
        <v>400</v>
      </c>
      <c r="AL117">
        <v>31.16666666666654</v>
      </c>
      <c r="BC117">
        <v>400</v>
      </c>
      <c r="BD117">
        <v>31.250000000000028</v>
      </c>
      <c r="BR117">
        <v>400</v>
      </c>
      <c r="BS117">
        <v>31.250000000000028</v>
      </c>
    </row>
    <row r="118" spans="4:71" x14ac:dyDescent="0.2">
      <c r="U118">
        <v>400</v>
      </c>
      <c r="V118">
        <v>31.250000000000028</v>
      </c>
      <c r="Y118" s="1"/>
      <c r="AB118" s="1"/>
      <c r="AK118">
        <v>400</v>
      </c>
      <c r="AL118">
        <v>31.250000000000028</v>
      </c>
      <c r="BC118">
        <v>420</v>
      </c>
      <c r="BD118">
        <v>30.958333333333357</v>
      </c>
      <c r="BR118">
        <v>420</v>
      </c>
      <c r="BS118">
        <v>30.958333333333357</v>
      </c>
    </row>
    <row r="119" spans="4:71" x14ac:dyDescent="0.2">
      <c r="U119">
        <v>420</v>
      </c>
      <c r="V119">
        <v>30.958333333333357</v>
      </c>
      <c r="AK119">
        <v>420</v>
      </c>
      <c r="AL119">
        <v>30.958333333333357</v>
      </c>
      <c r="BC119">
        <v>450</v>
      </c>
      <c r="BD119">
        <v>30.958333333333357</v>
      </c>
      <c r="BR119">
        <v>450</v>
      </c>
      <c r="BS119">
        <v>30.958333333333357</v>
      </c>
    </row>
    <row r="120" spans="4:71" x14ac:dyDescent="0.2">
      <c r="U120">
        <v>450</v>
      </c>
      <c r="V120">
        <v>30.958333333333357</v>
      </c>
      <c r="AK120">
        <v>450</v>
      </c>
      <c r="AL120">
        <v>30.958333333333357</v>
      </c>
      <c r="BC120">
        <v>450</v>
      </c>
      <c r="BD120">
        <v>31.041666666666632</v>
      </c>
      <c r="BR120">
        <v>450</v>
      </c>
      <c r="BS120">
        <v>31.041666666666632</v>
      </c>
    </row>
    <row r="121" spans="4:71" x14ac:dyDescent="0.2">
      <c r="AK121">
        <v>450</v>
      </c>
      <c r="AL121">
        <v>31.041666666666632</v>
      </c>
      <c r="BC121">
        <v>450</v>
      </c>
      <c r="BD121">
        <v>61.333333333333378</v>
      </c>
      <c r="BR121">
        <v>450</v>
      </c>
      <c r="BS121">
        <v>61.333333333333378</v>
      </c>
    </row>
    <row r="122" spans="4:71" x14ac:dyDescent="0.2">
      <c r="AK122">
        <v>450</v>
      </c>
      <c r="AL122">
        <v>61.333333333333378</v>
      </c>
      <c r="BC122">
        <v>450</v>
      </c>
      <c r="BD122">
        <v>61.624999999999829</v>
      </c>
      <c r="BR122">
        <v>450</v>
      </c>
      <c r="BS122">
        <v>61.624999999999829</v>
      </c>
    </row>
    <row r="123" spans="4:71" x14ac:dyDescent="0.2">
      <c r="AK123">
        <v>450</v>
      </c>
      <c r="AL123">
        <v>61.624999999999829</v>
      </c>
      <c r="BC123" s="9">
        <v>470</v>
      </c>
      <c r="BD123">
        <v>31.250000000000028</v>
      </c>
      <c r="BR123" s="9">
        <v>470</v>
      </c>
      <c r="BS123">
        <v>31.250000000000028</v>
      </c>
    </row>
    <row r="124" spans="4:71" x14ac:dyDescent="0.2">
      <c r="AK124" s="9">
        <v>470</v>
      </c>
      <c r="AL124">
        <v>31.250000000000028</v>
      </c>
      <c r="BC124" s="6">
        <v>500</v>
      </c>
      <c r="BD124">
        <v>31.083333333333268</v>
      </c>
      <c r="BR124" s="6">
        <v>500</v>
      </c>
      <c r="BS124">
        <v>31.083333333333268</v>
      </c>
    </row>
    <row r="125" spans="4:71" x14ac:dyDescent="0.2">
      <c r="AK125" s="6">
        <v>500</v>
      </c>
      <c r="AL125">
        <v>31.083333333333268</v>
      </c>
      <c r="BC125" s="6">
        <v>550</v>
      </c>
      <c r="BD125">
        <v>30.916666666666615</v>
      </c>
      <c r="BR125" s="6">
        <v>550</v>
      </c>
      <c r="BS125">
        <v>30.916666666666615</v>
      </c>
    </row>
    <row r="126" spans="4:71" x14ac:dyDescent="0.2">
      <c r="AK126" s="6">
        <v>550</v>
      </c>
      <c r="AL126">
        <v>30.916666666666615</v>
      </c>
      <c r="BC126" s="6">
        <v>600</v>
      </c>
      <c r="BD126">
        <v>30.958333333333357</v>
      </c>
      <c r="BR126" s="6">
        <v>600</v>
      </c>
      <c r="BS126">
        <v>30.958333333333357</v>
      </c>
    </row>
    <row r="127" spans="4:71" x14ac:dyDescent="0.2">
      <c r="BC127" s="6">
        <v>650</v>
      </c>
      <c r="BD127">
        <v>30.958333333333357</v>
      </c>
      <c r="BR127" s="6">
        <v>650</v>
      </c>
      <c r="BS127">
        <v>30.958333333333357</v>
      </c>
    </row>
    <row r="128" spans="4:71" x14ac:dyDescent="0.2">
      <c r="BC128" s="6">
        <v>700</v>
      </c>
      <c r="BD128">
        <v>30.875000000000085</v>
      </c>
      <c r="BR128" s="6">
        <v>700</v>
      </c>
      <c r="BS128">
        <v>30.875000000000085</v>
      </c>
    </row>
    <row r="129" spans="55:71" x14ac:dyDescent="0.2">
      <c r="BC129" s="6">
        <v>750</v>
      </c>
      <c r="BD129">
        <v>30.916666666666721</v>
      </c>
      <c r="BR129" s="6">
        <v>750</v>
      </c>
      <c r="BS129">
        <v>30.916666666666721</v>
      </c>
    </row>
    <row r="130" spans="55:71" x14ac:dyDescent="0.2">
      <c r="BR130" s="6">
        <v>800</v>
      </c>
      <c r="BS130">
        <v>30.916666666666721</v>
      </c>
    </row>
    <row r="131" spans="55:71" x14ac:dyDescent="0.2">
      <c r="BR131" s="6">
        <v>850</v>
      </c>
      <c r="BS131">
        <v>30.916666666666721</v>
      </c>
    </row>
    <row r="132" spans="55:71" x14ac:dyDescent="0.2">
      <c r="BR132" s="6">
        <v>900</v>
      </c>
      <c r="BS132">
        <v>30.833333333333343</v>
      </c>
    </row>
    <row r="133" spans="55:71" x14ac:dyDescent="0.2">
      <c r="BR133" s="6">
        <v>950</v>
      </c>
      <c r="BS133">
        <v>30.958333333333357</v>
      </c>
    </row>
    <row r="134" spans="55:71" x14ac:dyDescent="0.2">
      <c r="BR134" s="6">
        <v>1000</v>
      </c>
      <c r="BS134">
        <v>30.874999999999979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no_extra_cap</vt:lpstr>
      <vt:lpstr>2.25uf</vt:lpstr>
      <vt:lpstr>4.5uF</vt:lpstr>
      <vt:lpstr>6.75uF</vt:lpstr>
      <vt:lpstr>deltaT</vt:lpstr>
      <vt:lpstr>deltaT_rawdata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2017-10-12T15:44:15Z</dcterms:created>
  <dcterms:modified xsi:type="dcterms:W3CDTF">2017-10-14T19:33:41Z</dcterms:modified>
</cp:coreProperties>
</file>