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Fangming/Documents/MATLAB/PUPD Sensor Project/"/>
    </mc:Choice>
  </mc:AlternateContent>
  <bookViews>
    <workbookView xWindow="28800" yWindow="460" windowWidth="25600" windowHeight="20020" tabRatio="500"/>
  </bookViews>
  <sheets>
    <sheet name="6.75uf" sheetId="3" r:id="rId1"/>
    <sheet name="9uf" sheetId="8" r:id="rId2"/>
    <sheet name="4.5uf" sheetId="9" r:id="rId3"/>
    <sheet name="no_extra" sheetId="11" r:id="rId4"/>
    <sheet name="2.25uf" sheetId="10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49" i="11" l="1"/>
  <c r="AB50" i="11"/>
  <c r="X50" i="11"/>
  <c r="W50" i="11"/>
  <c r="T50" i="11"/>
  <c r="P50" i="11"/>
  <c r="O50" i="11"/>
  <c r="L50" i="11"/>
  <c r="I50" i="11"/>
  <c r="F50" i="11"/>
  <c r="C50" i="11"/>
  <c r="X49" i="11"/>
  <c r="W49" i="11"/>
  <c r="T49" i="11"/>
  <c r="P49" i="11"/>
  <c r="O49" i="11"/>
  <c r="L49" i="11"/>
  <c r="I49" i="11"/>
  <c r="F49" i="11"/>
  <c r="C49" i="11"/>
  <c r="AB48" i="11"/>
  <c r="X48" i="11"/>
  <c r="W48" i="11"/>
  <c r="T48" i="11"/>
  <c r="P48" i="11"/>
  <c r="O48" i="11"/>
  <c r="L48" i="11"/>
  <c r="I48" i="11"/>
  <c r="F48" i="11"/>
  <c r="C48" i="11"/>
  <c r="AB47" i="11"/>
  <c r="X47" i="11"/>
  <c r="W47" i="11"/>
  <c r="T47" i="11"/>
  <c r="P47" i="11"/>
  <c r="O47" i="11"/>
  <c r="L47" i="11"/>
  <c r="I47" i="11"/>
  <c r="F47" i="11"/>
  <c r="C47" i="11"/>
  <c r="AB46" i="11"/>
  <c r="X46" i="11"/>
  <c r="W46" i="11"/>
  <c r="T46" i="11"/>
  <c r="P46" i="11"/>
  <c r="O46" i="11"/>
  <c r="L46" i="11"/>
  <c r="I46" i="11"/>
  <c r="F46" i="11"/>
  <c r="C46" i="11"/>
  <c r="AB45" i="11"/>
  <c r="X45" i="11"/>
  <c r="W45" i="11"/>
  <c r="T45" i="11"/>
  <c r="P45" i="11"/>
  <c r="O45" i="11"/>
  <c r="L45" i="11"/>
  <c r="I45" i="11"/>
  <c r="F45" i="11"/>
  <c r="C45" i="11"/>
  <c r="AB44" i="11"/>
  <c r="X44" i="11"/>
  <c r="W44" i="11"/>
  <c r="T44" i="11"/>
  <c r="P44" i="11"/>
  <c r="O44" i="11"/>
  <c r="L44" i="11"/>
  <c r="I44" i="11"/>
  <c r="F44" i="11"/>
  <c r="C44" i="11"/>
  <c r="AB43" i="11"/>
  <c r="AA43" i="11"/>
  <c r="X43" i="11"/>
  <c r="W43" i="11"/>
  <c r="T43" i="11"/>
  <c r="S43" i="11"/>
  <c r="P43" i="11"/>
  <c r="O43" i="11"/>
  <c r="L43" i="11"/>
  <c r="I43" i="11"/>
  <c r="F43" i="11"/>
  <c r="C43" i="11"/>
  <c r="AB42" i="11"/>
  <c r="AA42" i="11"/>
  <c r="X42" i="11"/>
  <c r="W42" i="11"/>
  <c r="T42" i="11"/>
  <c r="S42" i="11"/>
  <c r="P42" i="11"/>
  <c r="O42" i="11"/>
  <c r="L42" i="11"/>
  <c r="I42" i="11"/>
  <c r="F42" i="11"/>
  <c r="C42" i="11"/>
  <c r="AB41" i="11"/>
  <c r="AA41" i="11"/>
  <c r="X41" i="11"/>
  <c r="W41" i="11"/>
  <c r="T41" i="11"/>
  <c r="S41" i="11"/>
  <c r="P41" i="11"/>
  <c r="O41" i="11"/>
  <c r="L41" i="11"/>
  <c r="I41" i="11"/>
  <c r="F41" i="11"/>
  <c r="C41" i="11"/>
  <c r="AB40" i="11"/>
  <c r="AA40" i="11"/>
  <c r="X40" i="11"/>
  <c r="W40" i="11"/>
  <c r="T40" i="11"/>
  <c r="S40" i="11"/>
  <c r="P40" i="11"/>
  <c r="O40" i="11"/>
  <c r="L40" i="11"/>
  <c r="I40" i="11"/>
  <c r="F40" i="11"/>
  <c r="C40" i="11"/>
  <c r="AB39" i="11"/>
  <c r="AA39" i="11"/>
  <c r="X39" i="11"/>
  <c r="W39" i="11"/>
  <c r="T39" i="11"/>
  <c r="S39" i="11"/>
  <c r="P39" i="11"/>
  <c r="O39" i="11"/>
  <c r="L39" i="11"/>
  <c r="I39" i="11"/>
  <c r="F39" i="11"/>
  <c r="C39" i="11"/>
  <c r="AB38" i="11"/>
  <c r="AA38" i="11"/>
  <c r="X38" i="11"/>
  <c r="W38" i="11"/>
  <c r="T38" i="11"/>
  <c r="S38" i="11"/>
  <c r="P38" i="11"/>
  <c r="O38" i="11"/>
  <c r="L38" i="11"/>
  <c r="I38" i="11"/>
  <c r="F38" i="11"/>
  <c r="C38" i="11"/>
  <c r="AB37" i="11"/>
  <c r="AA37" i="11"/>
  <c r="X37" i="11"/>
  <c r="W37" i="11"/>
  <c r="T37" i="11"/>
  <c r="S37" i="11"/>
  <c r="P37" i="11"/>
  <c r="O37" i="11"/>
  <c r="L37" i="11"/>
  <c r="I37" i="11"/>
  <c r="F37" i="11"/>
  <c r="C37" i="11"/>
  <c r="AB36" i="11"/>
  <c r="AA36" i="11"/>
  <c r="X36" i="11"/>
  <c r="W36" i="11"/>
  <c r="T36" i="11"/>
  <c r="S36" i="11"/>
  <c r="P36" i="11"/>
  <c r="O36" i="11"/>
  <c r="L36" i="11"/>
  <c r="I36" i="11"/>
  <c r="F36" i="11"/>
  <c r="C36" i="11"/>
  <c r="AB35" i="11"/>
  <c r="AA35" i="11"/>
  <c r="X35" i="11"/>
  <c r="W35" i="11"/>
  <c r="T35" i="11"/>
  <c r="S35" i="11"/>
  <c r="P35" i="11"/>
  <c r="O35" i="11"/>
  <c r="L35" i="11"/>
  <c r="I35" i="11"/>
  <c r="F35" i="11"/>
  <c r="C35" i="11"/>
  <c r="AB34" i="11"/>
  <c r="AA34" i="11"/>
  <c r="X34" i="11"/>
  <c r="W34" i="11"/>
  <c r="T34" i="11"/>
  <c r="S34" i="11"/>
  <c r="P34" i="11"/>
  <c r="O34" i="11"/>
  <c r="L34" i="11"/>
  <c r="I34" i="11"/>
  <c r="F34" i="11"/>
  <c r="C34" i="11"/>
  <c r="AB33" i="11"/>
  <c r="AA33" i="11"/>
  <c r="X33" i="11"/>
  <c r="W33" i="11"/>
  <c r="T33" i="11"/>
  <c r="S33" i="11"/>
  <c r="P33" i="11"/>
  <c r="O33" i="11"/>
  <c r="L33" i="11"/>
  <c r="I33" i="11"/>
  <c r="F33" i="11"/>
  <c r="C33" i="11"/>
  <c r="AB32" i="11"/>
  <c r="AA32" i="11"/>
  <c r="X32" i="11"/>
  <c r="W32" i="11"/>
  <c r="T32" i="11"/>
  <c r="S32" i="11"/>
  <c r="P32" i="11"/>
  <c r="O32" i="11"/>
  <c r="L32" i="11"/>
  <c r="I32" i="11"/>
  <c r="F32" i="11"/>
  <c r="C32" i="11"/>
  <c r="AB31" i="11"/>
  <c r="AA31" i="11"/>
  <c r="X31" i="11"/>
  <c r="W31" i="11"/>
  <c r="T31" i="11"/>
  <c r="S31" i="11"/>
  <c r="P31" i="11"/>
  <c r="O31" i="11"/>
  <c r="L31" i="11"/>
  <c r="I31" i="11"/>
  <c r="F31" i="11"/>
  <c r="C31" i="11"/>
  <c r="AB30" i="11"/>
  <c r="AA30" i="11"/>
  <c r="X30" i="11"/>
  <c r="W30" i="11"/>
  <c r="T30" i="11"/>
  <c r="S30" i="11"/>
  <c r="P30" i="11"/>
  <c r="O30" i="11"/>
  <c r="L30" i="11"/>
  <c r="I30" i="11"/>
  <c r="F30" i="11"/>
  <c r="C30" i="11"/>
  <c r="AB29" i="11"/>
  <c r="AA29" i="11"/>
  <c r="X29" i="11"/>
  <c r="W29" i="11"/>
  <c r="T29" i="11"/>
  <c r="S29" i="11"/>
  <c r="P29" i="11"/>
  <c r="O29" i="11"/>
  <c r="L29" i="11"/>
  <c r="I29" i="11"/>
  <c r="F29" i="11"/>
  <c r="C29" i="11"/>
  <c r="AB28" i="11"/>
  <c r="AA28" i="11"/>
  <c r="X28" i="11"/>
  <c r="W28" i="11"/>
  <c r="T28" i="11"/>
  <c r="S28" i="11"/>
  <c r="P28" i="11"/>
  <c r="O28" i="11"/>
  <c r="L28" i="11"/>
  <c r="I28" i="11"/>
  <c r="F28" i="11"/>
  <c r="C28" i="11"/>
  <c r="AB27" i="11"/>
  <c r="AA27" i="11"/>
  <c r="X27" i="11"/>
  <c r="W27" i="11"/>
  <c r="T27" i="11"/>
  <c r="S27" i="11"/>
  <c r="P27" i="11"/>
  <c r="O27" i="11"/>
  <c r="L27" i="11"/>
  <c r="I27" i="11"/>
  <c r="F27" i="11"/>
  <c r="C27" i="11"/>
  <c r="AB26" i="11"/>
  <c r="AA26" i="11"/>
  <c r="X26" i="11"/>
  <c r="W26" i="11"/>
  <c r="T26" i="11"/>
  <c r="S26" i="11"/>
  <c r="P26" i="11"/>
  <c r="O26" i="11"/>
  <c r="L26" i="11"/>
  <c r="I26" i="11"/>
  <c r="F26" i="11"/>
  <c r="C26" i="11"/>
  <c r="AB25" i="11"/>
  <c r="AA25" i="11"/>
  <c r="X25" i="11"/>
  <c r="W25" i="11"/>
  <c r="T25" i="11"/>
  <c r="S25" i="11"/>
  <c r="P25" i="11"/>
  <c r="O25" i="11"/>
  <c r="L25" i="11"/>
  <c r="I25" i="11"/>
  <c r="F25" i="11"/>
  <c r="C25" i="11"/>
  <c r="AB24" i="11"/>
  <c r="AA24" i="11"/>
  <c r="X24" i="11"/>
  <c r="W24" i="11"/>
  <c r="T24" i="11"/>
  <c r="S24" i="11"/>
  <c r="P24" i="11"/>
  <c r="O24" i="11"/>
  <c r="L24" i="11"/>
  <c r="I24" i="11"/>
  <c r="F24" i="11"/>
  <c r="C24" i="11"/>
  <c r="AB23" i="11"/>
  <c r="AA23" i="11"/>
  <c r="X23" i="11"/>
  <c r="W23" i="11"/>
  <c r="T23" i="11"/>
  <c r="S23" i="11"/>
  <c r="P23" i="11"/>
  <c r="O23" i="11"/>
  <c r="L23" i="11"/>
  <c r="I23" i="11"/>
  <c r="F23" i="11"/>
  <c r="C23" i="11"/>
  <c r="AB22" i="11"/>
  <c r="AA22" i="11"/>
  <c r="X22" i="11"/>
  <c r="W22" i="11"/>
  <c r="T22" i="11"/>
  <c r="S22" i="11"/>
  <c r="P22" i="11"/>
  <c r="O22" i="11"/>
  <c r="L22" i="11"/>
  <c r="I22" i="11"/>
  <c r="F22" i="11"/>
  <c r="C22" i="11"/>
  <c r="AB21" i="11"/>
  <c r="AA21" i="11"/>
  <c r="X21" i="11"/>
  <c r="W21" i="11"/>
  <c r="T21" i="11"/>
  <c r="S21" i="11"/>
  <c r="P21" i="11"/>
  <c r="O21" i="11"/>
  <c r="L21" i="11"/>
  <c r="I21" i="11"/>
  <c r="F21" i="11"/>
  <c r="C21" i="11"/>
  <c r="AB20" i="11"/>
  <c r="AA20" i="11"/>
  <c r="X20" i="11"/>
  <c r="W20" i="11"/>
  <c r="T20" i="11"/>
  <c r="S20" i="11"/>
  <c r="P20" i="11"/>
  <c r="O20" i="11"/>
  <c r="L20" i="11"/>
  <c r="I20" i="11"/>
  <c r="F20" i="11"/>
  <c r="C20" i="11"/>
  <c r="AB19" i="11"/>
  <c r="AA19" i="11"/>
  <c r="X19" i="11"/>
  <c r="W19" i="11"/>
  <c r="T19" i="11"/>
  <c r="S19" i="11"/>
  <c r="P19" i="11"/>
  <c r="O19" i="11"/>
  <c r="L19" i="11"/>
  <c r="I19" i="11"/>
  <c r="F19" i="11"/>
  <c r="C19" i="11"/>
  <c r="AB18" i="11"/>
  <c r="AA18" i="11"/>
  <c r="X18" i="11"/>
  <c r="W18" i="11"/>
  <c r="T18" i="11"/>
  <c r="S18" i="11"/>
  <c r="P18" i="11"/>
  <c r="O18" i="11"/>
  <c r="L18" i="11"/>
  <c r="I18" i="11"/>
  <c r="F18" i="11"/>
  <c r="C18" i="11"/>
  <c r="AB17" i="11"/>
  <c r="AA17" i="11"/>
  <c r="X17" i="11"/>
  <c r="W17" i="11"/>
  <c r="T17" i="11"/>
  <c r="S17" i="11"/>
  <c r="P17" i="11"/>
  <c r="O17" i="11"/>
  <c r="L17" i="11"/>
  <c r="I17" i="11"/>
  <c r="F17" i="11"/>
  <c r="C17" i="11"/>
  <c r="AB16" i="11"/>
  <c r="AA16" i="11"/>
  <c r="X16" i="11"/>
  <c r="W16" i="11"/>
  <c r="T16" i="11"/>
  <c r="S16" i="11"/>
  <c r="P16" i="11"/>
  <c r="O16" i="11"/>
  <c r="L16" i="11"/>
  <c r="I16" i="11"/>
  <c r="F16" i="11"/>
  <c r="C16" i="11"/>
  <c r="AB15" i="11"/>
  <c r="AA15" i="11"/>
  <c r="X15" i="11"/>
  <c r="W15" i="11"/>
  <c r="T15" i="11"/>
  <c r="S15" i="11"/>
  <c r="P15" i="11"/>
  <c r="O15" i="11"/>
  <c r="L15" i="11"/>
  <c r="I15" i="11"/>
  <c r="F15" i="11"/>
  <c r="C15" i="11"/>
  <c r="AB14" i="11"/>
  <c r="AA14" i="11"/>
  <c r="X14" i="11"/>
  <c r="W14" i="11"/>
  <c r="T14" i="11"/>
  <c r="S14" i="11"/>
  <c r="P14" i="11"/>
  <c r="O14" i="11"/>
  <c r="L14" i="11"/>
  <c r="I14" i="11"/>
  <c r="F14" i="11"/>
  <c r="C14" i="11"/>
  <c r="AB13" i="11"/>
  <c r="AA13" i="11"/>
  <c r="X13" i="11"/>
  <c r="W13" i="11"/>
  <c r="T13" i="11"/>
  <c r="S13" i="11"/>
  <c r="P13" i="11"/>
  <c r="O13" i="11"/>
  <c r="L13" i="11"/>
  <c r="I13" i="11"/>
  <c r="F13" i="11"/>
  <c r="C13" i="11"/>
  <c r="AB12" i="11"/>
  <c r="AA12" i="11"/>
  <c r="X12" i="11"/>
  <c r="W12" i="11"/>
  <c r="T12" i="11"/>
  <c r="S12" i="11"/>
  <c r="P12" i="11"/>
  <c r="O12" i="11"/>
  <c r="L12" i="11"/>
  <c r="I12" i="11"/>
  <c r="F12" i="11"/>
  <c r="C12" i="11"/>
  <c r="AB11" i="11"/>
  <c r="AA11" i="11"/>
  <c r="X11" i="11"/>
  <c r="W11" i="11"/>
  <c r="T11" i="11"/>
  <c r="S11" i="11"/>
  <c r="P11" i="11"/>
  <c r="O11" i="11"/>
  <c r="L11" i="11"/>
  <c r="I11" i="11"/>
  <c r="F11" i="11"/>
  <c r="C11" i="11"/>
  <c r="AB10" i="11"/>
  <c r="AA10" i="11"/>
  <c r="X10" i="11"/>
  <c r="W10" i="11"/>
  <c r="T10" i="11"/>
  <c r="S10" i="11"/>
  <c r="P10" i="11"/>
  <c r="O10" i="11"/>
  <c r="L10" i="11"/>
  <c r="I10" i="11"/>
  <c r="F10" i="11"/>
  <c r="C10" i="11"/>
  <c r="AB9" i="11"/>
  <c r="AA9" i="11"/>
  <c r="X9" i="11"/>
  <c r="W9" i="11"/>
  <c r="T9" i="11"/>
  <c r="S9" i="11"/>
  <c r="P9" i="11"/>
  <c r="O9" i="11"/>
  <c r="L9" i="11"/>
  <c r="I9" i="11"/>
  <c r="F9" i="11"/>
  <c r="C9" i="11"/>
  <c r="AB8" i="11"/>
  <c r="AA8" i="11"/>
  <c r="X8" i="11"/>
  <c r="W8" i="11"/>
  <c r="T8" i="11"/>
  <c r="S8" i="11"/>
  <c r="P8" i="11"/>
  <c r="O8" i="11"/>
  <c r="L8" i="11"/>
  <c r="I8" i="11"/>
  <c r="F8" i="11"/>
  <c r="C8" i="11"/>
  <c r="AB7" i="11"/>
  <c r="AA7" i="11"/>
  <c r="X7" i="11"/>
  <c r="W7" i="11"/>
  <c r="T7" i="11"/>
  <c r="S7" i="11"/>
  <c r="P7" i="11"/>
  <c r="O7" i="11"/>
  <c r="L7" i="11"/>
  <c r="I7" i="11"/>
  <c r="F7" i="11"/>
  <c r="C7" i="11"/>
  <c r="AB6" i="11"/>
  <c r="AA6" i="11"/>
  <c r="X6" i="11"/>
  <c r="W6" i="11"/>
  <c r="T6" i="11"/>
  <c r="S6" i="11"/>
  <c r="P6" i="11"/>
  <c r="O6" i="11"/>
  <c r="L6" i="11"/>
  <c r="I6" i="11"/>
  <c r="F6" i="11"/>
  <c r="C6" i="11"/>
  <c r="AB5" i="11"/>
  <c r="AA5" i="11"/>
  <c r="X5" i="11"/>
  <c r="W5" i="11"/>
  <c r="T5" i="11"/>
  <c r="S5" i="11"/>
  <c r="P5" i="11"/>
  <c r="O5" i="11"/>
  <c r="L5" i="11"/>
  <c r="I5" i="11"/>
  <c r="F5" i="11"/>
  <c r="C5" i="11"/>
  <c r="AB4" i="11"/>
  <c r="AA4" i="11"/>
  <c r="X4" i="11"/>
  <c r="W4" i="11"/>
  <c r="T4" i="11"/>
  <c r="S4" i="11"/>
  <c r="P4" i="11"/>
  <c r="O4" i="11"/>
  <c r="L4" i="11"/>
  <c r="I4" i="11"/>
  <c r="F4" i="11"/>
  <c r="C4" i="11"/>
  <c r="AB3" i="11"/>
  <c r="AA3" i="11"/>
  <c r="X3" i="11"/>
  <c r="W3" i="11"/>
  <c r="T3" i="11"/>
  <c r="S3" i="11"/>
  <c r="P3" i="11"/>
  <c r="O3" i="11"/>
  <c r="L3" i="11"/>
  <c r="I3" i="11"/>
  <c r="F3" i="11"/>
  <c r="C3" i="11"/>
  <c r="AB2" i="11"/>
  <c r="AA2" i="11"/>
  <c r="X2" i="11"/>
  <c r="W2" i="11"/>
  <c r="T2" i="11"/>
  <c r="S2" i="11"/>
  <c r="P2" i="11"/>
  <c r="N2" i="11"/>
  <c r="O2" i="11"/>
  <c r="L2" i="11"/>
  <c r="I2" i="11"/>
  <c r="F2" i="11"/>
  <c r="C2" i="11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AE72" i="10"/>
  <c r="AD72" i="10"/>
  <c r="AA72" i="10"/>
  <c r="Z72" i="10"/>
  <c r="W72" i="10"/>
  <c r="S72" i="10"/>
  <c r="R72" i="10"/>
  <c r="O72" i="10"/>
  <c r="L72" i="10"/>
  <c r="I72" i="10"/>
  <c r="F72" i="10"/>
  <c r="C72" i="10"/>
  <c r="AE71" i="10"/>
  <c r="AD71" i="10"/>
  <c r="AA71" i="10"/>
  <c r="Z71" i="10"/>
  <c r="W71" i="10"/>
  <c r="S71" i="10"/>
  <c r="R71" i="10"/>
  <c r="O71" i="10"/>
  <c r="L71" i="10"/>
  <c r="I71" i="10"/>
  <c r="F71" i="10"/>
  <c r="C71" i="10"/>
  <c r="AE70" i="10"/>
  <c r="AD70" i="10"/>
  <c r="AA70" i="10"/>
  <c r="Z70" i="10"/>
  <c r="W70" i="10"/>
  <c r="V70" i="10"/>
  <c r="S70" i="10"/>
  <c r="R70" i="10"/>
  <c r="O70" i="10"/>
  <c r="L70" i="10"/>
  <c r="I70" i="10"/>
  <c r="F70" i="10"/>
  <c r="C70" i="10"/>
  <c r="AE69" i="10"/>
  <c r="AD69" i="10"/>
  <c r="AA69" i="10"/>
  <c r="Z69" i="10"/>
  <c r="W69" i="10"/>
  <c r="V69" i="10"/>
  <c r="S69" i="10"/>
  <c r="R69" i="10"/>
  <c r="O69" i="10"/>
  <c r="L69" i="10"/>
  <c r="I69" i="10"/>
  <c r="F69" i="10"/>
  <c r="C69" i="10"/>
  <c r="AE68" i="10"/>
  <c r="AD68" i="10"/>
  <c r="AA68" i="10"/>
  <c r="Z68" i="10"/>
  <c r="W68" i="10"/>
  <c r="V68" i="10"/>
  <c r="S68" i="10"/>
  <c r="R68" i="10"/>
  <c r="O68" i="10"/>
  <c r="L68" i="10"/>
  <c r="I68" i="10"/>
  <c r="F68" i="10"/>
  <c r="C68" i="10"/>
  <c r="AE67" i="10"/>
  <c r="AD67" i="10"/>
  <c r="AA67" i="10"/>
  <c r="Z67" i="10"/>
  <c r="W67" i="10"/>
  <c r="V67" i="10"/>
  <c r="S67" i="10"/>
  <c r="R67" i="10"/>
  <c r="O67" i="10"/>
  <c r="L67" i="10"/>
  <c r="I67" i="10"/>
  <c r="F67" i="10"/>
  <c r="C67" i="10"/>
  <c r="AE66" i="10"/>
  <c r="AD66" i="10"/>
  <c r="AA66" i="10"/>
  <c r="Z66" i="10"/>
  <c r="W66" i="10"/>
  <c r="V66" i="10"/>
  <c r="S66" i="10"/>
  <c r="R66" i="10"/>
  <c r="O66" i="10"/>
  <c r="L66" i="10"/>
  <c r="I66" i="10"/>
  <c r="F66" i="10"/>
  <c r="C66" i="10"/>
  <c r="AE65" i="10"/>
  <c r="AD65" i="10"/>
  <c r="AA65" i="10"/>
  <c r="Z65" i="10"/>
  <c r="W65" i="10"/>
  <c r="V65" i="10"/>
  <c r="S65" i="10"/>
  <c r="R65" i="10"/>
  <c r="O65" i="10"/>
  <c r="L65" i="10"/>
  <c r="I65" i="10"/>
  <c r="F65" i="10"/>
  <c r="C65" i="10"/>
  <c r="AE64" i="10"/>
  <c r="AD64" i="10"/>
  <c r="AA64" i="10"/>
  <c r="Z64" i="10"/>
  <c r="W64" i="10"/>
  <c r="V64" i="10"/>
  <c r="S64" i="10"/>
  <c r="R64" i="10"/>
  <c r="O64" i="10"/>
  <c r="L64" i="10"/>
  <c r="I64" i="10"/>
  <c r="F64" i="10"/>
  <c r="C64" i="10"/>
  <c r="AE63" i="10"/>
  <c r="AD63" i="10"/>
  <c r="AA63" i="10"/>
  <c r="Z63" i="10"/>
  <c r="W63" i="10"/>
  <c r="V63" i="10"/>
  <c r="S63" i="10"/>
  <c r="R63" i="10"/>
  <c r="O63" i="10"/>
  <c r="L63" i="10"/>
  <c r="I63" i="10"/>
  <c r="F63" i="10"/>
  <c r="C63" i="10"/>
  <c r="AE62" i="10"/>
  <c r="AD62" i="10"/>
  <c r="AA62" i="10"/>
  <c r="Z62" i="10"/>
  <c r="W62" i="10"/>
  <c r="V62" i="10"/>
  <c r="S62" i="10"/>
  <c r="R62" i="10"/>
  <c r="O62" i="10"/>
  <c r="L62" i="10"/>
  <c r="I62" i="10"/>
  <c r="F62" i="10"/>
  <c r="C62" i="10"/>
  <c r="AE61" i="10"/>
  <c r="AD61" i="10"/>
  <c r="AA61" i="10"/>
  <c r="Z61" i="10"/>
  <c r="W61" i="10"/>
  <c r="V61" i="10"/>
  <c r="S61" i="10"/>
  <c r="R61" i="10"/>
  <c r="O61" i="10"/>
  <c r="L61" i="10"/>
  <c r="I61" i="10"/>
  <c r="F61" i="10"/>
  <c r="C61" i="10"/>
  <c r="AE60" i="10"/>
  <c r="AD60" i="10"/>
  <c r="AA60" i="10"/>
  <c r="Z60" i="10"/>
  <c r="W60" i="10"/>
  <c r="V60" i="10"/>
  <c r="S60" i="10"/>
  <c r="R60" i="10"/>
  <c r="O60" i="10"/>
  <c r="L60" i="10"/>
  <c r="I60" i="10"/>
  <c r="F60" i="10"/>
  <c r="C60" i="10"/>
  <c r="AE59" i="10"/>
  <c r="AD59" i="10"/>
  <c r="AA59" i="10"/>
  <c r="Z59" i="10"/>
  <c r="W59" i="10"/>
  <c r="V59" i="10"/>
  <c r="S59" i="10"/>
  <c r="R59" i="10"/>
  <c r="O59" i="10"/>
  <c r="L59" i="10"/>
  <c r="I59" i="10"/>
  <c r="F59" i="10"/>
  <c r="C59" i="10"/>
  <c r="AE58" i="10"/>
  <c r="AD58" i="10"/>
  <c r="AA58" i="10"/>
  <c r="Z58" i="10"/>
  <c r="W58" i="10"/>
  <c r="V58" i="10"/>
  <c r="S58" i="10"/>
  <c r="R58" i="10"/>
  <c r="O58" i="10"/>
  <c r="L58" i="10"/>
  <c r="I58" i="10"/>
  <c r="F58" i="10"/>
  <c r="C58" i="10"/>
  <c r="AE57" i="10"/>
  <c r="AD57" i="10"/>
  <c r="AA57" i="10"/>
  <c r="Z57" i="10"/>
  <c r="W57" i="10"/>
  <c r="V57" i="10"/>
  <c r="S57" i="10"/>
  <c r="R57" i="10"/>
  <c r="O57" i="10"/>
  <c r="L57" i="10"/>
  <c r="I57" i="10"/>
  <c r="F57" i="10"/>
  <c r="C57" i="10"/>
  <c r="AE56" i="10"/>
  <c r="AD56" i="10"/>
  <c r="AA56" i="10"/>
  <c r="Z56" i="10"/>
  <c r="W56" i="10"/>
  <c r="V56" i="10"/>
  <c r="S56" i="10"/>
  <c r="R56" i="10"/>
  <c r="O56" i="10"/>
  <c r="L56" i="10"/>
  <c r="I56" i="10"/>
  <c r="F56" i="10"/>
  <c r="C56" i="10"/>
  <c r="AE55" i="10"/>
  <c r="AD55" i="10"/>
  <c r="AA55" i="10"/>
  <c r="Z55" i="10"/>
  <c r="W55" i="10"/>
  <c r="V55" i="10"/>
  <c r="S55" i="10"/>
  <c r="R55" i="10"/>
  <c r="O55" i="10"/>
  <c r="L55" i="10"/>
  <c r="I55" i="10"/>
  <c r="F55" i="10"/>
  <c r="C55" i="10"/>
  <c r="AE54" i="10"/>
  <c r="AD54" i="10"/>
  <c r="AA54" i="10"/>
  <c r="Z54" i="10"/>
  <c r="W54" i="10"/>
  <c r="V54" i="10"/>
  <c r="S54" i="10"/>
  <c r="R54" i="10"/>
  <c r="O54" i="10"/>
  <c r="L54" i="10"/>
  <c r="I54" i="10"/>
  <c r="F54" i="10"/>
  <c r="C54" i="10"/>
  <c r="AE53" i="10"/>
  <c r="AD53" i="10"/>
  <c r="AA53" i="10"/>
  <c r="Z53" i="10"/>
  <c r="W53" i="10"/>
  <c r="V53" i="10"/>
  <c r="S53" i="10"/>
  <c r="R53" i="10"/>
  <c r="O53" i="10"/>
  <c r="L53" i="10"/>
  <c r="I53" i="10"/>
  <c r="F53" i="10"/>
  <c r="C53" i="10"/>
  <c r="AE52" i="10"/>
  <c r="AD52" i="10"/>
  <c r="AA52" i="10"/>
  <c r="Z52" i="10"/>
  <c r="W52" i="10"/>
  <c r="V52" i="10"/>
  <c r="S52" i="10"/>
  <c r="R52" i="10"/>
  <c r="O52" i="10"/>
  <c r="L52" i="10"/>
  <c r="I52" i="10"/>
  <c r="F52" i="10"/>
  <c r="C52" i="10"/>
  <c r="AE51" i="10"/>
  <c r="AD51" i="10"/>
  <c r="AA51" i="10"/>
  <c r="Z51" i="10"/>
  <c r="W51" i="10"/>
  <c r="V51" i="10"/>
  <c r="S51" i="10"/>
  <c r="R51" i="10"/>
  <c r="O51" i="10"/>
  <c r="L51" i="10"/>
  <c r="I51" i="10"/>
  <c r="F51" i="10"/>
  <c r="C51" i="10"/>
  <c r="AE50" i="10"/>
  <c r="AD50" i="10"/>
  <c r="AA50" i="10"/>
  <c r="Z50" i="10"/>
  <c r="W50" i="10"/>
  <c r="V50" i="10"/>
  <c r="S50" i="10"/>
  <c r="R50" i="10"/>
  <c r="O50" i="10"/>
  <c r="L50" i="10"/>
  <c r="I50" i="10"/>
  <c r="F50" i="10"/>
  <c r="C50" i="10"/>
  <c r="AE49" i="10"/>
  <c r="AD49" i="10"/>
  <c r="AA49" i="10"/>
  <c r="Z49" i="10"/>
  <c r="W49" i="10"/>
  <c r="V49" i="10"/>
  <c r="S49" i="10"/>
  <c r="R49" i="10"/>
  <c r="O49" i="10"/>
  <c r="L49" i="10"/>
  <c r="I49" i="10"/>
  <c r="F49" i="10"/>
  <c r="C49" i="10"/>
  <c r="AE48" i="10"/>
  <c r="AD48" i="10"/>
  <c r="AA48" i="10"/>
  <c r="Z48" i="10"/>
  <c r="W48" i="10"/>
  <c r="V48" i="10"/>
  <c r="S48" i="10"/>
  <c r="R48" i="10"/>
  <c r="O48" i="10"/>
  <c r="L48" i="10"/>
  <c r="I48" i="10"/>
  <c r="F48" i="10"/>
  <c r="C48" i="10"/>
  <c r="AE47" i="10"/>
  <c r="AD47" i="10"/>
  <c r="AA47" i="10"/>
  <c r="Z47" i="10"/>
  <c r="W47" i="10"/>
  <c r="V47" i="10"/>
  <c r="S47" i="10"/>
  <c r="R47" i="10"/>
  <c r="O47" i="10"/>
  <c r="L47" i="10"/>
  <c r="I47" i="10"/>
  <c r="F47" i="10"/>
  <c r="C47" i="10"/>
  <c r="AE46" i="10"/>
  <c r="AD46" i="10"/>
  <c r="AA46" i="10"/>
  <c r="Z46" i="10"/>
  <c r="W46" i="10"/>
  <c r="V46" i="10"/>
  <c r="S46" i="10"/>
  <c r="R46" i="10"/>
  <c r="O46" i="10"/>
  <c r="L46" i="10"/>
  <c r="I46" i="10"/>
  <c r="F46" i="10"/>
  <c r="C46" i="10"/>
  <c r="AE45" i="10"/>
  <c r="AD45" i="10"/>
  <c r="AA45" i="10"/>
  <c r="Z45" i="10"/>
  <c r="W45" i="10"/>
  <c r="V45" i="10"/>
  <c r="S45" i="10"/>
  <c r="R45" i="10"/>
  <c r="O45" i="10"/>
  <c r="L45" i="10"/>
  <c r="I45" i="10"/>
  <c r="F45" i="10"/>
  <c r="C45" i="10"/>
  <c r="AE44" i="10"/>
  <c r="AD44" i="10"/>
  <c r="AA44" i="10"/>
  <c r="Z44" i="10"/>
  <c r="W44" i="10"/>
  <c r="V44" i="10"/>
  <c r="S44" i="10"/>
  <c r="R44" i="10"/>
  <c r="O44" i="10"/>
  <c r="L44" i="10"/>
  <c r="I44" i="10"/>
  <c r="F44" i="10"/>
  <c r="C44" i="10"/>
  <c r="AE43" i="10"/>
  <c r="AD43" i="10"/>
  <c r="AA43" i="10"/>
  <c r="Z43" i="10"/>
  <c r="W43" i="10"/>
  <c r="V43" i="10"/>
  <c r="S43" i="10"/>
  <c r="R43" i="10"/>
  <c r="O43" i="10"/>
  <c r="L43" i="10"/>
  <c r="I43" i="10"/>
  <c r="F43" i="10"/>
  <c r="C43" i="10"/>
  <c r="AE42" i="10"/>
  <c r="AD42" i="10"/>
  <c r="AA42" i="10"/>
  <c r="Z42" i="10"/>
  <c r="W42" i="10"/>
  <c r="V42" i="10"/>
  <c r="S42" i="10"/>
  <c r="R42" i="10"/>
  <c r="O42" i="10"/>
  <c r="L42" i="10"/>
  <c r="I42" i="10"/>
  <c r="F42" i="10"/>
  <c r="C42" i="10"/>
  <c r="AE41" i="10"/>
  <c r="AD41" i="10"/>
  <c r="AA41" i="10"/>
  <c r="Z41" i="10"/>
  <c r="W41" i="10"/>
  <c r="V41" i="10"/>
  <c r="S41" i="10"/>
  <c r="R41" i="10"/>
  <c r="O41" i="10"/>
  <c r="L41" i="10"/>
  <c r="I41" i="10"/>
  <c r="F41" i="10"/>
  <c r="C41" i="10"/>
  <c r="AE40" i="10"/>
  <c r="AD40" i="10"/>
  <c r="AA40" i="10"/>
  <c r="Z40" i="10"/>
  <c r="W40" i="10"/>
  <c r="V40" i="10"/>
  <c r="S40" i="10"/>
  <c r="R40" i="10"/>
  <c r="O40" i="10"/>
  <c r="L40" i="10"/>
  <c r="I40" i="10"/>
  <c r="F40" i="10"/>
  <c r="C40" i="10"/>
  <c r="AE39" i="10"/>
  <c r="AD39" i="10"/>
  <c r="AA39" i="10"/>
  <c r="Z39" i="10"/>
  <c r="W39" i="10"/>
  <c r="V39" i="10"/>
  <c r="S39" i="10"/>
  <c r="R39" i="10"/>
  <c r="O39" i="10"/>
  <c r="L39" i="10"/>
  <c r="I39" i="10"/>
  <c r="F39" i="10"/>
  <c r="C39" i="10"/>
  <c r="AE38" i="10"/>
  <c r="AD38" i="10"/>
  <c r="AA38" i="10"/>
  <c r="Z38" i="10"/>
  <c r="W38" i="10"/>
  <c r="V38" i="10"/>
  <c r="S38" i="10"/>
  <c r="R38" i="10"/>
  <c r="O38" i="10"/>
  <c r="L38" i="10"/>
  <c r="I38" i="10"/>
  <c r="F38" i="10"/>
  <c r="C38" i="10"/>
  <c r="AE37" i="10"/>
  <c r="AD37" i="10"/>
  <c r="AA37" i="10"/>
  <c r="Z37" i="10"/>
  <c r="W37" i="10"/>
  <c r="V37" i="10"/>
  <c r="S37" i="10"/>
  <c r="R37" i="10"/>
  <c r="O37" i="10"/>
  <c r="L37" i="10"/>
  <c r="I37" i="10"/>
  <c r="F37" i="10"/>
  <c r="C37" i="10"/>
  <c r="AE36" i="10"/>
  <c r="AD36" i="10"/>
  <c r="AA36" i="10"/>
  <c r="Z36" i="10"/>
  <c r="W36" i="10"/>
  <c r="V36" i="10"/>
  <c r="S36" i="10"/>
  <c r="R36" i="10"/>
  <c r="O36" i="10"/>
  <c r="L36" i="10"/>
  <c r="I36" i="10"/>
  <c r="F36" i="10"/>
  <c r="C36" i="10"/>
  <c r="AE35" i="10"/>
  <c r="AD35" i="10"/>
  <c r="AA35" i="10"/>
  <c r="Z35" i="10"/>
  <c r="W35" i="10"/>
  <c r="V35" i="10"/>
  <c r="S35" i="10"/>
  <c r="R35" i="10"/>
  <c r="O35" i="10"/>
  <c r="L35" i="10"/>
  <c r="I35" i="10"/>
  <c r="F35" i="10"/>
  <c r="C35" i="10"/>
  <c r="AE34" i="10"/>
  <c r="AD34" i="10"/>
  <c r="AA34" i="10"/>
  <c r="Z34" i="10"/>
  <c r="W34" i="10"/>
  <c r="V34" i="10"/>
  <c r="S34" i="10"/>
  <c r="R34" i="10"/>
  <c r="O34" i="10"/>
  <c r="L34" i="10"/>
  <c r="I34" i="10"/>
  <c r="F34" i="10"/>
  <c r="C34" i="10"/>
  <c r="AE33" i="10"/>
  <c r="AD33" i="10"/>
  <c r="AA33" i="10"/>
  <c r="Z33" i="10"/>
  <c r="W33" i="10"/>
  <c r="V33" i="10"/>
  <c r="S33" i="10"/>
  <c r="R33" i="10"/>
  <c r="O33" i="10"/>
  <c r="L33" i="10"/>
  <c r="I33" i="10"/>
  <c r="F33" i="10"/>
  <c r="C33" i="10"/>
  <c r="AE32" i="10"/>
  <c r="AD32" i="10"/>
  <c r="AA32" i="10"/>
  <c r="Z32" i="10"/>
  <c r="W32" i="10"/>
  <c r="V32" i="10"/>
  <c r="S32" i="10"/>
  <c r="R32" i="10"/>
  <c r="O32" i="10"/>
  <c r="L32" i="10"/>
  <c r="I32" i="10"/>
  <c r="F32" i="10"/>
  <c r="C32" i="10"/>
  <c r="AE31" i="10"/>
  <c r="AD31" i="10"/>
  <c r="AA31" i="10"/>
  <c r="Z31" i="10"/>
  <c r="W31" i="10"/>
  <c r="V31" i="10"/>
  <c r="S31" i="10"/>
  <c r="R31" i="10"/>
  <c r="O31" i="10"/>
  <c r="L31" i="10"/>
  <c r="I31" i="10"/>
  <c r="F31" i="10"/>
  <c r="C31" i="10"/>
  <c r="AE30" i="10"/>
  <c r="AD30" i="10"/>
  <c r="AA30" i="10"/>
  <c r="Z30" i="10"/>
  <c r="W30" i="10"/>
  <c r="V30" i="10"/>
  <c r="S30" i="10"/>
  <c r="R30" i="10"/>
  <c r="O30" i="10"/>
  <c r="L30" i="10"/>
  <c r="I30" i="10"/>
  <c r="F30" i="10"/>
  <c r="C30" i="10"/>
  <c r="AE29" i="10"/>
  <c r="AD29" i="10"/>
  <c r="AA29" i="10"/>
  <c r="Z29" i="10"/>
  <c r="W29" i="10"/>
  <c r="V29" i="10"/>
  <c r="S29" i="10"/>
  <c r="R29" i="10"/>
  <c r="O29" i="10"/>
  <c r="L29" i="10"/>
  <c r="I29" i="10"/>
  <c r="F29" i="10"/>
  <c r="C29" i="10"/>
  <c r="AE28" i="10"/>
  <c r="AD28" i="10"/>
  <c r="AA28" i="10"/>
  <c r="Z28" i="10"/>
  <c r="W28" i="10"/>
  <c r="V28" i="10"/>
  <c r="S28" i="10"/>
  <c r="R28" i="10"/>
  <c r="O28" i="10"/>
  <c r="L28" i="10"/>
  <c r="I28" i="10"/>
  <c r="F28" i="10"/>
  <c r="C28" i="10"/>
  <c r="AE27" i="10"/>
  <c r="AD27" i="10"/>
  <c r="AA27" i="10"/>
  <c r="Z27" i="10"/>
  <c r="W27" i="10"/>
  <c r="V27" i="10"/>
  <c r="S27" i="10"/>
  <c r="R27" i="10"/>
  <c r="O27" i="10"/>
  <c r="L27" i="10"/>
  <c r="I27" i="10"/>
  <c r="F27" i="10"/>
  <c r="C27" i="10"/>
  <c r="AE26" i="10"/>
  <c r="AD26" i="10"/>
  <c r="AA26" i="10"/>
  <c r="Z26" i="10"/>
  <c r="W26" i="10"/>
  <c r="V26" i="10"/>
  <c r="S26" i="10"/>
  <c r="R26" i="10"/>
  <c r="O26" i="10"/>
  <c r="L26" i="10"/>
  <c r="I26" i="10"/>
  <c r="F26" i="10"/>
  <c r="C26" i="10"/>
  <c r="AE25" i="10"/>
  <c r="AD25" i="10"/>
  <c r="AA25" i="10"/>
  <c r="Z25" i="10"/>
  <c r="W25" i="10"/>
  <c r="V25" i="10"/>
  <c r="S25" i="10"/>
  <c r="R25" i="10"/>
  <c r="O25" i="10"/>
  <c r="L25" i="10"/>
  <c r="I25" i="10"/>
  <c r="F25" i="10"/>
  <c r="C25" i="10"/>
  <c r="AE24" i="10"/>
  <c r="AD24" i="10"/>
  <c r="AA24" i="10"/>
  <c r="Z24" i="10"/>
  <c r="W24" i="10"/>
  <c r="V24" i="10"/>
  <c r="S24" i="10"/>
  <c r="R24" i="10"/>
  <c r="O24" i="10"/>
  <c r="L24" i="10"/>
  <c r="I24" i="10"/>
  <c r="F24" i="10"/>
  <c r="C24" i="10"/>
  <c r="AE23" i="10"/>
  <c r="AD23" i="10"/>
  <c r="AA23" i="10"/>
  <c r="Z23" i="10"/>
  <c r="W23" i="10"/>
  <c r="V23" i="10"/>
  <c r="S23" i="10"/>
  <c r="R23" i="10"/>
  <c r="O23" i="10"/>
  <c r="L23" i="10"/>
  <c r="I23" i="10"/>
  <c r="F23" i="10"/>
  <c r="C23" i="10"/>
  <c r="AE22" i="10"/>
  <c r="AD22" i="10"/>
  <c r="AA22" i="10"/>
  <c r="Z22" i="10"/>
  <c r="W22" i="10"/>
  <c r="V22" i="10"/>
  <c r="S22" i="10"/>
  <c r="R22" i="10"/>
  <c r="O22" i="10"/>
  <c r="L22" i="10"/>
  <c r="I22" i="10"/>
  <c r="F22" i="10"/>
  <c r="C22" i="10"/>
  <c r="AE21" i="10"/>
  <c r="AD21" i="10"/>
  <c r="AA21" i="10"/>
  <c r="Z21" i="10"/>
  <c r="W21" i="10"/>
  <c r="V21" i="10"/>
  <c r="S21" i="10"/>
  <c r="R21" i="10"/>
  <c r="O21" i="10"/>
  <c r="L21" i="10"/>
  <c r="I21" i="10"/>
  <c r="F21" i="10"/>
  <c r="C21" i="10"/>
  <c r="AE20" i="10"/>
  <c r="AD20" i="10"/>
  <c r="AA20" i="10"/>
  <c r="Z20" i="10"/>
  <c r="W20" i="10"/>
  <c r="V20" i="10"/>
  <c r="S20" i="10"/>
  <c r="R20" i="10"/>
  <c r="O20" i="10"/>
  <c r="L20" i="10"/>
  <c r="I20" i="10"/>
  <c r="F20" i="10"/>
  <c r="C20" i="10"/>
  <c r="AE19" i="10"/>
  <c r="AD19" i="10"/>
  <c r="AA19" i="10"/>
  <c r="Z19" i="10"/>
  <c r="W19" i="10"/>
  <c r="V19" i="10"/>
  <c r="S19" i="10"/>
  <c r="R19" i="10"/>
  <c r="O19" i="10"/>
  <c r="L19" i="10"/>
  <c r="I19" i="10"/>
  <c r="F19" i="10"/>
  <c r="C19" i="10"/>
  <c r="AE18" i="10"/>
  <c r="AD18" i="10"/>
  <c r="AA18" i="10"/>
  <c r="Z18" i="10"/>
  <c r="W18" i="10"/>
  <c r="V18" i="10"/>
  <c r="S18" i="10"/>
  <c r="R18" i="10"/>
  <c r="O18" i="10"/>
  <c r="L18" i="10"/>
  <c r="I18" i="10"/>
  <c r="F18" i="10"/>
  <c r="C18" i="10"/>
  <c r="AE17" i="10"/>
  <c r="AD17" i="10"/>
  <c r="AA17" i="10"/>
  <c r="Z17" i="10"/>
  <c r="W17" i="10"/>
  <c r="V17" i="10"/>
  <c r="S17" i="10"/>
  <c r="R17" i="10"/>
  <c r="O17" i="10"/>
  <c r="L17" i="10"/>
  <c r="I17" i="10"/>
  <c r="F17" i="10"/>
  <c r="C17" i="10"/>
  <c r="AE16" i="10"/>
  <c r="AD16" i="10"/>
  <c r="AA16" i="10"/>
  <c r="Z16" i="10"/>
  <c r="W16" i="10"/>
  <c r="V16" i="10"/>
  <c r="S16" i="10"/>
  <c r="R16" i="10"/>
  <c r="O16" i="10"/>
  <c r="L16" i="10"/>
  <c r="I16" i="10"/>
  <c r="F16" i="10"/>
  <c r="C16" i="10"/>
  <c r="AE15" i="10"/>
  <c r="AD15" i="10"/>
  <c r="AA15" i="10"/>
  <c r="Z15" i="10"/>
  <c r="W15" i="10"/>
  <c r="V15" i="10"/>
  <c r="S15" i="10"/>
  <c r="R15" i="10"/>
  <c r="O15" i="10"/>
  <c r="L15" i="10"/>
  <c r="I15" i="10"/>
  <c r="F15" i="10"/>
  <c r="C15" i="10"/>
  <c r="AE14" i="10"/>
  <c r="AD14" i="10"/>
  <c r="AA14" i="10"/>
  <c r="Z14" i="10"/>
  <c r="W14" i="10"/>
  <c r="V14" i="10"/>
  <c r="S14" i="10"/>
  <c r="R14" i="10"/>
  <c r="O14" i="10"/>
  <c r="L14" i="10"/>
  <c r="I14" i="10"/>
  <c r="F14" i="10"/>
  <c r="C14" i="10"/>
  <c r="AE13" i="10"/>
  <c r="AD13" i="10"/>
  <c r="AA13" i="10"/>
  <c r="Z13" i="10"/>
  <c r="W13" i="10"/>
  <c r="V13" i="10"/>
  <c r="S13" i="10"/>
  <c r="R13" i="10"/>
  <c r="O13" i="10"/>
  <c r="L13" i="10"/>
  <c r="I13" i="10"/>
  <c r="F13" i="10"/>
  <c r="C13" i="10"/>
  <c r="AE12" i="10"/>
  <c r="AD12" i="10"/>
  <c r="AA12" i="10"/>
  <c r="Z12" i="10"/>
  <c r="W12" i="10"/>
  <c r="V12" i="10"/>
  <c r="S12" i="10"/>
  <c r="R12" i="10"/>
  <c r="O12" i="10"/>
  <c r="L12" i="10"/>
  <c r="I12" i="10"/>
  <c r="F12" i="10"/>
  <c r="C12" i="10"/>
  <c r="AE11" i="10"/>
  <c r="AD11" i="10"/>
  <c r="AA11" i="10"/>
  <c r="Z11" i="10"/>
  <c r="W11" i="10"/>
  <c r="V11" i="10"/>
  <c r="S11" i="10"/>
  <c r="R11" i="10"/>
  <c r="O11" i="10"/>
  <c r="L11" i="10"/>
  <c r="I11" i="10"/>
  <c r="F11" i="10"/>
  <c r="C11" i="10"/>
  <c r="AE10" i="10"/>
  <c r="AD10" i="10"/>
  <c r="AA10" i="10"/>
  <c r="Z10" i="10"/>
  <c r="W10" i="10"/>
  <c r="V10" i="10"/>
  <c r="S10" i="10"/>
  <c r="R10" i="10"/>
  <c r="O10" i="10"/>
  <c r="L10" i="10"/>
  <c r="I10" i="10"/>
  <c r="F10" i="10"/>
  <c r="C10" i="10"/>
  <c r="AE9" i="10"/>
  <c r="AD9" i="10"/>
  <c r="AA9" i="10"/>
  <c r="Z9" i="10"/>
  <c r="W9" i="10"/>
  <c r="V9" i="10"/>
  <c r="S9" i="10"/>
  <c r="R9" i="10"/>
  <c r="O9" i="10"/>
  <c r="L9" i="10"/>
  <c r="I9" i="10"/>
  <c r="F9" i="10"/>
  <c r="C9" i="10"/>
  <c r="AE8" i="10"/>
  <c r="AD8" i="10"/>
  <c r="AA8" i="10"/>
  <c r="Z8" i="10"/>
  <c r="W8" i="10"/>
  <c r="V8" i="10"/>
  <c r="S8" i="10"/>
  <c r="R8" i="10"/>
  <c r="O8" i="10"/>
  <c r="L8" i="10"/>
  <c r="I8" i="10"/>
  <c r="F8" i="10"/>
  <c r="C8" i="10"/>
  <c r="AE7" i="10"/>
  <c r="AD7" i="10"/>
  <c r="AA7" i="10"/>
  <c r="Z7" i="10"/>
  <c r="W7" i="10"/>
  <c r="V7" i="10"/>
  <c r="S7" i="10"/>
  <c r="R7" i="10"/>
  <c r="O7" i="10"/>
  <c r="L7" i="10"/>
  <c r="I7" i="10"/>
  <c r="F7" i="10"/>
  <c r="C7" i="10"/>
  <c r="AE6" i="10"/>
  <c r="AD6" i="10"/>
  <c r="AA6" i="10"/>
  <c r="Z6" i="10"/>
  <c r="W6" i="10"/>
  <c r="V6" i="10"/>
  <c r="S6" i="10"/>
  <c r="R6" i="10"/>
  <c r="O6" i="10"/>
  <c r="L6" i="10"/>
  <c r="I6" i="10"/>
  <c r="F6" i="10"/>
  <c r="C6" i="10"/>
  <c r="AE5" i="10"/>
  <c r="AD5" i="10"/>
  <c r="AA5" i="10"/>
  <c r="Z5" i="10"/>
  <c r="W5" i="10"/>
  <c r="V5" i="10"/>
  <c r="S5" i="10"/>
  <c r="R5" i="10"/>
  <c r="O5" i="10"/>
  <c r="L5" i="10"/>
  <c r="I5" i="10"/>
  <c r="F5" i="10"/>
  <c r="C5" i="10"/>
  <c r="AE4" i="10"/>
  <c r="AD4" i="10"/>
  <c r="AA4" i="10"/>
  <c r="Z4" i="10"/>
  <c r="W4" i="10"/>
  <c r="V4" i="10"/>
  <c r="S4" i="10"/>
  <c r="R4" i="10"/>
  <c r="O4" i="10"/>
  <c r="L4" i="10"/>
  <c r="I4" i="10"/>
  <c r="F4" i="10"/>
  <c r="C4" i="10"/>
  <c r="AE3" i="10"/>
  <c r="AD3" i="10"/>
  <c r="AA3" i="10"/>
  <c r="Z3" i="10"/>
  <c r="W3" i="10"/>
  <c r="V3" i="10"/>
  <c r="S3" i="10"/>
  <c r="R3" i="10"/>
  <c r="O3" i="10"/>
  <c r="L3" i="10"/>
  <c r="I3" i="10"/>
  <c r="F3" i="10"/>
  <c r="C3" i="10"/>
  <c r="AE2" i="10"/>
  <c r="AD2" i="10"/>
  <c r="AA2" i="10"/>
  <c r="Z2" i="10"/>
  <c r="W2" i="10"/>
  <c r="V2" i="10"/>
  <c r="S2" i="10"/>
  <c r="R2" i="10"/>
  <c r="O2" i="10"/>
  <c r="L2" i="10"/>
  <c r="I2" i="10"/>
  <c r="F2" i="10"/>
  <c r="C2" i="10"/>
  <c r="AA53" i="9"/>
  <c r="X53" i="9"/>
  <c r="R53" i="9"/>
  <c r="O53" i="9"/>
  <c r="L53" i="9"/>
  <c r="I53" i="9"/>
  <c r="F53" i="9"/>
  <c r="C53" i="9"/>
  <c r="AA52" i="9"/>
  <c r="X52" i="9"/>
  <c r="R52" i="9"/>
  <c r="O52" i="9"/>
  <c r="L52" i="9"/>
  <c r="I52" i="9"/>
  <c r="F52" i="9"/>
  <c r="C52" i="9"/>
  <c r="AA51" i="9"/>
  <c r="X51" i="9"/>
  <c r="U51" i="9"/>
  <c r="R51" i="9"/>
  <c r="O51" i="9"/>
  <c r="L51" i="9"/>
  <c r="I51" i="9"/>
  <c r="F51" i="9"/>
  <c r="C51" i="9"/>
  <c r="AA50" i="9"/>
  <c r="X50" i="9"/>
  <c r="U50" i="9"/>
  <c r="R50" i="9"/>
  <c r="O50" i="9"/>
  <c r="L50" i="9"/>
  <c r="I50" i="9"/>
  <c r="F50" i="9"/>
  <c r="C50" i="9"/>
  <c r="AA49" i="9"/>
  <c r="X49" i="9"/>
  <c r="U49" i="9"/>
  <c r="R49" i="9"/>
  <c r="O49" i="9"/>
  <c r="L49" i="9"/>
  <c r="I49" i="9"/>
  <c r="F49" i="9"/>
  <c r="C49" i="9"/>
  <c r="AA48" i="9"/>
  <c r="X48" i="9"/>
  <c r="U48" i="9"/>
  <c r="R48" i="9"/>
  <c r="O48" i="9"/>
  <c r="L48" i="9"/>
  <c r="I48" i="9"/>
  <c r="F48" i="9"/>
  <c r="C48" i="9"/>
  <c r="AA47" i="9"/>
  <c r="X47" i="9"/>
  <c r="U47" i="9"/>
  <c r="R47" i="9"/>
  <c r="O47" i="9"/>
  <c r="L47" i="9"/>
  <c r="I47" i="9"/>
  <c r="F47" i="9"/>
  <c r="C47" i="9"/>
  <c r="AA46" i="9"/>
  <c r="X46" i="9"/>
  <c r="U46" i="9"/>
  <c r="R46" i="9"/>
  <c r="O46" i="9"/>
  <c r="L46" i="9"/>
  <c r="I46" i="9"/>
  <c r="F46" i="9"/>
  <c r="C46" i="9"/>
  <c r="AA45" i="9"/>
  <c r="X45" i="9"/>
  <c r="U45" i="9"/>
  <c r="R45" i="9"/>
  <c r="O45" i="9"/>
  <c r="L45" i="9"/>
  <c r="I45" i="9"/>
  <c r="F45" i="9"/>
  <c r="C45" i="9"/>
  <c r="AA44" i="9"/>
  <c r="X44" i="9"/>
  <c r="U44" i="9"/>
  <c r="R44" i="9"/>
  <c r="O44" i="9"/>
  <c r="L44" i="9"/>
  <c r="I44" i="9"/>
  <c r="F44" i="9"/>
  <c r="C44" i="9"/>
  <c r="AA43" i="9"/>
  <c r="X43" i="9"/>
  <c r="U43" i="9"/>
  <c r="R43" i="9"/>
  <c r="O43" i="9"/>
  <c r="L43" i="9"/>
  <c r="I43" i="9"/>
  <c r="F43" i="9"/>
  <c r="C43" i="9"/>
  <c r="AA42" i="9"/>
  <c r="X42" i="9"/>
  <c r="U42" i="9"/>
  <c r="R42" i="9"/>
  <c r="O42" i="9"/>
  <c r="L42" i="9"/>
  <c r="I42" i="9"/>
  <c r="F42" i="9"/>
  <c r="C42" i="9"/>
  <c r="AA41" i="9"/>
  <c r="X41" i="9"/>
  <c r="U41" i="9"/>
  <c r="R41" i="9"/>
  <c r="O41" i="9"/>
  <c r="L41" i="9"/>
  <c r="I41" i="9"/>
  <c r="F41" i="9"/>
  <c r="C41" i="9"/>
  <c r="AA40" i="9"/>
  <c r="X40" i="9"/>
  <c r="U40" i="9"/>
  <c r="R40" i="9"/>
  <c r="O40" i="9"/>
  <c r="L40" i="9"/>
  <c r="I40" i="9"/>
  <c r="F40" i="9"/>
  <c r="C40" i="9"/>
  <c r="AA39" i="9"/>
  <c r="X39" i="9"/>
  <c r="U39" i="9"/>
  <c r="R39" i="9"/>
  <c r="O39" i="9"/>
  <c r="L39" i="9"/>
  <c r="I39" i="9"/>
  <c r="F39" i="9"/>
  <c r="C39" i="9"/>
  <c r="AA38" i="9"/>
  <c r="X38" i="9"/>
  <c r="U38" i="9"/>
  <c r="R38" i="9"/>
  <c r="O38" i="9"/>
  <c r="L38" i="9"/>
  <c r="I38" i="9"/>
  <c r="F38" i="9"/>
  <c r="C38" i="9"/>
  <c r="AA37" i="9"/>
  <c r="X37" i="9"/>
  <c r="U37" i="9"/>
  <c r="R37" i="9"/>
  <c r="O37" i="9"/>
  <c r="L37" i="9"/>
  <c r="I37" i="9"/>
  <c r="F37" i="9"/>
  <c r="C37" i="9"/>
  <c r="AA36" i="9"/>
  <c r="X36" i="9"/>
  <c r="U36" i="9"/>
  <c r="R36" i="9"/>
  <c r="O36" i="9"/>
  <c r="L36" i="9"/>
  <c r="I36" i="9"/>
  <c r="F36" i="9"/>
  <c r="C36" i="9"/>
  <c r="AA35" i="9"/>
  <c r="X35" i="9"/>
  <c r="U35" i="9"/>
  <c r="R35" i="9"/>
  <c r="O35" i="9"/>
  <c r="L35" i="9"/>
  <c r="I35" i="9"/>
  <c r="F35" i="9"/>
  <c r="C35" i="9"/>
  <c r="AA34" i="9"/>
  <c r="X34" i="9"/>
  <c r="U34" i="9"/>
  <c r="R34" i="9"/>
  <c r="O34" i="9"/>
  <c r="L34" i="9"/>
  <c r="I34" i="9"/>
  <c r="F34" i="9"/>
  <c r="C34" i="9"/>
  <c r="AA33" i="9"/>
  <c r="X33" i="9"/>
  <c r="U33" i="9"/>
  <c r="R33" i="9"/>
  <c r="O33" i="9"/>
  <c r="L33" i="9"/>
  <c r="I33" i="9"/>
  <c r="F33" i="9"/>
  <c r="C33" i="9"/>
  <c r="AA32" i="9"/>
  <c r="X32" i="9"/>
  <c r="U32" i="9"/>
  <c r="R32" i="9"/>
  <c r="O32" i="9"/>
  <c r="L32" i="9"/>
  <c r="I32" i="9"/>
  <c r="F32" i="9"/>
  <c r="C32" i="9"/>
  <c r="AA31" i="9"/>
  <c r="X31" i="9"/>
  <c r="U31" i="9"/>
  <c r="R31" i="9"/>
  <c r="O31" i="9"/>
  <c r="L31" i="9"/>
  <c r="I31" i="9"/>
  <c r="F31" i="9"/>
  <c r="C31" i="9"/>
  <c r="AA30" i="9"/>
  <c r="X30" i="9"/>
  <c r="U30" i="9"/>
  <c r="R30" i="9"/>
  <c r="O30" i="9"/>
  <c r="L30" i="9"/>
  <c r="I30" i="9"/>
  <c r="F30" i="9"/>
  <c r="C30" i="9"/>
  <c r="AA29" i="9"/>
  <c r="X29" i="9"/>
  <c r="U29" i="9"/>
  <c r="R29" i="9"/>
  <c r="O29" i="9"/>
  <c r="L29" i="9"/>
  <c r="I29" i="9"/>
  <c r="F29" i="9"/>
  <c r="C29" i="9"/>
  <c r="AA28" i="9"/>
  <c r="X28" i="9"/>
  <c r="U28" i="9"/>
  <c r="R28" i="9"/>
  <c r="O28" i="9"/>
  <c r="L28" i="9"/>
  <c r="I28" i="9"/>
  <c r="F28" i="9"/>
  <c r="C28" i="9"/>
  <c r="AA27" i="9"/>
  <c r="X27" i="9"/>
  <c r="U27" i="9"/>
  <c r="R27" i="9"/>
  <c r="O27" i="9"/>
  <c r="L27" i="9"/>
  <c r="I27" i="9"/>
  <c r="F27" i="9"/>
  <c r="C27" i="9"/>
  <c r="AA26" i="9"/>
  <c r="X26" i="9"/>
  <c r="U26" i="9"/>
  <c r="R26" i="9"/>
  <c r="O26" i="9"/>
  <c r="L26" i="9"/>
  <c r="I26" i="9"/>
  <c r="F26" i="9"/>
  <c r="C26" i="9"/>
  <c r="AA25" i="9"/>
  <c r="X25" i="9"/>
  <c r="U25" i="9"/>
  <c r="R25" i="9"/>
  <c r="O25" i="9"/>
  <c r="L25" i="9"/>
  <c r="I25" i="9"/>
  <c r="F25" i="9"/>
  <c r="C25" i="9"/>
  <c r="AA24" i="9"/>
  <c r="X24" i="9"/>
  <c r="U24" i="9"/>
  <c r="R24" i="9"/>
  <c r="O24" i="9"/>
  <c r="L24" i="9"/>
  <c r="I24" i="9"/>
  <c r="F24" i="9"/>
  <c r="C24" i="9"/>
  <c r="AA23" i="9"/>
  <c r="X23" i="9"/>
  <c r="U23" i="9"/>
  <c r="R23" i="9"/>
  <c r="O23" i="9"/>
  <c r="L23" i="9"/>
  <c r="I23" i="9"/>
  <c r="F23" i="9"/>
  <c r="C23" i="9"/>
  <c r="AA22" i="9"/>
  <c r="X22" i="9"/>
  <c r="U22" i="9"/>
  <c r="R22" i="9"/>
  <c r="O22" i="9"/>
  <c r="L22" i="9"/>
  <c r="I22" i="9"/>
  <c r="F22" i="9"/>
  <c r="C22" i="9"/>
  <c r="AA21" i="9"/>
  <c r="X21" i="9"/>
  <c r="U21" i="9"/>
  <c r="R21" i="9"/>
  <c r="O21" i="9"/>
  <c r="L21" i="9"/>
  <c r="I21" i="9"/>
  <c r="F21" i="9"/>
  <c r="C21" i="9"/>
  <c r="AA20" i="9"/>
  <c r="X20" i="9"/>
  <c r="U20" i="9"/>
  <c r="R20" i="9"/>
  <c r="O20" i="9"/>
  <c r="L20" i="9"/>
  <c r="I20" i="9"/>
  <c r="F20" i="9"/>
  <c r="C20" i="9"/>
  <c r="AA19" i="9"/>
  <c r="X19" i="9"/>
  <c r="U19" i="9"/>
  <c r="R19" i="9"/>
  <c r="O19" i="9"/>
  <c r="L19" i="9"/>
  <c r="I19" i="9"/>
  <c r="F19" i="9"/>
  <c r="C19" i="9"/>
  <c r="AA18" i="9"/>
  <c r="X18" i="9"/>
  <c r="U18" i="9"/>
  <c r="R18" i="9"/>
  <c r="O18" i="9"/>
  <c r="L18" i="9"/>
  <c r="I18" i="9"/>
  <c r="F18" i="9"/>
  <c r="C18" i="9"/>
  <c r="AA17" i="9"/>
  <c r="X17" i="9"/>
  <c r="U17" i="9"/>
  <c r="R17" i="9"/>
  <c r="O17" i="9"/>
  <c r="L17" i="9"/>
  <c r="I17" i="9"/>
  <c r="F17" i="9"/>
  <c r="C17" i="9"/>
  <c r="AA16" i="9"/>
  <c r="X16" i="9"/>
  <c r="U16" i="9"/>
  <c r="R16" i="9"/>
  <c r="O16" i="9"/>
  <c r="L16" i="9"/>
  <c r="I16" i="9"/>
  <c r="F16" i="9"/>
  <c r="C16" i="9"/>
  <c r="AA15" i="9"/>
  <c r="X15" i="9"/>
  <c r="U15" i="9"/>
  <c r="R15" i="9"/>
  <c r="O15" i="9"/>
  <c r="L15" i="9"/>
  <c r="I15" i="9"/>
  <c r="F15" i="9"/>
  <c r="C15" i="9"/>
  <c r="AA14" i="9"/>
  <c r="X14" i="9"/>
  <c r="U14" i="9"/>
  <c r="R14" i="9"/>
  <c r="O14" i="9"/>
  <c r="L14" i="9"/>
  <c r="I14" i="9"/>
  <c r="F14" i="9"/>
  <c r="C14" i="9"/>
  <c r="AA13" i="9"/>
  <c r="X13" i="9"/>
  <c r="U13" i="9"/>
  <c r="R13" i="9"/>
  <c r="O13" i="9"/>
  <c r="L13" i="9"/>
  <c r="I13" i="9"/>
  <c r="F13" i="9"/>
  <c r="C13" i="9"/>
  <c r="AA12" i="9"/>
  <c r="X12" i="9"/>
  <c r="U12" i="9"/>
  <c r="R12" i="9"/>
  <c r="O12" i="9"/>
  <c r="L12" i="9"/>
  <c r="I12" i="9"/>
  <c r="F12" i="9"/>
  <c r="C12" i="9"/>
  <c r="AA11" i="9"/>
  <c r="X11" i="9"/>
  <c r="U11" i="9"/>
  <c r="R11" i="9"/>
  <c r="O11" i="9"/>
  <c r="L11" i="9"/>
  <c r="I11" i="9"/>
  <c r="F11" i="9"/>
  <c r="C11" i="9"/>
  <c r="AA10" i="9"/>
  <c r="X10" i="9"/>
  <c r="U10" i="9"/>
  <c r="R10" i="9"/>
  <c r="O10" i="9"/>
  <c r="L10" i="9"/>
  <c r="I10" i="9"/>
  <c r="F10" i="9"/>
  <c r="C10" i="9"/>
  <c r="AA9" i="9"/>
  <c r="X9" i="9"/>
  <c r="U9" i="9"/>
  <c r="R9" i="9"/>
  <c r="O9" i="9"/>
  <c r="L9" i="9"/>
  <c r="I9" i="9"/>
  <c r="F9" i="9"/>
  <c r="C9" i="9"/>
  <c r="AA8" i="9"/>
  <c r="X8" i="9"/>
  <c r="U8" i="9"/>
  <c r="R8" i="9"/>
  <c r="O8" i="9"/>
  <c r="L8" i="9"/>
  <c r="I8" i="9"/>
  <c r="F8" i="9"/>
  <c r="C8" i="9"/>
  <c r="AA7" i="9"/>
  <c r="X7" i="9"/>
  <c r="U7" i="9"/>
  <c r="R7" i="9"/>
  <c r="O7" i="9"/>
  <c r="L7" i="9"/>
  <c r="I7" i="9"/>
  <c r="F7" i="9"/>
  <c r="C7" i="9"/>
  <c r="AA6" i="9"/>
  <c r="X6" i="9"/>
  <c r="U6" i="9"/>
  <c r="R6" i="9"/>
  <c r="O6" i="9"/>
  <c r="L6" i="9"/>
  <c r="I6" i="9"/>
  <c r="F6" i="9"/>
  <c r="C6" i="9"/>
  <c r="AA5" i="9"/>
  <c r="X5" i="9"/>
  <c r="U5" i="9"/>
  <c r="R5" i="9"/>
  <c r="O5" i="9"/>
  <c r="L5" i="9"/>
  <c r="I5" i="9"/>
  <c r="F5" i="9"/>
  <c r="C5" i="9"/>
  <c r="AA4" i="9"/>
  <c r="X4" i="9"/>
  <c r="U4" i="9"/>
  <c r="R4" i="9"/>
  <c r="O4" i="9"/>
  <c r="L4" i="9"/>
  <c r="I4" i="9"/>
  <c r="F4" i="9"/>
  <c r="C4" i="9"/>
  <c r="AA3" i="9"/>
  <c r="X3" i="9"/>
  <c r="U3" i="9"/>
  <c r="R3" i="9"/>
  <c r="O3" i="9"/>
  <c r="L3" i="9"/>
  <c r="I3" i="9"/>
  <c r="F3" i="9"/>
  <c r="C3" i="9"/>
  <c r="AA2" i="9"/>
  <c r="X2" i="9"/>
  <c r="U2" i="9"/>
  <c r="R2" i="9"/>
  <c r="O2" i="9"/>
  <c r="L2" i="9"/>
  <c r="I2" i="9"/>
  <c r="F2" i="9"/>
  <c r="C2" i="9"/>
  <c r="D66" i="8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Q83" i="3"/>
  <c r="Q82" i="3"/>
  <c r="Q81" i="3"/>
  <c r="Q80" i="3"/>
  <c r="Q79" i="3"/>
  <c r="Q78" i="3"/>
  <c r="Q77" i="3"/>
  <c r="Q76" i="3"/>
  <c r="Q75" i="3"/>
  <c r="Q74" i="3"/>
  <c r="Q73" i="3"/>
  <c r="Q72" i="3"/>
  <c r="Q71" i="3"/>
  <c r="Q70" i="3"/>
  <c r="Q69" i="3"/>
  <c r="Q68" i="3"/>
  <c r="Q67" i="3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</calcChain>
</file>

<file path=xl/sharedStrings.xml><?xml version="1.0" encoding="utf-8"?>
<sst xmlns="http://schemas.openxmlformats.org/spreadsheetml/2006/main" count="118" uniqueCount="5">
  <si>
    <t>res (ohm)</t>
  </si>
  <si>
    <t>Err (%)</t>
  </si>
  <si>
    <t>absolute Err (%)</t>
  </si>
  <si>
    <t>time to take meas (ms)</t>
  </si>
  <si>
    <t>Rfsr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</si>
</sst>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"/>
  </numFmts>
  <fonts count="4" x14ac:knownFonts="1">
    <font>
      <sz val="12"/>
      <color theme="1"/>
      <name val="Calibri"/>
      <family val="2"/>
      <scheme val="minor"/>
    </font>
    <font>
      <sz val="11"/>
      <color theme="1"/>
      <name val="Monac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6"/>
  <sheetViews>
    <sheetView tabSelected="1" zoomScale="81" workbookViewId="0">
      <selection activeCell="F2" sqref="F2:G71"/>
    </sheetView>
  </sheetViews>
  <sheetFormatPr baseColWidth="10" defaultRowHeight="16" x14ac:dyDescent="0.2"/>
  <cols>
    <col min="2" max="2" width="11.6640625" bestFit="1" customWidth="1"/>
    <col min="3" max="3" width="19.83203125" bestFit="1" customWidth="1"/>
    <col min="10" max="10" width="19.83203125" bestFit="1" customWidth="1"/>
    <col min="13" max="13" width="9" bestFit="1" customWidth="1"/>
    <col min="17" max="17" width="19.83203125" bestFit="1" customWidth="1"/>
    <col min="18" max="18" width="12.5" bestFit="1" customWidth="1"/>
  </cols>
  <sheetData>
    <row r="1" spans="1:17" x14ac:dyDescent="0.2">
      <c r="A1" t="s">
        <v>0</v>
      </c>
      <c r="B1" t="s">
        <v>1</v>
      </c>
      <c r="C1" t="s">
        <v>3</v>
      </c>
      <c r="D1" t="s">
        <v>4</v>
      </c>
      <c r="E1" t="s">
        <v>1</v>
      </c>
      <c r="F1" t="s">
        <v>0</v>
      </c>
      <c r="G1" t="s">
        <v>1</v>
      </c>
      <c r="H1" t="s">
        <v>0</v>
      </c>
      <c r="I1" t="s">
        <v>1</v>
      </c>
      <c r="J1" t="s">
        <v>3</v>
      </c>
      <c r="K1" t="s">
        <v>0</v>
      </c>
      <c r="L1" t="s">
        <v>1</v>
      </c>
      <c r="M1" t="s">
        <v>0</v>
      </c>
      <c r="N1" t="s">
        <v>1</v>
      </c>
      <c r="O1" t="s">
        <v>0</v>
      </c>
      <c r="P1" t="s">
        <v>1</v>
      </c>
      <c r="Q1" t="s">
        <v>3</v>
      </c>
    </row>
    <row r="2" spans="1:17" x14ac:dyDescent="0.2">
      <c r="A2">
        <v>989.3</v>
      </c>
      <c r="B2" s="1">
        <v>11.303407999999999</v>
      </c>
      <c r="C2">
        <f>244406000*(1/48000000)</f>
        <v>5.0917916666666674</v>
      </c>
      <c r="D2">
        <v>2933</v>
      </c>
      <c r="E2" s="1">
        <v>6.9049990000000001</v>
      </c>
      <c r="F2" s="1"/>
      <c r="G2" s="1"/>
      <c r="H2" s="1">
        <v>9878</v>
      </c>
      <c r="I2" s="1">
        <v>0.122613</v>
      </c>
      <c r="J2">
        <f>2540412000*(1/48000000)</f>
        <v>52.925250000000005</v>
      </c>
      <c r="K2" s="1">
        <v>19786</v>
      </c>
      <c r="L2" s="1">
        <v>0.10496900000000001</v>
      </c>
      <c r="M2">
        <v>50382</v>
      </c>
      <c r="N2" s="1">
        <v>3.4986000000000003E-2</v>
      </c>
      <c r="O2" s="1">
        <v>99668</v>
      </c>
      <c r="P2" s="1">
        <v>0.35292699999999999</v>
      </c>
      <c r="Q2">
        <f>21577047000*(1/48000000)</f>
        <v>449.52181250000001</v>
      </c>
    </row>
    <row r="3" spans="1:17" x14ac:dyDescent="0.2">
      <c r="A3">
        <v>989.3</v>
      </c>
      <c r="B3" s="1">
        <v>11.207738000000001</v>
      </c>
      <c r="C3">
        <f>242589000*(1/48000000)</f>
        <v>5.0539375</v>
      </c>
      <c r="D3">
        <v>2933</v>
      </c>
      <c r="E3" s="1">
        <v>7.0375430000000003</v>
      </c>
      <c r="F3" s="1"/>
      <c r="G3" s="1"/>
      <c r="H3" s="1">
        <v>9878</v>
      </c>
      <c r="I3" s="1">
        <v>0.44514399999999998</v>
      </c>
      <c r="J3">
        <f>2411989000*(1/48000000)</f>
        <v>50.249770833333336</v>
      </c>
      <c r="K3" s="1">
        <v>19786</v>
      </c>
      <c r="L3" s="1">
        <v>0.20441899999999999</v>
      </c>
      <c r="M3">
        <v>50382</v>
      </c>
      <c r="N3" s="1">
        <v>3.4986000000000003E-2</v>
      </c>
      <c r="O3" s="1">
        <v>99668</v>
      </c>
      <c r="P3" s="1">
        <v>0.35292699999999999</v>
      </c>
      <c r="Q3">
        <f>21723700000*(1/48000000)</f>
        <v>452.57708333333335</v>
      </c>
    </row>
    <row r="4" spans="1:17" x14ac:dyDescent="0.2">
      <c r="A4">
        <v>989.3</v>
      </c>
      <c r="B4" s="1">
        <v>10.988098000000001</v>
      </c>
      <c r="C4">
        <f>239920000*(1/48000000)</f>
        <v>4.998333333333334</v>
      </c>
      <c r="D4">
        <v>2933</v>
      </c>
      <c r="E4" s="1">
        <v>6.8670109999999998</v>
      </c>
      <c r="F4" s="1"/>
      <c r="G4" s="1"/>
      <c r="H4" s="1">
        <v>9878</v>
      </c>
      <c r="I4" s="1">
        <v>0.47792400000000002</v>
      </c>
      <c r="J4">
        <f>2450530000*(1/48000000)</f>
        <v>51.052708333333335</v>
      </c>
      <c r="K4" s="1">
        <v>19786</v>
      </c>
      <c r="L4" s="1">
        <v>0.137269</v>
      </c>
      <c r="M4">
        <v>50382</v>
      </c>
      <c r="N4" s="1">
        <v>0.17655699999999999</v>
      </c>
      <c r="O4" s="1">
        <v>99668</v>
      </c>
      <c r="P4" s="1">
        <v>1.103046</v>
      </c>
      <c r="Q4">
        <f>21813881000*(1/48000000)</f>
        <v>454.45585416666671</v>
      </c>
    </row>
    <row r="5" spans="1:17" x14ac:dyDescent="0.2">
      <c r="A5">
        <v>989.3</v>
      </c>
      <c r="B5" s="1">
        <v>11.075034</v>
      </c>
      <c r="C5">
        <f>240523000*(1/48000000)</f>
        <v>5.0108958333333335</v>
      </c>
      <c r="D5">
        <v>2933</v>
      </c>
      <c r="E5" s="1">
        <v>6.7991000000000001</v>
      </c>
      <c r="F5" s="1"/>
      <c r="G5" s="1"/>
      <c r="H5" s="1">
        <v>9878</v>
      </c>
      <c r="I5" s="1">
        <v>0.571492</v>
      </c>
      <c r="J5">
        <f>2358566000*(1/48000000)</f>
        <v>49.136791666666667</v>
      </c>
      <c r="K5" s="1">
        <v>19786</v>
      </c>
      <c r="L5" s="1">
        <v>0.31484000000000001</v>
      </c>
      <c r="M5">
        <v>50382</v>
      </c>
      <c r="N5" s="1">
        <v>0.39194400000000001</v>
      </c>
      <c r="O5" s="1">
        <v>99668</v>
      </c>
      <c r="P5" s="1">
        <v>0.874498</v>
      </c>
      <c r="Q5">
        <f>21806160000*(1/48000000)</f>
        <v>454.29500000000002</v>
      </c>
    </row>
    <row r="6" spans="1:17" x14ac:dyDescent="0.2">
      <c r="A6">
        <v>989.3</v>
      </c>
      <c r="B6" s="1">
        <v>11.131316999999999</v>
      </c>
      <c r="C6">
        <f>240422000*(1/48000000)</f>
        <v>5.0087916666666672</v>
      </c>
      <c r="D6">
        <v>2933</v>
      </c>
      <c r="E6" s="1">
        <v>6.6914420000000003</v>
      </c>
      <c r="F6" s="1"/>
      <c r="G6" s="1"/>
      <c r="H6" s="1">
        <v>9878</v>
      </c>
      <c r="I6" s="1">
        <v>0.42726700000000001</v>
      </c>
      <c r="J6">
        <f>2293275000*(1/48000000)</f>
        <v>47.776562500000004</v>
      </c>
      <c r="K6" s="1">
        <v>19786</v>
      </c>
      <c r="L6" s="1">
        <v>0.30745499999999998</v>
      </c>
      <c r="M6">
        <v>50382</v>
      </c>
      <c r="N6" s="1">
        <v>0.30745899999999998</v>
      </c>
      <c r="O6" s="1">
        <v>99668</v>
      </c>
      <c r="P6" s="1">
        <v>0.43361699999999997</v>
      </c>
      <c r="Q6">
        <f>21812943000*(1/48000000)</f>
        <v>454.43631250000004</v>
      </c>
    </row>
    <row r="7" spans="1:17" x14ac:dyDescent="0.2">
      <c r="A7">
        <v>989.3</v>
      </c>
      <c r="B7" s="1">
        <v>11.421314000000001</v>
      </c>
      <c r="C7">
        <f>240741000*(1/48000000)</f>
        <v>5.0154375</v>
      </c>
      <c r="D7">
        <v>2933</v>
      </c>
      <c r="E7" s="1">
        <v>6.9149159999999998</v>
      </c>
      <c r="F7" s="1"/>
      <c r="G7" s="1"/>
      <c r="H7" s="1">
        <v>9878</v>
      </c>
      <c r="I7" s="1">
        <v>0.12705900000000001</v>
      </c>
      <c r="J7">
        <f>2268523000*(1/48000000)</f>
        <v>47.260895833333336</v>
      </c>
      <c r="K7" s="1">
        <v>19786</v>
      </c>
      <c r="L7" s="1">
        <v>0.15041599999999999</v>
      </c>
      <c r="M7">
        <v>50382</v>
      </c>
      <c r="N7" s="1">
        <v>5.2297999999999997E-2</v>
      </c>
      <c r="O7" s="1">
        <v>99668</v>
      </c>
      <c r="P7" s="1">
        <v>0.199572</v>
      </c>
      <c r="Q7">
        <f>21809757000*(1/48000000)</f>
        <v>454.36993750000005</v>
      </c>
    </row>
    <row r="8" spans="1:17" x14ac:dyDescent="0.2">
      <c r="A8">
        <v>989.3</v>
      </c>
      <c r="B8" s="1">
        <v>11.146713</v>
      </c>
      <c r="C8">
        <f>241244000*(1/48000000)</f>
        <v>5.0259166666666673</v>
      </c>
      <c r="D8">
        <v>2933</v>
      </c>
      <c r="E8" s="1">
        <v>6.6953990000000001</v>
      </c>
      <c r="F8" s="1"/>
      <c r="G8" s="1"/>
      <c r="H8" s="1">
        <v>9878</v>
      </c>
      <c r="I8" s="1">
        <v>0.46717900000000001</v>
      </c>
      <c r="J8">
        <f>2260119000*(1/48000000)</f>
        <v>47.085812500000003</v>
      </c>
      <c r="K8" s="1">
        <v>19786</v>
      </c>
      <c r="L8" s="1">
        <v>0.38133400000000001</v>
      </c>
      <c r="M8">
        <v>50382</v>
      </c>
      <c r="N8" s="1">
        <v>0.47288200000000002</v>
      </c>
      <c r="O8" s="1">
        <v>99668</v>
      </c>
      <c r="P8" s="1">
        <v>0.486711</v>
      </c>
      <c r="Q8">
        <f>21622888000*(1/48000000)</f>
        <v>450.47683333333339</v>
      </c>
    </row>
    <row r="9" spans="1:17" x14ac:dyDescent="0.2">
      <c r="A9">
        <v>989.3</v>
      </c>
      <c r="B9" s="1">
        <v>10.936507000000001</v>
      </c>
      <c r="C9">
        <f>241958000*(1/48000000)</f>
        <v>5.0407916666666672</v>
      </c>
      <c r="D9">
        <v>2933</v>
      </c>
      <c r="E9" s="1">
        <v>6.8217930000000004</v>
      </c>
      <c r="F9" s="1"/>
      <c r="G9" s="1"/>
      <c r="H9" s="1">
        <v>9878</v>
      </c>
      <c r="I9" s="1">
        <v>0.43353199999999997</v>
      </c>
      <c r="J9">
        <f>2258061000*(1/48000000)</f>
        <v>47.042937500000001</v>
      </c>
      <c r="K9" s="1">
        <v>19786</v>
      </c>
      <c r="L9" s="1">
        <v>1.8654E-2</v>
      </c>
      <c r="M9">
        <v>50382</v>
      </c>
      <c r="N9" s="1">
        <v>0.114772</v>
      </c>
      <c r="O9" s="1">
        <v>99668</v>
      </c>
      <c r="P9" s="1">
        <v>0.52271999999999996</v>
      </c>
      <c r="Q9">
        <f>21799819000*(1/48000000)</f>
        <v>454.16289583333338</v>
      </c>
    </row>
    <row r="10" spans="1:17" x14ac:dyDescent="0.2">
      <c r="A10">
        <v>989.3</v>
      </c>
      <c r="B10" s="1">
        <v>10.939844000000001</v>
      </c>
      <c r="C10">
        <f>241749000*(1/48000000)</f>
        <v>5.0364374999999999</v>
      </c>
      <c r="D10">
        <v>2933</v>
      </c>
      <c r="E10" s="1">
        <v>6.6281590000000001</v>
      </c>
      <c r="F10" s="1"/>
      <c r="G10" s="1"/>
      <c r="H10" s="1">
        <v>9878</v>
      </c>
      <c r="I10" s="1">
        <v>0.476634</v>
      </c>
      <c r="J10">
        <f>2257251000*(1/48000000)</f>
        <v>47.026062500000002</v>
      </c>
      <c r="K10" s="1">
        <v>19786</v>
      </c>
      <c r="L10" s="1">
        <v>0.33838099999999999</v>
      </c>
      <c r="M10">
        <v>50382</v>
      </c>
      <c r="N10" s="1">
        <v>0.220744</v>
      </c>
      <c r="O10" s="1">
        <v>99668</v>
      </c>
      <c r="P10" s="1">
        <v>0.13295199999999999</v>
      </c>
      <c r="Q10">
        <f>21796103000*(1/48000000)</f>
        <v>454.08547916666669</v>
      </c>
    </row>
    <row r="11" spans="1:17" x14ac:dyDescent="0.2">
      <c r="A11">
        <v>989.3</v>
      </c>
      <c r="B11" s="1">
        <v>10.862273999999999</v>
      </c>
      <c r="C11">
        <f>242242000*(1/48000000)</f>
        <v>5.046708333333334</v>
      </c>
      <c r="D11">
        <v>2933</v>
      </c>
      <c r="E11" s="1">
        <v>6.5749399999999998</v>
      </c>
      <c r="F11" s="1"/>
      <c r="G11" s="1"/>
      <c r="H11" s="1">
        <v>9878</v>
      </c>
      <c r="I11" s="1">
        <v>0.185109</v>
      </c>
      <c r="J11">
        <f>2259887000*(1/48000000)</f>
        <v>47.080979166666673</v>
      </c>
      <c r="K11" s="1">
        <v>19786</v>
      </c>
      <c r="L11" s="1">
        <v>0.48084100000000002</v>
      </c>
      <c r="M11">
        <v>50382</v>
      </c>
      <c r="N11" s="1">
        <v>1.1235E-2</v>
      </c>
      <c r="O11" s="1">
        <v>99668</v>
      </c>
      <c r="P11" s="1">
        <v>0.33099099999999998</v>
      </c>
      <c r="Q11">
        <f>21815885000*(1/48000000)</f>
        <v>454.49760416666669</v>
      </c>
    </row>
    <row r="12" spans="1:17" x14ac:dyDescent="0.2">
      <c r="A12">
        <v>989.3</v>
      </c>
      <c r="B12" s="1">
        <v>10.772679999999999</v>
      </c>
      <c r="C12">
        <f>241874000*(1/48000000)</f>
        <v>5.0390416666666669</v>
      </c>
      <c r="D12">
        <v>2933</v>
      </c>
      <c r="E12" s="1">
        <v>6.6938279999999999</v>
      </c>
      <c r="F12" s="1"/>
      <c r="G12" s="1"/>
      <c r="H12" s="1">
        <v>9878</v>
      </c>
      <c r="I12" s="1">
        <v>0.19293399999999999</v>
      </c>
      <c r="J12">
        <f>2260102000*(1/48000000)</f>
        <v>47.085458333333335</v>
      </c>
      <c r="K12" s="1">
        <v>19786</v>
      </c>
      <c r="L12" s="1">
        <v>0.17175699999999999</v>
      </c>
      <c r="M12">
        <v>50382</v>
      </c>
      <c r="N12" s="1">
        <v>8.8461999999999999E-2</v>
      </c>
      <c r="O12" s="1">
        <v>99668</v>
      </c>
      <c r="P12" s="1">
        <v>0.393652</v>
      </c>
      <c r="Q12">
        <f>21679738000*(1/48000000)</f>
        <v>451.66120833333338</v>
      </c>
    </row>
    <row r="13" spans="1:17" x14ac:dyDescent="0.2">
      <c r="A13">
        <v>989.3</v>
      </c>
      <c r="B13" s="1">
        <v>10.731664</v>
      </c>
      <c r="C13">
        <f>240625000*(1/48000000)</f>
        <v>5.0130208333333339</v>
      </c>
      <c r="D13">
        <v>2933</v>
      </c>
      <c r="E13" s="1">
        <v>6.5440779999999998</v>
      </c>
      <c r="F13" s="1"/>
      <c r="G13" s="1"/>
      <c r="H13" s="1">
        <v>9878</v>
      </c>
      <c r="I13" s="1">
        <v>0.47398299999999999</v>
      </c>
      <c r="J13">
        <f>2266320000*(1/48000000)</f>
        <v>47.215000000000003</v>
      </c>
      <c r="K13" s="1">
        <v>19786</v>
      </c>
      <c r="L13" s="1">
        <v>0.67792699999999995</v>
      </c>
      <c r="M13">
        <v>50382</v>
      </c>
      <c r="N13" s="1">
        <v>0.38018000000000002</v>
      </c>
      <c r="O13" s="1">
        <v>99668</v>
      </c>
      <c r="P13" s="1">
        <v>0.39015</v>
      </c>
      <c r="Q13">
        <f>21710174000*(1/48000000)</f>
        <v>452.29529166666669</v>
      </c>
    </row>
    <row r="14" spans="1:17" x14ac:dyDescent="0.2">
      <c r="A14">
        <v>989.3</v>
      </c>
      <c r="B14" s="1">
        <v>10.991149</v>
      </c>
      <c r="C14">
        <f>241169000*(1/48000000)</f>
        <v>5.0243541666666669</v>
      </c>
      <c r="D14">
        <v>2933</v>
      </c>
      <c r="E14" s="1">
        <v>7.0707880000000003</v>
      </c>
      <c r="F14" s="1"/>
      <c r="G14" s="1"/>
      <c r="H14" s="1">
        <v>9878</v>
      </c>
      <c r="I14" s="1">
        <v>0.423263</v>
      </c>
      <c r="J14">
        <f>2269616000*(1/48000000)</f>
        <v>47.283666666666669</v>
      </c>
      <c r="K14" s="1">
        <v>19786</v>
      </c>
      <c r="L14" s="1">
        <v>0.40907700000000002</v>
      </c>
      <c r="M14">
        <v>50382</v>
      </c>
      <c r="N14" s="1">
        <v>9.9654000000000006E-2</v>
      </c>
      <c r="O14" s="1">
        <v>99668</v>
      </c>
      <c r="P14" s="1">
        <v>0.345661</v>
      </c>
      <c r="Q14">
        <f>21824448000*(1/48000000)</f>
        <v>454.67600000000004</v>
      </c>
    </row>
    <row r="15" spans="1:17" x14ac:dyDescent="0.2">
      <c r="A15">
        <v>989.3</v>
      </c>
      <c r="B15" s="1">
        <v>11.444124</v>
      </c>
      <c r="C15">
        <f>240965000*(1/48000000)</f>
        <v>5.020104166666667</v>
      </c>
      <c r="D15">
        <v>2933</v>
      </c>
      <c r="E15" s="1">
        <v>6.5637920000000003</v>
      </c>
      <c r="F15" s="1"/>
      <c r="G15" s="1"/>
      <c r="H15" s="1">
        <v>9878</v>
      </c>
      <c r="I15" s="1">
        <v>0.694523</v>
      </c>
      <c r="J15">
        <f>2270219000*(1/48000000)</f>
        <v>47.29622916666667</v>
      </c>
      <c r="K15" s="1">
        <v>19786</v>
      </c>
      <c r="L15" s="1">
        <v>0.25989800000000002</v>
      </c>
      <c r="M15">
        <v>50382</v>
      </c>
      <c r="N15" s="1">
        <v>0.45799800000000002</v>
      </c>
      <c r="O15" s="1">
        <v>99668</v>
      </c>
      <c r="P15" s="1">
        <v>0.45573999999999998</v>
      </c>
      <c r="Q15">
        <f>21800695000*(1/48000000)</f>
        <v>454.18114583333335</v>
      </c>
    </row>
    <row r="16" spans="1:17" x14ac:dyDescent="0.2">
      <c r="A16">
        <v>989.3</v>
      </c>
      <c r="B16" s="1">
        <v>10.608276</v>
      </c>
      <c r="C16">
        <f>240512000*(1/48000000)</f>
        <v>5.0106666666666673</v>
      </c>
      <c r="D16">
        <v>2933</v>
      </c>
      <c r="E16" s="1">
        <v>6.5001300000000004</v>
      </c>
      <c r="F16" s="1"/>
      <c r="G16" s="1"/>
      <c r="H16" s="1">
        <v>9878</v>
      </c>
      <c r="I16" s="1">
        <v>1.5994999999999999E-2</v>
      </c>
      <c r="J16">
        <f>2269004000*(1/48000000)</f>
        <v>47.270916666666672</v>
      </c>
      <c r="K16" s="1">
        <v>19786</v>
      </c>
      <c r="L16" s="1">
        <v>0.23554900000000001</v>
      </c>
      <c r="M16">
        <v>50382</v>
      </c>
      <c r="N16" s="1">
        <v>0.50565099999999996</v>
      </c>
      <c r="O16" s="1">
        <v>99668</v>
      </c>
      <c r="P16" s="1">
        <v>0.47863499999999998</v>
      </c>
      <c r="Q16">
        <f>21786032000*(1/48000000)</f>
        <v>453.87566666666669</v>
      </c>
    </row>
    <row r="17" spans="1:17" x14ac:dyDescent="0.2">
      <c r="A17">
        <v>989.3</v>
      </c>
      <c r="B17" s="1">
        <v>11.115201000000001</v>
      </c>
      <c r="C17">
        <f>241472000*(1/48000000)</f>
        <v>5.0306666666666668</v>
      </c>
      <c r="D17">
        <v>2933</v>
      </c>
      <c r="E17" s="1">
        <v>6.5127290000000002</v>
      </c>
      <c r="F17" s="1"/>
      <c r="G17" s="1"/>
      <c r="H17" s="1">
        <v>9878</v>
      </c>
      <c r="I17" s="1">
        <v>0.620502</v>
      </c>
      <c r="J17">
        <f>2271621000*(1/48000000)</f>
        <v>47.3254375</v>
      </c>
      <c r="K17" s="1">
        <v>19786</v>
      </c>
      <c r="L17" s="1">
        <v>0.22450000000000001</v>
      </c>
      <c r="M17">
        <v>50382</v>
      </c>
      <c r="N17" s="1">
        <v>0.210392</v>
      </c>
      <c r="O17" s="1">
        <v>99668</v>
      </c>
      <c r="P17" s="1">
        <v>0.61979700000000004</v>
      </c>
      <c r="Q17">
        <f>21801691000*(1/48000000)</f>
        <v>454.20189583333337</v>
      </c>
    </row>
    <row r="18" spans="1:17" x14ac:dyDescent="0.2">
      <c r="A18">
        <v>989.3</v>
      </c>
      <c r="B18" s="1">
        <v>11.327845</v>
      </c>
      <c r="C18">
        <f>240077000*(1/48000000)</f>
        <v>5.0016041666666666</v>
      </c>
      <c r="D18">
        <v>2933</v>
      </c>
      <c r="E18" s="1">
        <v>6.7314040000000004</v>
      </c>
      <c r="F18" s="1"/>
      <c r="G18" s="1"/>
      <c r="H18" s="1">
        <v>9878</v>
      </c>
      <c r="I18" s="1">
        <v>0.33642499999999997</v>
      </c>
      <c r="J18">
        <f>2268613000*(1/48000000)</f>
        <v>47.262770833333335</v>
      </c>
      <c r="K18" s="1">
        <v>19786</v>
      </c>
      <c r="L18" s="1">
        <v>0.119426</v>
      </c>
      <c r="M18">
        <v>50382</v>
      </c>
      <c r="N18" s="1">
        <v>0.24397099999999999</v>
      </c>
      <c r="O18" s="1">
        <v>99668</v>
      </c>
      <c r="P18" s="1">
        <v>0.74906899999999998</v>
      </c>
      <c r="Q18">
        <f>21817677000*(1/48000000)</f>
        <v>454.53493750000001</v>
      </c>
    </row>
    <row r="19" spans="1:17" x14ac:dyDescent="0.2">
      <c r="A19">
        <v>989.3</v>
      </c>
      <c r="B19" s="1">
        <v>11.167308999999999</v>
      </c>
      <c r="C19">
        <f>240008000*(1/48000000)</f>
        <v>5.0001666666666669</v>
      </c>
      <c r="D19">
        <v>2933</v>
      </c>
      <c r="E19" s="1">
        <v>6.7395959999999997</v>
      </c>
      <c r="F19" s="1"/>
      <c r="G19" s="1"/>
      <c r="H19" s="1">
        <v>9878</v>
      </c>
      <c r="I19" s="1">
        <v>0.57855400000000001</v>
      </c>
      <c r="J19">
        <f>2268094000*(1/48000000)</f>
        <v>47.251958333333334</v>
      </c>
      <c r="K19" s="1">
        <v>19786</v>
      </c>
      <c r="L19" s="1">
        <v>5.3119999999999999E-3</v>
      </c>
      <c r="M19">
        <v>50382</v>
      </c>
      <c r="N19" s="1">
        <v>0.95588799999999996</v>
      </c>
      <c r="O19" s="1">
        <v>99668</v>
      </c>
      <c r="P19" s="1">
        <v>0.45382600000000001</v>
      </c>
      <c r="Q19">
        <f>21804892000*(1/48000000)</f>
        <v>454.26858333333337</v>
      </c>
    </row>
    <row r="20" spans="1:17" x14ac:dyDescent="0.2">
      <c r="A20">
        <v>989.3</v>
      </c>
      <c r="B20" s="1">
        <v>10.834847999999999</v>
      </c>
      <c r="C20">
        <f>239808000*(1/48000000)</f>
        <v>4.9960000000000004</v>
      </c>
      <c r="D20">
        <v>2933</v>
      </c>
      <c r="E20" s="1">
        <v>6.5552109999999999</v>
      </c>
      <c r="F20" s="1"/>
      <c r="G20" s="1"/>
      <c r="H20" s="1">
        <v>9878</v>
      </c>
      <c r="I20" s="1">
        <v>0.64941499999999996</v>
      </c>
      <c r="J20">
        <f>2276262000*(1/48000000)</f>
        <v>47.422125000000001</v>
      </c>
      <c r="K20" s="1">
        <v>19786</v>
      </c>
      <c r="L20" s="1">
        <v>0.78827400000000003</v>
      </c>
      <c r="M20">
        <v>50382</v>
      </c>
      <c r="N20" s="1">
        <v>9.0107000000000007E-2</v>
      </c>
      <c r="O20" s="1">
        <v>99668</v>
      </c>
      <c r="P20" s="1">
        <v>0.97397299999999998</v>
      </c>
      <c r="Q20">
        <f>21796750000*(1/48000000)</f>
        <v>454.09895833333337</v>
      </c>
    </row>
    <row r="21" spans="1:17" x14ac:dyDescent="0.2">
      <c r="A21">
        <v>989.3</v>
      </c>
      <c r="B21" s="1">
        <v>10.943872000000001</v>
      </c>
      <c r="C21">
        <f>239186000*(1/48000000)</f>
        <v>4.9830416666666668</v>
      </c>
      <c r="D21">
        <v>2933</v>
      </c>
      <c r="E21" s="1">
        <v>6.6937129999999998</v>
      </c>
      <c r="F21" s="1"/>
      <c r="G21" s="1"/>
      <c r="H21" s="1">
        <v>9878</v>
      </c>
      <c r="I21" s="1">
        <v>0.10329000000000001</v>
      </c>
      <c r="J21">
        <f>2279826000*(1/48000000)</f>
        <v>47.496375</v>
      </c>
      <c r="K21" s="1">
        <v>19786</v>
      </c>
      <c r="L21" s="1">
        <v>0.180505</v>
      </c>
      <c r="M21">
        <v>50382</v>
      </c>
      <c r="N21" s="1">
        <v>0.49763800000000002</v>
      </c>
      <c r="O21" s="1">
        <v>99668</v>
      </c>
      <c r="P21" s="1">
        <v>0.19461600000000001</v>
      </c>
      <c r="Q21">
        <f>21821242000*(1/48000000)</f>
        <v>454.60920833333336</v>
      </c>
    </row>
    <row r="22" spans="1:17" x14ac:dyDescent="0.2">
      <c r="A22">
        <v>989.3</v>
      </c>
      <c r="B22" s="1">
        <v>11.527542</v>
      </c>
      <c r="C22">
        <f>240328000*(1/48000000)</f>
        <v>5.0068333333333337</v>
      </c>
      <c r="D22">
        <v>2933</v>
      </c>
      <c r="E22" s="1">
        <v>6.3839370000000004</v>
      </c>
      <c r="F22" s="1"/>
      <c r="G22" s="1"/>
      <c r="H22" s="1">
        <v>9878</v>
      </c>
      <c r="I22" s="1">
        <v>0.54347100000000004</v>
      </c>
      <c r="J22">
        <f>2276743000*(1/48000000)</f>
        <v>47.432145833333337</v>
      </c>
      <c r="K22" s="1">
        <v>19786</v>
      </c>
      <c r="L22" s="1">
        <v>9.9095000000000003E-2</v>
      </c>
      <c r="M22">
        <v>50382</v>
      </c>
      <c r="N22" s="1">
        <v>3.1412000000000002E-2</v>
      </c>
      <c r="O22" s="1">
        <v>99668</v>
      </c>
      <c r="P22" s="1">
        <v>0.48416500000000001</v>
      </c>
      <c r="Q22">
        <f>21734162000*(1/48000000)</f>
        <v>452.79504166666669</v>
      </c>
    </row>
    <row r="23" spans="1:17" x14ac:dyDescent="0.2">
      <c r="A23">
        <v>989.3</v>
      </c>
      <c r="B23" s="1">
        <v>11.413176</v>
      </c>
      <c r="C23">
        <f>240678000*(1/48000000)</f>
        <v>5.0141249999999999</v>
      </c>
      <c r="D23">
        <v>2933</v>
      </c>
      <c r="E23" s="1">
        <v>6.6936549999999997</v>
      </c>
      <c r="F23" s="1"/>
      <c r="G23" s="1"/>
      <c r="H23" s="1">
        <v>9878</v>
      </c>
      <c r="I23" s="1">
        <v>0.72852499999999998</v>
      </c>
      <c r="J23">
        <f>2277245000*(1/48000000)</f>
        <v>47.442604166666669</v>
      </c>
      <c r="K23" s="1">
        <v>19786</v>
      </c>
      <c r="L23" s="1">
        <v>0.129106</v>
      </c>
      <c r="M23">
        <v>50382</v>
      </c>
      <c r="N23" s="1">
        <v>0.124584</v>
      </c>
      <c r="O23" s="1">
        <v>99668</v>
      </c>
      <c r="P23" s="1">
        <v>0.468163</v>
      </c>
      <c r="Q23">
        <f>21681643000*(1/48000000)</f>
        <v>451.70089583333333</v>
      </c>
    </row>
    <row r="24" spans="1:17" x14ac:dyDescent="0.2">
      <c r="A24">
        <v>989.3</v>
      </c>
      <c r="B24" s="1">
        <v>11.055835</v>
      </c>
      <c r="C24">
        <f>239442000*(1/48000000)</f>
        <v>4.9883750000000004</v>
      </c>
      <c r="D24">
        <v>2933</v>
      </c>
      <c r="E24" s="1">
        <v>6.8081699999999996</v>
      </c>
      <c r="F24" s="1"/>
      <c r="G24" s="1"/>
      <c r="H24" s="1">
        <v>9878</v>
      </c>
      <c r="I24" s="1">
        <v>0.50050600000000001</v>
      </c>
      <c r="J24">
        <f>2269482000*(1/48000000)</f>
        <v>47.280875000000002</v>
      </c>
      <c r="K24" s="1">
        <v>19786</v>
      </c>
      <c r="L24" s="1">
        <v>0.458926</v>
      </c>
      <c r="M24">
        <v>50382</v>
      </c>
      <c r="N24" s="1">
        <v>4.4885000000000001E-2</v>
      </c>
      <c r="O24" s="1">
        <v>99668</v>
      </c>
      <c r="P24" s="1">
        <v>1.1114379999999999</v>
      </c>
      <c r="Q24">
        <f>21715664000*(1/48000000)</f>
        <v>452.40966666666668</v>
      </c>
    </row>
    <row r="25" spans="1:17" x14ac:dyDescent="0.2">
      <c r="A25">
        <v>989.3</v>
      </c>
      <c r="B25" s="1">
        <v>10.947867</v>
      </c>
      <c r="C25">
        <f>239966000*(1/48000000)</f>
        <v>4.9992916666666671</v>
      </c>
      <c r="D25">
        <v>2933</v>
      </c>
      <c r="E25" s="1">
        <v>6.4367029999999996</v>
      </c>
      <c r="F25" s="1"/>
      <c r="G25" s="1"/>
      <c r="H25" s="1">
        <v>9878</v>
      </c>
      <c r="I25" s="1">
        <v>0.52044299999999999</v>
      </c>
      <c r="J25">
        <f>2274005000*(1/48000000)</f>
        <v>47.375104166666667</v>
      </c>
      <c r="K25" s="1">
        <v>19786</v>
      </c>
      <c r="L25" s="1">
        <v>0.31176999999999999</v>
      </c>
      <c r="M25">
        <v>50382</v>
      </c>
      <c r="N25" s="1">
        <v>2.4368999999999998E-2</v>
      </c>
      <c r="O25" s="1">
        <v>99668</v>
      </c>
      <c r="P25" s="1">
        <v>0.48557299999999998</v>
      </c>
      <c r="Q25">
        <f>21744957000*(1/48000000)</f>
        <v>453.01993750000003</v>
      </c>
    </row>
    <row r="26" spans="1:17" x14ac:dyDescent="0.2">
      <c r="A26">
        <v>989.3</v>
      </c>
      <c r="B26" s="1">
        <v>10.83811</v>
      </c>
      <c r="C26">
        <f>239330000*(1/48000000)</f>
        <v>4.9860416666666669</v>
      </c>
      <c r="D26">
        <v>2933</v>
      </c>
      <c r="E26" s="1">
        <v>6.6323460000000001</v>
      </c>
      <c r="F26" s="1"/>
      <c r="G26" s="1"/>
      <c r="H26" s="1">
        <v>9878</v>
      </c>
      <c r="I26" s="1">
        <v>0.41667900000000002</v>
      </c>
      <c r="J26">
        <f>2270627000*(1/48000000)</f>
        <v>47.304729166666668</v>
      </c>
      <c r="K26" s="1">
        <v>19786</v>
      </c>
      <c r="L26" s="1">
        <v>0.177234</v>
      </c>
      <c r="M26">
        <v>50382</v>
      </c>
      <c r="N26" s="1">
        <v>8.9861999999999997E-2</v>
      </c>
      <c r="O26" s="1">
        <v>99668</v>
      </c>
      <c r="P26" s="1">
        <v>0.366788</v>
      </c>
      <c r="Q26">
        <f>21813468000*(1/48000000)</f>
        <v>454.44725000000005</v>
      </c>
    </row>
    <row r="27" spans="1:17" x14ac:dyDescent="0.2">
      <c r="A27">
        <v>989.3</v>
      </c>
      <c r="B27" s="1">
        <v>10.744254</v>
      </c>
      <c r="C27">
        <f>239915000*(1/48000000)</f>
        <v>4.9982291666666674</v>
      </c>
      <c r="D27">
        <v>2933</v>
      </c>
      <c r="E27" s="1">
        <v>6.5424420000000003</v>
      </c>
      <c r="F27" s="1"/>
      <c r="G27" s="1"/>
      <c r="H27" s="1">
        <v>9878</v>
      </c>
      <c r="I27" s="1">
        <v>0.60691899999999999</v>
      </c>
      <c r="J27">
        <f>2267289000*(1/48000000)</f>
        <v>47.235187500000002</v>
      </c>
      <c r="K27" s="1">
        <v>19786</v>
      </c>
      <c r="L27" s="1">
        <v>0.126498</v>
      </c>
      <c r="M27">
        <v>50382</v>
      </c>
      <c r="N27" s="1">
        <v>0.112801</v>
      </c>
      <c r="O27" s="1">
        <v>99668</v>
      </c>
      <c r="P27" s="1">
        <v>0.11928900000000001</v>
      </c>
      <c r="Q27">
        <f>21746509000*(1/48000000)</f>
        <v>453.05227083333335</v>
      </c>
    </row>
    <row r="28" spans="1:17" x14ac:dyDescent="0.2">
      <c r="A28">
        <v>989.3</v>
      </c>
      <c r="B28" s="1">
        <v>10.851977</v>
      </c>
      <c r="C28">
        <f>239370000*(1/48000000)</f>
        <v>4.9868750000000004</v>
      </c>
      <c r="D28">
        <v>2933</v>
      </c>
      <c r="E28" s="1">
        <v>6.5722740000000002</v>
      </c>
      <c r="F28" s="1"/>
      <c r="G28" s="1"/>
      <c r="H28" s="1">
        <v>9878</v>
      </c>
      <c r="I28" s="1">
        <v>0.21699299999999999</v>
      </c>
      <c r="J28">
        <f>2269954000*(1/48000000)</f>
        <v>47.290708333333335</v>
      </c>
      <c r="K28" s="1">
        <v>19786</v>
      </c>
      <c r="L28" s="1">
        <v>0.64939199999999997</v>
      </c>
      <c r="M28">
        <v>50382</v>
      </c>
      <c r="N28" s="1">
        <v>7.1457999999999994E-2</v>
      </c>
      <c r="O28" s="1">
        <v>99668</v>
      </c>
      <c r="P28" s="1">
        <v>0.818222</v>
      </c>
      <c r="Q28">
        <f>21769555000*(1/48000000)</f>
        <v>453.53239583333334</v>
      </c>
    </row>
    <row r="29" spans="1:17" x14ac:dyDescent="0.2">
      <c r="A29">
        <v>989.3</v>
      </c>
      <c r="B29" s="1">
        <v>11.528200999999999</v>
      </c>
      <c r="C29">
        <f>240293000*(1/48000000)</f>
        <v>5.0061041666666668</v>
      </c>
      <c r="D29">
        <v>2933</v>
      </c>
      <c r="E29" s="1">
        <v>6.5930039999999996</v>
      </c>
      <c r="F29" s="1"/>
      <c r="G29" s="1"/>
      <c r="H29" s="1">
        <v>9878</v>
      </c>
      <c r="I29" s="1">
        <v>0.34583999999999998</v>
      </c>
      <c r="J29">
        <f>2270370000*(1/48000000)</f>
        <v>47.299375000000005</v>
      </c>
      <c r="K29" s="1">
        <v>19786</v>
      </c>
      <c r="L29" s="1">
        <v>0.24079200000000001</v>
      </c>
      <c r="M29">
        <v>50382</v>
      </c>
      <c r="N29" s="1">
        <v>4.3610000000000003E-3</v>
      </c>
      <c r="O29" s="1">
        <v>99668</v>
      </c>
      <c r="P29" s="1">
        <v>0.55377600000000005</v>
      </c>
      <c r="Q29">
        <f>21801596000*(1/48000000)</f>
        <v>454.1999166666667</v>
      </c>
    </row>
    <row r="30" spans="1:17" x14ac:dyDescent="0.2">
      <c r="A30">
        <v>989.3</v>
      </c>
      <c r="B30" s="1">
        <v>11.482257000000001</v>
      </c>
      <c r="C30">
        <f>238623000*(1/48000000)</f>
        <v>4.9713125000000007</v>
      </c>
      <c r="D30">
        <v>2933</v>
      </c>
      <c r="E30" s="1">
        <v>6.5849830000000003</v>
      </c>
      <c r="F30" s="1"/>
      <c r="G30" s="1"/>
      <c r="H30" s="1">
        <v>9878</v>
      </c>
      <c r="I30" s="1">
        <v>0.424987</v>
      </c>
      <c r="J30">
        <f>2275632000*(1/48000000)</f>
        <v>47.409000000000006</v>
      </c>
      <c r="K30" s="1">
        <v>19786</v>
      </c>
      <c r="L30" s="1">
        <v>0.32162400000000002</v>
      </c>
      <c r="M30">
        <v>50382</v>
      </c>
      <c r="N30" s="1">
        <v>0.544825</v>
      </c>
      <c r="O30" s="1">
        <v>99668</v>
      </c>
      <c r="P30" s="1">
        <v>0.22503200000000001</v>
      </c>
      <c r="Q30">
        <f>21803022000*(1/48000000)</f>
        <v>454.22962500000006</v>
      </c>
    </row>
    <row r="31" spans="1:17" x14ac:dyDescent="0.2">
      <c r="A31">
        <v>989.3</v>
      </c>
      <c r="B31" s="1">
        <v>10.989122</v>
      </c>
      <c r="C31">
        <f>240074000*(1/48000000)</f>
        <v>5.0015416666666672</v>
      </c>
      <c r="D31">
        <v>2933</v>
      </c>
      <c r="E31" s="1">
        <v>6.4456660000000001</v>
      </c>
      <c r="F31" s="1"/>
      <c r="G31" s="1"/>
      <c r="H31" s="1">
        <v>9878</v>
      </c>
      <c r="I31" s="1">
        <v>0.34744399999999998</v>
      </c>
      <c r="J31">
        <f>2272260000*(1/48000000)</f>
        <v>47.338750000000005</v>
      </c>
      <c r="K31" s="1">
        <v>19786</v>
      </c>
      <c r="L31" s="1">
        <v>0.11569500000000001</v>
      </c>
      <c r="M31">
        <v>50382</v>
      </c>
      <c r="N31" s="1">
        <v>1.7509E-2</v>
      </c>
      <c r="O31" s="1">
        <v>99668</v>
      </c>
      <c r="P31" s="1">
        <v>0.408999</v>
      </c>
      <c r="Q31">
        <f>21819845000*(1/48000000)</f>
        <v>454.58010416666667</v>
      </c>
    </row>
    <row r="32" spans="1:17" x14ac:dyDescent="0.2">
      <c r="A32">
        <v>989.3</v>
      </c>
      <c r="B32" s="1">
        <v>11.336859</v>
      </c>
      <c r="C32">
        <f>239761000*(1/48000000)</f>
        <v>4.9950208333333332</v>
      </c>
      <c r="D32">
        <v>2933</v>
      </c>
      <c r="E32" s="1">
        <v>6.5509469999999999</v>
      </c>
      <c r="F32" s="1"/>
      <c r="G32" s="1"/>
      <c r="H32" s="1">
        <v>9878</v>
      </c>
      <c r="I32" s="1">
        <v>0.401395</v>
      </c>
      <c r="J32">
        <f>2275547000*(1/48000000)</f>
        <v>47.407229166666667</v>
      </c>
      <c r="K32" s="1">
        <v>19786</v>
      </c>
      <c r="L32" s="1">
        <v>0.24408199999999999</v>
      </c>
      <c r="M32">
        <v>50382</v>
      </c>
      <c r="N32" s="1">
        <v>0.15989900000000001</v>
      </c>
      <c r="O32" s="1">
        <v>99668</v>
      </c>
      <c r="P32" s="1">
        <v>0.489481</v>
      </c>
      <c r="Q32">
        <f>21819346000*(1/48000000)</f>
        <v>454.56970833333338</v>
      </c>
    </row>
    <row r="33" spans="1:17" x14ac:dyDescent="0.2">
      <c r="A33">
        <v>989.3</v>
      </c>
      <c r="B33" s="1">
        <v>11.017503</v>
      </c>
      <c r="C33">
        <f>240664000*(1/48000000)</f>
        <v>5.0138333333333334</v>
      </c>
      <c r="D33">
        <v>2933</v>
      </c>
      <c r="E33" s="1">
        <v>6.4885429999999999</v>
      </c>
      <c r="F33" s="1"/>
      <c r="G33" s="1"/>
      <c r="H33" s="1">
        <v>9878</v>
      </c>
      <c r="I33" s="1">
        <v>0.457202</v>
      </c>
      <c r="J33">
        <f>2278898000*(1/48000000)</f>
        <v>47.477041666666672</v>
      </c>
      <c r="K33" s="1">
        <v>19786</v>
      </c>
      <c r="L33" s="1">
        <v>0.31896600000000003</v>
      </c>
      <c r="M33">
        <v>50382</v>
      </c>
      <c r="N33" s="1">
        <v>0.21237700000000001</v>
      </c>
      <c r="O33" s="1">
        <v>99668</v>
      </c>
      <c r="P33" s="1">
        <v>0.19933000000000001</v>
      </c>
      <c r="Q33">
        <f>21776095000*(1/48000000)</f>
        <v>453.66864583333336</v>
      </c>
    </row>
    <row r="34" spans="1:17" x14ac:dyDescent="0.2">
      <c r="A34">
        <v>989.3</v>
      </c>
      <c r="B34" s="1">
        <v>11.198426</v>
      </c>
      <c r="C34">
        <f>239675000*(1/48000000)</f>
        <v>4.9932291666666666</v>
      </c>
      <c r="D34">
        <v>2933</v>
      </c>
      <c r="E34" s="1">
        <v>6.659402</v>
      </c>
      <c r="F34" s="1"/>
      <c r="G34" s="1"/>
      <c r="H34" s="1">
        <v>9878</v>
      </c>
      <c r="I34" s="1">
        <v>0.17325399999999999</v>
      </c>
      <c r="J34">
        <f>2278720000*(1/48000000)</f>
        <v>47.473333333333336</v>
      </c>
      <c r="K34" s="1">
        <v>19786</v>
      </c>
      <c r="L34" s="1">
        <v>0.16148999999999999</v>
      </c>
      <c r="M34">
        <v>50382</v>
      </c>
      <c r="N34" s="1">
        <v>0.22620499999999999</v>
      </c>
      <c r="O34" s="1">
        <v>99668</v>
      </c>
      <c r="P34" s="1">
        <v>0.29016900000000001</v>
      </c>
      <c r="Q34">
        <f>21812594000*(1/48000000)</f>
        <v>454.42904166666671</v>
      </c>
    </row>
    <row r="35" spans="1:17" x14ac:dyDescent="0.2">
      <c r="A35">
        <v>989.3</v>
      </c>
      <c r="B35" s="1">
        <v>10.78126</v>
      </c>
      <c r="C35">
        <f>238544000*(1/48000000)</f>
        <v>4.9696666666666669</v>
      </c>
      <c r="D35">
        <v>2933</v>
      </c>
      <c r="E35" s="1">
        <v>6.6288770000000001</v>
      </c>
      <c r="F35" s="1"/>
      <c r="G35" s="1"/>
      <c r="H35" s="1">
        <v>9878</v>
      </c>
      <c r="I35" s="1">
        <v>0.54281400000000002</v>
      </c>
      <c r="J35">
        <f>2290616000*(1/48000000)</f>
        <v>47.721166666666669</v>
      </c>
      <c r="K35" s="1">
        <v>19786</v>
      </c>
      <c r="L35" s="1">
        <v>9.3741000000000005E-2</v>
      </c>
      <c r="M35">
        <v>50382</v>
      </c>
      <c r="N35" s="1">
        <v>5.5992E-2</v>
      </c>
      <c r="O35" s="1">
        <v>99668</v>
      </c>
      <c r="P35" s="1">
        <v>0.20047200000000001</v>
      </c>
      <c r="Q35">
        <f>21821591000*(1/48000000)</f>
        <v>454.61647916666669</v>
      </c>
    </row>
    <row r="36" spans="1:17" x14ac:dyDescent="0.2">
      <c r="A36">
        <v>989.3</v>
      </c>
      <c r="B36" s="1">
        <v>11.506671000000001</v>
      </c>
      <c r="C36">
        <f>238826000*(1/48000000)</f>
        <v>4.9755416666666665</v>
      </c>
      <c r="D36">
        <v>2933</v>
      </c>
      <c r="E36" s="1">
        <v>6.614179</v>
      </c>
      <c r="F36" s="1"/>
      <c r="G36" s="1"/>
      <c r="H36" s="1">
        <v>9878</v>
      </c>
      <c r="I36" s="1">
        <v>0.45063900000000001</v>
      </c>
      <c r="J36">
        <f>2289711000*(1/48000000)</f>
        <v>47.702312500000005</v>
      </c>
      <c r="K36" s="1">
        <v>19786</v>
      </c>
      <c r="L36" s="1">
        <v>0.116811</v>
      </c>
      <c r="M36">
        <v>50382</v>
      </c>
      <c r="N36" s="1">
        <v>1.8817E-2</v>
      </c>
      <c r="O36" s="1">
        <v>99668</v>
      </c>
      <c r="P36" s="1">
        <v>0.36553999999999998</v>
      </c>
      <c r="Q36">
        <f>21784330000*(1/48000000)</f>
        <v>453.84020833333335</v>
      </c>
    </row>
    <row r="37" spans="1:17" x14ac:dyDescent="0.2">
      <c r="A37">
        <v>989.3</v>
      </c>
      <c r="B37" s="1">
        <v>10.715308</v>
      </c>
      <c r="C37">
        <f>240385000*(1/48000000)</f>
        <v>5.008020833333334</v>
      </c>
      <c r="D37">
        <v>2933</v>
      </c>
      <c r="E37" s="1">
        <v>6.4349129999999999</v>
      </c>
      <c r="F37" s="1"/>
      <c r="G37" s="1"/>
      <c r="H37" s="1">
        <v>9878</v>
      </c>
      <c r="I37" s="1">
        <v>0.32693299999999997</v>
      </c>
      <c r="J37">
        <f>2287249000*(1/48000000)</f>
        <v>47.651020833333334</v>
      </c>
      <c r="K37" s="1">
        <v>19786</v>
      </c>
      <c r="L37" s="1">
        <v>0.40263700000000002</v>
      </c>
      <c r="M37">
        <v>50382</v>
      </c>
      <c r="N37" s="1">
        <v>2.0154999999999999E-2</v>
      </c>
      <c r="O37" s="1">
        <v>99668</v>
      </c>
      <c r="P37" s="1">
        <v>0.55342999999999998</v>
      </c>
      <c r="Q37">
        <f>21814935000*(1/48000000)</f>
        <v>454.47781250000003</v>
      </c>
    </row>
    <row r="38" spans="1:17" x14ac:dyDescent="0.2">
      <c r="A38">
        <v>989.3</v>
      </c>
      <c r="B38" s="1">
        <v>10.747525</v>
      </c>
      <c r="C38">
        <f>238804000*(1/48000000)</f>
        <v>4.975083333333334</v>
      </c>
      <c r="D38">
        <v>2933</v>
      </c>
      <c r="E38" s="1">
        <v>6.5556580000000002</v>
      </c>
      <c r="F38" s="1"/>
      <c r="G38" s="1"/>
      <c r="H38" s="1">
        <v>9878</v>
      </c>
      <c r="I38" s="1">
        <v>7.4711E-2</v>
      </c>
      <c r="J38">
        <f>2293558000*(1/48000000)</f>
        <v>47.782458333333338</v>
      </c>
      <c r="K38" s="1">
        <v>19786</v>
      </c>
      <c r="L38" s="1">
        <v>0.126994</v>
      </c>
      <c r="M38">
        <v>50382</v>
      </c>
      <c r="N38" s="1">
        <v>5.9672000000000003E-2</v>
      </c>
      <c r="O38" s="1">
        <v>99668</v>
      </c>
      <c r="P38" s="1">
        <v>0.70695300000000005</v>
      </c>
      <c r="Q38">
        <f>21555765000*(1/48000000)</f>
        <v>449.07843750000001</v>
      </c>
    </row>
    <row r="39" spans="1:17" x14ac:dyDescent="0.2">
      <c r="A39">
        <v>989.3</v>
      </c>
      <c r="B39" s="1">
        <v>11.115707</v>
      </c>
      <c r="C39">
        <f>239742000*(1/48000000)</f>
        <v>4.9946250000000001</v>
      </c>
      <c r="D39">
        <v>2933</v>
      </c>
      <c r="E39" s="1">
        <v>6.4782359999999999</v>
      </c>
      <c r="F39" s="1"/>
      <c r="G39" s="1"/>
      <c r="H39" s="1">
        <v>9878</v>
      </c>
      <c r="I39" s="1">
        <v>0.45239499999999999</v>
      </c>
      <c r="J39">
        <f>2299463000*(1/48000000)</f>
        <v>47.905479166666673</v>
      </c>
      <c r="K39" s="1">
        <v>19786</v>
      </c>
      <c r="L39" s="1">
        <v>1.0345E-2</v>
      </c>
      <c r="M39">
        <v>50382</v>
      </c>
      <c r="N39" s="1">
        <v>0.28486499999999998</v>
      </c>
      <c r="O39" s="1">
        <v>99668</v>
      </c>
      <c r="P39" s="1">
        <v>0.156023</v>
      </c>
      <c r="Q39">
        <f>21795439000*(1/48000000)</f>
        <v>454.07164583333338</v>
      </c>
    </row>
    <row r="40" spans="1:17" x14ac:dyDescent="0.2">
      <c r="A40">
        <v>989.3</v>
      </c>
      <c r="B40" s="1">
        <v>11.015024</v>
      </c>
      <c r="C40">
        <f>240345000*(1/48000000)</f>
        <v>5.0071875000000006</v>
      </c>
      <c r="D40">
        <v>2933</v>
      </c>
      <c r="E40" s="1">
        <v>6.6979090000000001</v>
      </c>
      <c r="F40" s="1"/>
      <c r="G40" s="1"/>
      <c r="H40" s="1">
        <v>9878</v>
      </c>
      <c r="I40" s="1">
        <v>0.10713</v>
      </c>
      <c r="J40">
        <f>2312988000*(1/48000000)</f>
        <v>48.187250000000006</v>
      </c>
      <c r="K40" s="1">
        <v>19786</v>
      </c>
      <c r="L40" s="1">
        <v>0.16603499999999999</v>
      </c>
      <c r="M40">
        <v>50382</v>
      </c>
      <c r="N40" s="1">
        <v>0.18468999999999999</v>
      </c>
      <c r="O40" s="1">
        <v>99668</v>
      </c>
      <c r="P40" s="1">
        <v>0.63842100000000002</v>
      </c>
      <c r="Q40">
        <f>21795137000*(1/48000000)</f>
        <v>454.06535416666668</v>
      </c>
    </row>
    <row r="41" spans="1:17" x14ac:dyDescent="0.2">
      <c r="A41">
        <v>989.3</v>
      </c>
      <c r="B41" s="1">
        <v>11.287048</v>
      </c>
      <c r="C41">
        <f>239323000*(1/48000000)</f>
        <v>4.9858958333333332</v>
      </c>
      <c r="D41">
        <v>2933</v>
      </c>
      <c r="E41" s="1">
        <v>6.6551840000000002</v>
      </c>
      <c r="F41" s="1"/>
      <c r="G41" s="1"/>
      <c r="H41" s="1">
        <v>9878</v>
      </c>
      <c r="I41" s="1">
        <v>0.47259299999999999</v>
      </c>
      <c r="J41">
        <f>2305203000*(1/48000000)</f>
        <v>48.025062500000004</v>
      </c>
      <c r="K41" s="1">
        <v>19786</v>
      </c>
      <c r="L41" s="1">
        <v>0.14477400000000001</v>
      </c>
      <c r="M41">
        <v>50382</v>
      </c>
      <c r="N41" s="1">
        <v>1.5056999999999999E-2</v>
      </c>
      <c r="O41" s="1">
        <v>99668</v>
      </c>
      <c r="P41" s="1">
        <v>0.28919499999999998</v>
      </c>
      <c r="Q41">
        <f>21800623000*(1/48000000)</f>
        <v>454.17964583333338</v>
      </c>
    </row>
    <row r="42" spans="1:17" x14ac:dyDescent="0.2">
      <c r="A42">
        <v>989.3</v>
      </c>
      <c r="B42" s="1">
        <v>10.910518</v>
      </c>
      <c r="C42">
        <f>239224000*(1/48000000)</f>
        <v>4.983833333333334</v>
      </c>
      <c r="D42">
        <v>2933</v>
      </c>
      <c r="E42" s="1">
        <v>6.5344930000000003</v>
      </c>
      <c r="F42" s="1"/>
      <c r="G42" s="1"/>
      <c r="H42" s="1">
        <v>9878</v>
      </c>
      <c r="I42" s="1">
        <v>0.28783700000000001</v>
      </c>
      <c r="J42">
        <f>2309554000*(1/48000000)</f>
        <v>48.115708333333338</v>
      </c>
      <c r="K42" s="1">
        <v>19786</v>
      </c>
      <c r="L42" s="1">
        <v>0.12746299999999999</v>
      </c>
      <c r="M42">
        <v>50382</v>
      </c>
      <c r="N42" s="1">
        <v>0.70517300000000005</v>
      </c>
      <c r="O42" s="1">
        <v>99668</v>
      </c>
      <c r="P42" s="1">
        <v>0.242644</v>
      </c>
      <c r="Q42">
        <f>21799529000*(1/48000000)</f>
        <v>454.15685416666668</v>
      </c>
    </row>
    <row r="43" spans="1:17" x14ac:dyDescent="0.2">
      <c r="A43">
        <v>989.3</v>
      </c>
      <c r="B43" s="1">
        <v>10.708584999999999</v>
      </c>
      <c r="C43">
        <f>239396000*(1/48000000)</f>
        <v>4.9874166666666673</v>
      </c>
      <c r="D43">
        <v>2933</v>
      </c>
      <c r="E43" s="1">
        <v>6.4876290000000001</v>
      </c>
      <c r="F43" s="1"/>
      <c r="G43" s="1"/>
      <c r="H43" s="1">
        <v>9878</v>
      </c>
      <c r="I43" s="1">
        <v>0.11974700000000001</v>
      </c>
      <c r="J43">
        <f>2316380000*(1/48000000)</f>
        <v>48.257916666666667</v>
      </c>
      <c r="K43" s="1">
        <v>19786</v>
      </c>
      <c r="L43" s="1">
        <v>8.5411000000000001E-2</v>
      </c>
      <c r="M43">
        <v>50382</v>
      </c>
      <c r="N43" s="1">
        <v>0.20041</v>
      </c>
      <c r="O43" s="1">
        <v>99668</v>
      </c>
      <c r="P43" s="1">
        <v>0</v>
      </c>
      <c r="Q43">
        <f>21815413000*(1/48000000)</f>
        <v>454.48777083333334</v>
      </c>
    </row>
    <row r="44" spans="1:17" x14ac:dyDescent="0.2">
      <c r="A44">
        <v>989.3</v>
      </c>
      <c r="B44" s="1">
        <v>10.713056</v>
      </c>
      <c r="C44">
        <f>240617000*(1/48000000)</f>
        <v>5.0128541666666671</v>
      </c>
      <c r="D44">
        <v>2933</v>
      </c>
      <c r="E44" s="1">
        <v>6.4117860000000002</v>
      </c>
      <c r="F44" s="1"/>
      <c r="G44" s="1"/>
      <c r="H44" s="1">
        <v>9878</v>
      </c>
      <c r="I44" s="1">
        <v>0.359155</v>
      </c>
      <c r="J44">
        <f>2317885000*(1/48000000)</f>
        <v>48.289270833333333</v>
      </c>
      <c r="K44" s="1">
        <v>19786</v>
      </c>
      <c r="L44" s="1">
        <v>6.4363000000000004E-2</v>
      </c>
      <c r="M44">
        <v>50382</v>
      </c>
      <c r="N44" s="1">
        <v>5.4080999999999997E-2</v>
      </c>
      <c r="O44" s="1">
        <v>99668</v>
      </c>
      <c r="P44" s="1">
        <v>0</v>
      </c>
      <c r="Q44">
        <f>21800815000*(1/48000000)</f>
        <v>454.18364583333334</v>
      </c>
    </row>
    <row r="45" spans="1:17" x14ac:dyDescent="0.2">
      <c r="A45">
        <v>989.3</v>
      </c>
      <c r="B45" s="1">
        <v>10.570473</v>
      </c>
      <c r="C45">
        <f>239988000*(1/48000000)</f>
        <v>4.9997500000000006</v>
      </c>
      <c r="D45">
        <v>2933</v>
      </c>
      <c r="E45" s="1">
        <v>6.8144030000000004</v>
      </c>
      <c r="F45" s="1"/>
      <c r="G45" s="1"/>
      <c r="H45" s="1">
        <v>9878</v>
      </c>
      <c r="I45" s="1">
        <v>0.72955300000000001</v>
      </c>
      <c r="J45">
        <f>2321702000*(1/48000000)</f>
        <v>48.368791666666667</v>
      </c>
      <c r="K45" s="1">
        <v>19786</v>
      </c>
      <c r="L45" s="1">
        <v>0.74690999999999996</v>
      </c>
      <c r="M45">
        <v>50382</v>
      </c>
      <c r="N45" s="1">
        <v>7.4619999999999999E-3</v>
      </c>
      <c r="O45" s="1">
        <v>99668</v>
      </c>
      <c r="P45" s="1">
        <v>0</v>
      </c>
      <c r="Q45">
        <f>21769218000*(1/48000000)</f>
        <v>453.52537500000005</v>
      </c>
    </row>
    <row r="46" spans="1:17" x14ac:dyDescent="0.2">
      <c r="A46">
        <v>989.3</v>
      </c>
      <c r="B46" s="1">
        <v>11.184825999999999</v>
      </c>
      <c r="C46">
        <f>239818000*(1/48000000)</f>
        <v>4.9962083333333336</v>
      </c>
      <c r="D46">
        <v>2933</v>
      </c>
      <c r="E46" s="1">
        <v>6.6975369999999996</v>
      </c>
      <c r="F46" s="1"/>
      <c r="G46" s="1"/>
      <c r="H46" s="1">
        <v>9878</v>
      </c>
      <c r="I46" s="1">
        <v>0.25169999999999998</v>
      </c>
      <c r="J46">
        <f>2326457000*(1/48000000)</f>
        <v>48.467854166666669</v>
      </c>
      <c r="K46" s="1">
        <v>19786</v>
      </c>
      <c r="L46" s="1">
        <v>8.6677000000000004E-2</v>
      </c>
      <c r="M46">
        <v>50382</v>
      </c>
      <c r="N46" s="1">
        <v>0.23736699999999999</v>
      </c>
      <c r="O46" s="1">
        <v>99668</v>
      </c>
      <c r="P46" s="1">
        <v>0</v>
      </c>
      <c r="Q46">
        <f>21653394000*(1/48000000)</f>
        <v>451.11237500000004</v>
      </c>
    </row>
    <row r="47" spans="1:17" x14ac:dyDescent="0.2">
      <c r="A47">
        <v>989.3</v>
      </c>
      <c r="B47" s="1">
        <v>11.169986</v>
      </c>
      <c r="C47">
        <f>239545000*(1/48000000)</f>
        <v>4.990520833333334</v>
      </c>
      <c r="D47">
        <v>2933</v>
      </c>
      <c r="E47" s="1">
        <v>6.5303890000000004</v>
      </c>
      <c r="F47" s="1"/>
      <c r="G47" s="1"/>
      <c r="H47" s="1">
        <v>9878</v>
      </c>
      <c r="I47" s="1">
        <v>0.43017499999999997</v>
      </c>
      <c r="J47">
        <f>2325211000*(1/48000000)</f>
        <v>48.441895833333334</v>
      </c>
      <c r="K47" s="1">
        <v>19786</v>
      </c>
      <c r="L47" s="1">
        <v>0.77168199999999998</v>
      </c>
      <c r="M47">
        <v>50382</v>
      </c>
      <c r="N47" s="1">
        <v>0.219891</v>
      </c>
      <c r="O47" s="1">
        <v>99668</v>
      </c>
      <c r="P47" s="1">
        <v>0</v>
      </c>
      <c r="Q47">
        <f>21832556000*(1/48000000)</f>
        <v>454.84491666666668</v>
      </c>
    </row>
    <row r="48" spans="1:17" x14ac:dyDescent="0.2">
      <c r="A48">
        <v>989.3</v>
      </c>
      <c r="B48" s="1">
        <v>11.115906000000001</v>
      </c>
      <c r="C48">
        <f>239607000*(1/48000000)</f>
        <v>4.9918125</v>
      </c>
      <c r="D48">
        <v>2933</v>
      </c>
      <c r="E48" s="1">
        <v>6.7214859999999996</v>
      </c>
      <c r="F48" s="1"/>
      <c r="G48" s="1"/>
      <c r="H48" s="1">
        <v>9878</v>
      </c>
      <c r="I48" s="1">
        <v>0.35666900000000001</v>
      </c>
      <c r="J48">
        <f>2331225000*(1/48000000)</f>
        <v>48.567187500000003</v>
      </c>
      <c r="K48" s="1">
        <v>19786</v>
      </c>
      <c r="L48" s="1">
        <v>0.33529300000000001</v>
      </c>
      <c r="M48">
        <v>50382</v>
      </c>
      <c r="N48" s="1">
        <v>3.1002999999999999E-2</v>
      </c>
      <c r="O48" s="1">
        <v>99668</v>
      </c>
      <c r="P48" s="1">
        <v>0</v>
      </c>
      <c r="Q48">
        <f>21796380000*(1/48000000)</f>
        <v>454.09125</v>
      </c>
    </row>
    <row r="49" spans="1:17" x14ac:dyDescent="0.2">
      <c r="A49">
        <v>989.3</v>
      </c>
      <c r="B49" s="1">
        <v>11.050068</v>
      </c>
      <c r="C49">
        <f>239470000*(1/48000000)</f>
        <v>4.9889583333333336</v>
      </c>
      <c r="D49">
        <v>2933</v>
      </c>
      <c r="E49" s="1">
        <v>6.4089790000000004</v>
      </c>
      <c r="F49" s="1"/>
      <c r="G49" s="1"/>
      <c r="H49" s="1">
        <v>9878</v>
      </c>
      <c r="I49" s="1">
        <v>0.60581300000000005</v>
      </c>
      <c r="J49">
        <f t="shared" ref="J49:J71" si="0">2331225000*(1/48000000)</f>
        <v>48.567187500000003</v>
      </c>
      <c r="K49" s="1">
        <v>19786</v>
      </c>
      <c r="L49" s="1">
        <v>0.21821099999999999</v>
      </c>
      <c r="M49">
        <v>50382</v>
      </c>
      <c r="N49" s="1">
        <v>0.56747300000000001</v>
      </c>
      <c r="O49" s="1">
        <v>99668</v>
      </c>
      <c r="P49" s="1">
        <v>0</v>
      </c>
      <c r="Q49">
        <f>21818197000*(1/48000000)</f>
        <v>454.54577083333334</v>
      </c>
    </row>
    <row r="50" spans="1:17" x14ac:dyDescent="0.2">
      <c r="A50">
        <v>989.3</v>
      </c>
      <c r="B50" s="1">
        <v>11.389658000000001</v>
      </c>
      <c r="C50">
        <f>239333000*(1/48000000)</f>
        <v>4.9861041666666672</v>
      </c>
      <c r="D50">
        <v>2933</v>
      </c>
      <c r="E50" s="1">
        <v>6.3450249999999997</v>
      </c>
      <c r="F50" s="1"/>
      <c r="G50" s="1"/>
      <c r="H50" s="1">
        <v>9878</v>
      </c>
      <c r="I50" s="1">
        <v>0.54155699999999996</v>
      </c>
      <c r="J50">
        <f t="shared" si="0"/>
        <v>48.567187500000003</v>
      </c>
      <c r="K50" s="1">
        <v>19786</v>
      </c>
      <c r="L50" s="1">
        <v>7.5868000000000005E-2</v>
      </c>
      <c r="M50">
        <v>50382</v>
      </c>
      <c r="N50" s="1">
        <v>1.16E-4</v>
      </c>
      <c r="O50" s="1">
        <v>99668</v>
      </c>
      <c r="P50" s="1">
        <v>0</v>
      </c>
      <c r="Q50">
        <f>21755947000*(1/48000000)</f>
        <v>453.24889583333334</v>
      </c>
    </row>
    <row r="51" spans="1:17" x14ac:dyDescent="0.2">
      <c r="A51">
        <v>989.3</v>
      </c>
      <c r="B51" s="1">
        <v>10.943382</v>
      </c>
      <c r="C51">
        <f>239584000*(1/48000000)</f>
        <v>4.9913333333333334</v>
      </c>
      <c r="D51">
        <v>2933</v>
      </c>
      <c r="E51" s="1">
        <v>6.4417669999999996</v>
      </c>
      <c r="F51" s="1"/>
      <c r="G51" s="1"/>
      <c r="H51" s="1">
        <v>9878</v>
      </c>
      <c r="I51" s="1">
        <v>0.45039899999999999</v>
      </c>
      <c r="J51">
        <f t="shared" si="0"/>
        <v>48.567187500000003</v>
      </c>
      <c r="K51" s="1">
        <v>19786</v>
      </c>
      <c r="L51" s="1">
        <v>0.18081700000000001</v>
      </c>
      <c r="M51">
        <v>50382</v>
      </c>
      <c r="N51" s="1">
        <v>7.4060000000000001E-2</v>
      </c>
      <c r="O51" s="1">
        <v>99668</v>
      </c>
      <c r="P51" s="1">
        <v>0</v>
      </c>
      <c r="Q51">
        <f>21821918000*(1/48000000)</f>
        <v>454.62329166666672</v>
      </c>
    </row>
    <row r="52" spans="1:17" x14ac:dyDescent="0.2">
      <c r="A52">
        <v>989.3</v>
      </c>
      <c r="B52" s="1">
        <v>11.609197</v>
      </c>
      <c r="C52">
        <f>239189000*(1/48000000)</f>
        <v>4.9831041666666671</v>
      </c>
      <c r="D52">
        <v>2933</v>
      </c>
      <c r="E52" s="1">
        <v>6.4926950000000003</v>
      </c>
      <c r="F52" s="1"/>
      <c r="G52" s="1"/>
      <c r="H52" s="1">
        <v>9878</v>
      </c>
      <c r="I52" s="1">
        <v>0.27090799999999998</v>
      </c>
      <c r="J52">
        <f t="shared" si="0"/>
        <v>48.567187500000003</v>
      </c>
      <c r="K52" s="1">
        <v>19786</v>
      </c>
      <c r="L52" s="1">
        <v>0.156192</v>
      </c>
      <c r="M52">
        <v>50382</v>
      </c>
      <c r="N52" s="1">
        <v>0.40359800000000001</v>
      </c>
      <c r="O52" s="1">
        <v>99668</v>
      </c>
      <c r="P52" s="1">
        <v>0</v>
      </c>
      <c r="Q52">
        <f>21713425000*(1/48000000)</f>
        <v>452.36302083333334</v>
      </c>
    </row>
    <row r="53" spans="1:17" x14ac:dyDescent="0.2">
      <c r="A53">
        <v>989.3</v>
      </c>
      <c r="B53" s="1">
        <v>10.520201</v>
      </c>
      <c r="C53">
        <f>240024000*(1/48000000)</f>
        <v>5.0005000000000006</v>
      </c>
      <c r="D53">
        <v>2933</v>
      </c>
      <c r="E53" s="1">
        <v>6.6006239999999998</v>
      </c>
      <c r="F53" s="1"/>
      <c r="G53" s="1"/>
      <c r="H53" s="1">
        <v>9878</v>
      </c>
      <c r="I53" s="1">
        <v>0.444413</v>
      </c>
      <c r="J53">
        <f t="shared" si="0"/>
        <v>48.567187500000003</v>
      </c>
      <c r="K53" s="1">
        <v>19786</v>
      </c>
      <c r="L53" s="1">
        <v>1.0486000000000001E-2</v>
      </c>
      <c r="M53">
        <v>50382</v>
      </c>
      <c r="N53" s="1">
        <v>1.1956E-2</v>
      </c>
      <c r="O53" s="1">
        <v>99668</v>
      </c>
      <c r="P53" s="1">
        <v>0</v>
      </c>
      <c r="Q53">
        <f>21794417000*(1/48000000)</f>
        <v>454.05035416666669</v>
      </c>
    </row>
    <row r="54" spans="1:17" x14ac:dyDescent="0.2">
      <c r="A54">
        <v>989.3</v>
      </c>
      <c r="B54" s="1">
        <v>11.136058</v>
      </c>
      <c r="C54">
        <f>240293000*(1/48000000)</f>
        <v>5.0061041666666668</v>
      </c>
      <c r="D54">
        <v>2933</v>
      </c>
      <c r="E54" s="1">
        <v>6.7410269999999999</v>
      </c>
      <c r="F54" s="1"/>
      <c r="G54" s="1"/>
      <c r="H54" s="1">
        <v>9878</v>
      </c>
      <c r="I54" s="1">
        <v>0.49347200000000002</v>
      </c>
      <c r="J54">
        <f t="shared" si="0"/>
        <v>48.567187500000003</v>
      </c>
      <c r="K54" s="1">
        <v>19786</v>
      </c>
      <c r="L54" s="1">
        <v>0.17594399999999999</v>
      </c>
      <c r="M54">
        <v>50382</v>
      </c>
      <c r="N54" s="1">
        <v>0.144344</v>
      </c>
      <c r="O54" s="1">
        <v>99668</v>
      </c>
      <c r="P54" s="1">
        <v>0</v>
      </c>
      <c r="Q54">
        <f>21831861000*(1/48000000)</f>
        <v>454.83043750000002</v>
      </c>
    </row>
    <row r="55" spans="1:17" x14ac:dyDescent="0.2">
      <c r="A55">
        <v>989.3</v>
      </c>
      <c r="B55" s="1">
        <v>10.780298</v>
      </c>
      <c r="C55">
        <f>239266000*(1/48000000)</f>
        <v>4.9847083333333337</v>
      </c>
      <c r="D55">
        <v>2933</v>
      </c>
      <c r="E55" s="1">
        <v>6.4387850000000002</v>
      </c>
      <c r="F55" s="1"/>
      <c r="G55" s="1"/>
      <c r="H55" s="1">
        <v>9878</v>
      </c>
      <c r="I55" s="1">
        <v>0.58612900000000001</v>
      </c>
      <c r="J55">
        <f t="shared" si="0"/>
        <v>48.567187500000003</v>
      </c>
      <c r="K55" s="1">
        <v>19786</v>
      </c>
      <c r="L55" s="1">
        <v>0.42464400000000002</v>
      </c>
      <c r="M55">
        <v>50382</v>
      </c>
      <c r="N55" s="1">
        <v>0.41775600000000002</v>
      </c>
      <c r="O55" s="1">
        <v>99668</v>
      </c>
      <c r="P55" s="1">
        <v>0</v>
      </c>
      <c r="Q55">
        <f>21802285000*(1/48000000)</f>
        <v>454.21427083333339</v>
      </c>
    </row>
    <row r="56" spans="1:17" x14ac:dyDescent="0.2">
      <c r="A56">
        <v>989.3</v>
      </c>
      <c r="B56" s="1">
        <v>11.19576</v>
      </c>
      <c r="C56">
        <f>239565000*(1/48000000)</f>
        <v>4.9909375000000002</v>
      </c>
      <c r="D56">
        <v>2933</v>
      </c>
      <c r="E56" s="1">
        <v>6.5706259999999999</v>
      </c>
      <c r="F56" s="1"/>
      <c r="G56" s="1"/>
      <c r="H56" s="1">
        <v>9878</v>
      </c>
      <c r="I56" s="1">
        <v>0.4486</v>
      </c>
      <c r="J56">
        <f t="shared" si="0"/>
        <v>48.567187500000003</v>
      </c>
      <c r="K56" s="1">
        <v>19786</v>
      </c>
      <c r="L56" s="1">
        <v>0.13281799999999999</v>
      </c>
      <c r="M56">
        <v>50382</v>
      </c>
      <c r="N56" s="1">
        <v>6.8695999999999993E-2</v>
      </c>
      <c r="O56" s="1">
        <v>99668</v>
      </c>
      <c r="P56" s="1">
        <v>0</v>
      </c>
      <c r="Q56">
        <f>21706842000*(1/48000000)</f>
        <v>452.22587500000003</v>
      </c>
    </row>
    <row r="57" spans="1:17" x14ac:dyDescent="0.2">
      <c r="A57">
        <v>989.3</v>
      </c>
      <c r="B57" s="1">
        <v>10.846628000000001</v>
      </c>
      <c r="C57">
        <f>239190000*(1/48000000)</f>
        <v>4.9831250000000002</v>
      </c>
      <c r="D57">
        <v>2933</v>
      </c>
      <c r="E57" s="1">
        <v>6.6242020000000004</v>
      </c>
      <c r="F57" s="1"/>
      <c r="G57" s="1"/>
      <c r="H57" s="1">
        <v>9878</v>
      </c>
      <c r="I57" s="1">
        <v>0.56776000000000004</v>
      </c>
      <c r="J57">
        <f t="shared" si="0"/>
        <v>48.567187500000003</v>
      </c>
      <c r="K57" s="1">
        <v>19786</v>
      </c>
      <c r="L57" s="1">
        <v>0.23134199999999999</v>
      </c>
      <c r="M57">
        <v>50382</v>
      </c>
      <c r="N57" s="1">
        <v>0.40327800000000003</v>
      </c>
      <c r="O57" s="1">
        <v>99668</v>
      </c>
      <c r="P57" s="1">
        <v>0</v>
      </c>
      <c r="Q57">
        <f>21823884000*(1/48000000)</f>
        <v>454.66425000000004</v>
      </c>
    </row>
    <row r="58" spans="1:17" x14ac:dyDescent="0.2">
      <c r="A58">
        <v>989.3</v>
      </c>
      <c r="B58" s="1">
        <v>10.576828000000001</v>
      </c>
      <c r="C58">
        <f>239368000*(1/48000000)</f>
        <v>4.9868333333333332</v>
      </c>
      <c r="D58">
        <v>2933</v>
      </c>
      <c r="E58" s="1">
        <v>6.6993210000000003</v>
      </c>
      <c r="F58" s="1"/>
      <c r="G58" s="1"/>
      <c r="H58" s="1">
        <v>9878</v>
      </c>
      <c r="I58" s="1">
        <v>0.411522</v>
      </c>
      <c r="J58">
        <f t="shared" si="0"/>
        <v>48.567187500000003</v>
      </c>
      <c r="K58" s="1">
        <v>19786</v>
      </c>
      <c r="L58" s="1">
        <v>0.49851899999999999</v>
      </c>
      <c r="M58">
        <v>50382</v>
      </c>
      <c r="N58" s="1">
        <v>0.14018</v>
      </c>
      <c r="O58" s="1">
        <v>99668</v>
      </c>
      <c r="P58" s="1">
        <v>0</v>
      </c>
      <c r="Q58">
        <f>21815152000*(1/48000000)</f>
        <v>454.48233333333337</v>
      </c>
    </row>
    <row r="59" spans="1:17" x14ac:dyDescent="0.2">
      <c r="A59">
        <v>989.3</v>
      </c>
      <c r="B59" s="1">
        <v>11.125916999999999</v>
      </c>
      <c r="C59">
        <f>240489000*(1/48000000)</f>
        <v>5.0101875000000007</v>
      </c>
      <c r="D59">
        <v>2933</v>
      </c>
      <c r="E59" s="1">
        <v>6.9091050000000003</v>
      </c>
      <c r="F59" s="1"/>
      <c r="G59" s="1"/>
      <c r="H59" s="1">
        <v>9878</v>
      </c>
      <c r="I59" s="1">
        <v>0.47059299999999998</v>
      </c>
      <c r="J59">
        <f t="shared" si="0"/>
        <v>48.567187500000003</v>
      </c>
      <c r="K59" s="1">
        <v>19786</v>
      </c>
      <c r="L59" s="1">
        <v>0.18876599999999999</v>
      </c>
      <c r="M59">
        <v>50382</v>
      </c>
      <c r="N59" s="1">
        <v>2.2041999999999999E-2</v>
      </c>
      <c r="O59" s="1">
        <v>99668</v>
      </c>
      <c r="P59" s="1">
        <v>0</v>
      </c>
      <c r="Q59">
        <f>21819891000*(1/48000000)</f>
        <v>454.58106250000003</v>
      </c>
    </row>
    <row r="60" spans="1:17" x14ac:dyDescent="0.2">
      <c r="A60">
        <v>989.3</v>
      </c>
      <c r="B60" s="1">
        <v>11.439621000000001</v>
      </c>
      <c r="C60">
        <f>239676000*(1/48000000)</f>
        <v>4.9932500000000006</v>
      </c>
      <c r="D60">
        <v>2933</v>
      </c>
      <c r="E60" s="1">
        <v>6.6354100000000003</v>
      </c>
      <c r="F60" s="1"/>
      <c r="G60" s="1"/>
      <c r="H60" s="1">
        <v>9878</v>
      </c>
      <c r="I60" s="1">
        <v>0.45090599999999997</v>
      </c>
      <c r="J60">
        <f t="shared" si="0"/>
        <v>48.567187500000003</v>
      </c>
      <c r="K60" s="1">
        <v>19786</v>
      </c>
      <c r="L60" s="1">
        <v>0.178673</v>
      </c>
      <c r="M60">
        <v>50382</v>
      </c>
      <c r="N60" s="1">
        <v>0.36386800000000002</v>
      </c>
      <c r="O60" s="1">
        <v>99668</v>
      </c>
      <c r="P60" s="1">
        <v>0</v>
      </c>
      <c r="Q60">
        <f>21823223000*(1/48000000)</f>
        <v>454.65047916666668</v>
      </c>
    </row>
    <row r="61" spans="1:17" x14ac:dyDescent="0.2">
      <c r="A61">
        <v>989.3</v>
      </c>
      <c r="B61" s="1">
        <v>11.300414999999999</v>
      </c>
      <c r="C61">
        <f>240215000*(1/48000000)</f>
        <v>5.004479166666667</v>
      </c>
      <c r="D61">
        <v>2933</v>
      </c>
      <c r="E61" s="1">
        <v>6.7496309999999999</v>
      </c>
      <c r="F61" s="1"/>
      <c r="G61" s="1"/>
      <c r="H61" s="1">
        <v>9878</v>
      </c>
      <c r="I61" s="1">
        <v>0.48030800000000001</v>
      </c>
      <c r="J61">
        <f t="shared" si="0"/>
        <v>48.567187500000003</v>
      </c>
      <c r="K61" s="1">
        <v>19786</v>
      </c>
      <c r="L61" s="1">
        <v>0.11347400000000001</v>
      </c>
      <c r="M61">
        <v>50382</v>
      </c>
      <c r="N61" s="1">
        <v>0.35595500000000002</v>
      </c>
      <c r="O61" s="1">
        <v>99668</v>
      </c>
      <c r="P61" s="1">
        <v>0</v>
      </c>
      <c r="Q61">
        <f>21812801000*(1/48000000)</f>
        <v>454.43335416666667</v>
      </c>
    </row>
    <row r="62" spans="1:17" x14ac:dyDescent="0.2">
      <c r="A62">
        <v>989.3</v>
      </c>
      <c r="B62" s="1">
        <v>11.166064</v>
      </c>
      <c r="C62">
        <f>240778000*(1/48000000)</f>
        <v>5.016208333333334</v>
      </c>
      <c r="D62">
        <v>2933</v>
      </c>
      <c r="E62" s="1">
        <v>6.8946079999999998</v>
      </c>
      <c r="F62" s="1"/>
      <c r="G62" s="1"/>
      <c r="H62" s="1">
        <v>9878</v>
      </c>
      <c r="I62" s="1">
        <v>0.66721900000000001</v>
      </c>
      <c r="J62">
        <f t="shared" si="0"/>
        <v>48.567187500000003</v>
      </c>
      <c r="K62" s="1">
        <v>19786</v>
      </c>
      <c r="L62" s="1">
        <v>0.64777700000000005</v>
      </c>
      <c r="M62">
        <v>50382</v>
      </c>
      <c r="N62" s="1">
        <v>0.82170600000000005</v>
      </c>
      <c r="O62" s="1">
        <v>99668</v>
      </c>
      <c r="P62" s="1"/>
      <c r="Q62">
        <f>21778225000*(1/48000000)</f>
        <v>453.71302083333336</v>
      </c>
    </row>
    <row r="63" spans="1:17" x14ac:dyDescent="0.2">
      <c r="A63">
        <v>989.3</v>
      </c>
      <c r="B63" s="1">
        <v>10.763875000000001</v>
      </c>
      <c r="C63">
        <f>239579000*(1/48000000)</f>
        <v>4.9912291666666668</v>
      </c>
      <c r="D63">
        <v>2933</v>
      </c>
      <c r="E63" s="1">
        <v>6.4253109999999998</v>
      </c>
      <c r="F63" s="1"/>
      <c r="G63" s="1"/>
      <c r="H63" s="1">
        <v>9878</v>
      </c>
      <c r="I63" s="1">
        <v>0.99075899999999995</v>
      </c>
      <c r="J63">
        <f t="shared" si="0"/>
        <v>48.567187500000003</v>
      </c>
      <c r="K63" s="1">
        <v>19786</v>
      </c>
      <c r="L63" s="1">
        <v>0.21326300000000001</v>
      </c>
      <c r="M63">
        <v>50382</v>
      </c>
      <c r="N63" s="1">
        <v>0.718024</v>
      </c>
      <c r="O63" s="1">
        <v>99668</v>
      </c>
      <c r="P63" s="1"/>
      <c r="Q63">
        <f>21763046000*(1/48000000)</f>
        <v>453.39679166666667</v>
      </c>
    </row>
    <row r="64" spans="1:17" x14ac:dyDescent="0.2">
      <c r="A64">
        <v>989.3</v>
      </c>
      <c r="B64" s="1">
        <v>10.945264</v>
      </c>
      <c r="C64">
        <f>240221000*(1/48000000)</f>
        <v>5.0046041666666667</v>
      </c>
      <c r="D64">
        <v>2933</v>
      </c>
      <c r="E64" s="1">
        <v>6.9618960000000003</v>
      </c>
      <c r="F64" s="1"/>
      <c r="G64" s="1"/>
      <c r="H64" s="1">
        <v>9878</v>
      </c>
      <c r="I64" s="1">
        <v>0.47224300000000002</v>
      </c>
      <c r="J64">
        <f t="shared" si="0"/>
        <v>48.567187500000003</v>
      </c>
      <c r="K64" s="1">
        <v>19786</v>
      </c>
      <c r="L64" s="1">
        <v>0.66840299999999997</v>
      </c>
      <c r="M64">
        <v>50382</v>
      </c>
      <c r="N64" s="1">
        <v>3.0863999999999999E-2</v>
      </c>
      <c r="O64" s="1">
        <v>99668</v>
      </c>
      <c r="P64" s="1"/>
      <c r="Q64">
        <f>21752789000*(1/48000000)</f>
        <v>453.18310416666668</v>
      </c>
    </row>
    <row r="65" spans="1:17" x14ac:dyDescent="0.2">
      <c r="A65">
        <v>989.3</v>
      </c>
      <c r="B65" s="1">
        <v>10.893288999999999</v>
      </c>
      <c r="C65">
        <f>240696000*(1/48000000)</f>
        <v>5.0145</v>
      </c>
      <c r="D65">
        <v>2933</v>
      </c>
      <c r="E65" s="1">
        <v>6.7592780000000001</v>
      </c>
      <c r="F65" s="1"/>
      <c r="G65" s="1"/>
      <c r="H65" s="1">
        <v>9878</v>
      </c>
      <c r="I65" s="1">
        <v>0.51123300000000005</v>
      </c>
      <c r="J65">
        <f t="shared" si="0"/>
        <v>48.567187500000003</v>
      </c>
      <c r="K65" s="1">
        <v>19786</v>
      </c>
      <c r="L65" s="1">
        <v>4.7220999999999999E-2</v>
      </c>
      <c r="M65">
        <v>50382</v>
      </c>
      <c r="N65" s="1">
        <v>0.703407</v>
      </c>
      <c r="O65" s="1">
        <v>99668</v>
      </c>
      <c r="P65" s="1"/>
      <c r="Q65">
        <f>21808227000*(1/48000000)</f>
        <v>454.33806250000004</v>
      </c>
    </row>
    <row r="66" spans="1:17" x14ac:dyDescent="0.2">
      <c r="A66">
        <v>989.3</v>
      </c>
      <c r="B66" s="1">
        <v>11.461202</v>
      </c>
      <c r="C66">
        <f>240083000*(1/48000000)</f>
        <v>5.0017291666666672</v>
      </c>
      <c r="D66">
        <v>2933</v>
      </c>
      <c r="E66" s="1">
        <v>6.6478809999999999</v>
      </c>
      <c r="F66" s="1"/>
      <c r="G66" s="1"/>
      <c r="H66" s="1">
        <v>9878</v>
      </c>
      <c r="I66" s="1">
        <v>0.71860900000000005</v>
      </c>
      <c r="J66">
        <f t="shared" si="0"/>
        <v>48.567187500000003</v>
      </c>
      <c r="K66" s="1">
        <v>19786</v>
      </c>
      <c r="L66" s="1">
        <v>0.24632299999999999</v>
      </c>
      <c r="M66">
        <v>50382</v>
      </c>
      <c r="N66" s="1">
        <v>0.114634</v>
      </c>
      <c r="O66" s="1">
        <v>99668</v>
      </c>
      <c r="P66" s="1"/>
      <c r="Q66">
        <f>21663158000*(1/48000000)</f>
        <v>451.31579166666671</v>
      </c>
    </row>
    <row r="67" spans="1:17" x14ac:dyDescent="0.2">
      <c r="A67">
        <v>989.3</v>
      </c>
      <c r="B67" s="1">
        <v>11.526691</v>
      </c>
      <c r="C67">
        <f>239782000*(1/48000000)</f>
        <v>4.9954583333333336</v>
      </c>
      <c r="D67">
        <v>2933</v>
      </c>
      <c r="E67" s="1">
        <v>6.7572479999999997</v>
      </c>
      <c r="F67" s="1"/>
      <c r="G67" s="1"/>
      <c r="H67" s="1">
        <v>9878</v>
      </c>
      <c r="I67" s="1">
        <v>0.52946099999999996</v>
      </c>
      <c r="J67">
        <f t="shared" si="0"/>
        <v>48.567187500000003</v>
      </c>
      <c r="K67" s="1">
        <v>19786</v>
      </c>
      <c r="L67" s="1">
        <v>0.316216</v>
      </c>
      <c r="M67">
        <v>50382</v>
      </c>
      <c r="N67" s="1">
        <v>0.16578899999999999</v>
      </c>
      <c r="O67" s="1">
        <v>99668</v>
      </c>
      <c r="P67" s="1"/>
      <c r="Q67">
        <f>21809688000*(1/48000000)</f>
        <v>454.36850000000004</v>
      </c>
    </row>
    <row r="68" spans="1:17" x14ac:dyDescent="0.2">
      <c r="A68">
        <v>989.3</v>
      </c>
      <c r="B68" s="1"/>
      <c r="C68">
        <f>239768000*(1/48000000)</f>
        <v>4.995166666666667</v>
      </c>
      <c r="D68">
        <v>2933</v>
      </c>
      <c r="E68" s="1">
        <v>6.8399000000000001</v>
      </c>
      <c r="F68" s="1"/>
      <c r="G68" s="1"/>
      <c r="H68" s="1">
        <v>9878</v>
      </c>
      <c r="I68" s="1">
        <v>0.298786</v>
      </c>
      <c r="J68">
        <f t="shared" si="0"/>
        <v>48.567187500000003</v>
      </c>
      <c r="K68" s="1">
        <v>19786</v>
      </c>
      <c r="L68" s="1">
        <v>0.171704</v>
      </c>
      <c r="M68">
        <v>50382</v>
      </c>
      <c r="N68" s="1">
        <v>0.69908199999999998</v>
      </c>
      <c r="O68" s="1">
        <v>99668</v>
      </c>
      <c r="P68" s="1"/>
      <c r="Q68">
        <f>21806462000*(1/48000000)</f>
        <v>454.30129166666671</v>
      </c>
    </row>
    <row r="69" spans="1:17" x14ac:dyDescent="0.2">
      <c r="A69">
        <v>989.3</v>
      </c>
      <c r="B69" s="1"/>
      <c r="C69">
        <f>241015000*(1/48000000)</f>
        <v>5.0211458333333336</v>
      </c>
      <c r="D69">
        <v>2933</v>
      </c>
      <c r="E69" s="1">
        <v>6.6087220000000002</v>
      </c>
      <c r="F69" s="1"/>
      <c r="G69" s="1"/>
      <c r="H69" s="1">
        <v>9878</v>
      </c>
      <c r="I69" s="1">
        <v>0.614008</v>
      </c>
      <c r="J69">
        <f t="shared" si="0"/>
        <v>48.567187500000003</v>
      </c>
      <c r="K69" s="1">
        <v>19786</v>
      </c>
      <c r="L69" s="1">
        <v>4.9679000000000001E-2</v>
      </c>
      <c r="M69">
        <v>50382</v>
      </c>
      <c r="N69" s="1">
        <v>0.135684</v>
      </c>
      <c r="O69" s="1">
        <v>99668</v>
      </c>
      <c r="P69" s="1"/>
      <c r="Q69">
        <f>21820612000*(1/48000000)</f>
        <v>454.59608333333335</v>
      </c>
    </row>
    <row r="70" spans="1:17" x14ac:dyDescent="0.2">
      <c r="A70">
        <v>989.3</v>
      </c>
      <c r="B70" s="1"/>
      <c r="C70">
        <f>240827000*(1/48000000)</f>
        <v>5.0172291666666666</v>
      </c>
      <c r="D70">
        <v>2933</v>
      </c>
      <c r="E70" s="1">
        <v>6.5741009999999998</v>
      </c>
      <c r="F70" s="1"/>
      <c r="G70" s="1"/>
      <c r="H70" s="1">
        <v>9878</v>
      </c>
      <c r="I70" s="1">
        <v>0.57138699999999998</v>
      </c>
      <c r="J70">
        <f t="shared" si="0"/>
        <v>48.567187500000003</v>
      </c>
      <c r="K70" s="1">
        <v>19786</v>
      </c>
      <c r="L70" s="1">
        <v>1.0124789999999999</v>
      </c>
      <c r="M70">
        <v>50382</v>
      </c>
      <c r="N70" s="1">
        <v>0.30619000000000002</v>
      </c>
      <c r="O70" s="1">
        <v>99668</v>
      </c>
      <c r="P70" s="1"/>
      <c r="Q70">
        <f>21793966000*(1/48000000)</f>
        <v>454.04095833333338</v>
      </c>
    </row>
    <row r="71" spans="1:17" x14ac:dyDescent="0.2">
      <c r="A71">
        <v>989.3</v>
      </c>
      <c r="B71" s="1"/>
      <c r="C71">
        <f>239899000*(1/48000000)</f>
        <v>4.9978958333333336</v>
      </c>
      <c r="D71">
        <v>2933</v>
      </c>
      <c r="E71" s="1">
        <v>6.8226129999999996</v>
      </c>
      <c r="F71" s="1"/>
      <c r="G71" s="1"/>
      <c r="H71" s="1">
        <v>9878</v>
      </c>
      <c r="I71" s="1">
        <v>0.369695</v>
      </c>
      <c r="J71">
        <f t="shared" si="0"/>
        <v>48.567187500000003</v>
      </c>
      <c r="K71" s="1">
        <v>19786</v>
      </c>
      <c r="L71" s="1">
        <v>0.24579200000000001</v>
      </c>
      <c r="N71" s="1">
        <v>7.4453000000000005E-2</v>
      </c>
      <c r="O71" s="1">
        <v>99668</v>
      </c>
      <c r="P71" s="1"/>
      <c r="Q71">
        <f>21820935000*(1/48000000)</f>
        <v>454.60281250000003</v>
      </c>
    </row>
    <row r="72" spans="1:17" x14ac:dyDescent="0.2">
      <c r="A72">
        <v>989.3</v>
      </c>
      <c r="B72" s="1"/>
      <c r="C72">
        <f>239749000*(1/48000000)</f>
        <v>4.9947708333333338</v>
      </c>
      <c r="D72">
        <v>2933</v>
      </c>
      <c r="E72" s="1">
        <v>6.9686640000000004</v>
      </c>
      <c r="G72" s="1"/>
      <c r="I72" s="1">
        <v>0.51092000000000004</v>
      </c>
      <c r="K72" s="1">
        <v>19786</v>
      </c>
      <c r="L72" s="1">
        <v>0.27588000000000001</v>
      </c>
      <c r="N72" s="1">
        <v>0.34556799999999999</v>
      </c>
      <c r="O72" s="1">
        <v>99668</v>
      </c>
      <c r="P72" s="1"/>
      <c r="Q72">
        <f>21675422000*(1/48000000)</f>
        <v>451.5712916666667</v>
      </c>
    </row>
    <row r="73" spans="1:17" x14ac:dyDescent="0.2">
      <c r="B73" s="1"/>
      <c r="C73">
        <f>240136000*(1/48000000)</f>
        <v>5.0028333333333332</v>
      </c>
      <c r="E73" s="1"/>
      <c r="G73" s="1"/>
      <c r="K73" s="1">
        <v>19786</v>
      </c>
      <c r="L73" s="1">
        <v>0.69104100000000002</v>
      </c>
      <c r="N73" s="1">
        <v>4.2756000000000002E-2</v>
      </c>
      <c r="O73" s="1">
        <v>99668</v>
      </c>
      <c r="P73" s="1"/>
      <c r="Q73">
        <f>21804267000*(1/48000000)</f>
        <v>454.25556250000005</v>
      </c>
    </row>
    <row r="74" spans="1:17" x14ac:dyDescent="0.2">
      <c r="B74" s="1"/>
      <c r="C74">
        <f>240271000*(1/48000000)</f>
        <v>5.0056458333333333</v>
      </c>
      <c r="E74" s="1"/>
      <c r="G74" s="1"/>
      <c r="K74" s="1">
        <v>19786</v>
      </c>
      <c r="L74" s="1">
        <v>9.2843999999999996E-2</v>
      </c>
      <c r="N74" s="1">
        <v>0.32466099999999998</v>
      </c>
      <c r="P74" s="1"/>
      <c r="Q74">
        <f>21774306000*(1/48000000)</f>
        <v>453.63137500000005</v>
      </c>
    </row>
    <row r="75" spans="1:17" x14ac:dyDescent="0.2">
      <c r="B75" s="1"/>
      <c r="C75" s="1"/>
      <c r="E75" s="1"/>
      <c r="G75" s="1"/>
      <c r="L75" s="1"/>
      <c r="P75" s="1"/>
      <c r="Q75">
        <f>21810070000*(1/48000000)</f>
        <v>454.37645833333335</v>
      </c>
    </row>
    <row r="76" spans="1:17" x14ac:dyDescent="0.2">
      <c r="A76" s="1"/>
      <c r="B76" s="1"/>
      <c r="C76" s="1"/>
      <c r="L76" s="1"/>
      <c r="N76" s="1"/>
      <c r="Q76">
        <f>21824615000*(1/48000000)</f>
        <v>454.67947916666668</v>
      </c>
    </row>
    <row r="77" spans="1:17" x14ac:dyDescent="0.2">
      <c r="B77" s="1"/>
      <c r="C77" s="1"/>
      <c r="G77" s="1"/>
      <c r="L77" s="1"/>
      <c r="P77" s="1"/>
      <c r="Q77">
        <f>21820546000*(1/48000000)</f>
        <v>454.59470833333336</v>
      </c>
    </row>
    <row r="78" spans="1:17" x14ac:dyDescent="0.2">
      <c r="B78" s="1"/>
      <c r="C78" s="1"/>
      <c r="G78" s="1"/>
      <c r="L78" s="1"/>
      <c r="P78" s="1"/>
      <c r="Q78">
        <f>21826742000*(1/48000000)</f>
        <v>454.72379166666667</v>
      </c>
    </row>
    <row r="79" spans="1:17" x14ac:dyDescent="0.2">
      <c r="B79" s="1"/>
      <c r="C79" s="1"/>
      <c r="G79" s="1"/>
      <c r="K79" s="1"/>
      <c r="L79" s="1"/>
      <c r="P79" s="1"/>
      <c r="Q79">
        <f>21819390000*(1/48000000)</f>
        <v>454.57062500000001</v>
      </c>
    </row>
    <row r="80" spans="1:17" x14ac:dyDescent="0.2">
      <c r="B80" s="1"/>
      <c r="C80" s="1"/>
      <c r="G80" s="1"/>
      <c r="K80" s="1"/>
      <c r="L80" s="1"/>
      <c r="P80" s="1"/>
      <c r="Q80">
        <f>21831543000*(1/48000000)</f>
        <v>454.82381250000003</v>
      </c>
    </row>
    <row r="81" spans="1:17" x14ac:dyDescent="0.2">
      <c r="B81" s="1"/>
      <c r="C81" s="1"/>
      <c r="G81" s="1"/>
      <c r="K81" s="1"/>
      <c r="L81" s="1"/>
      <c r="P81" s="1"/>
      <c r="Q81">
        <f>21815519000*(1/48000000)</f>
        <v>454.48997916666667</v>
      </c>
    </row>
    <row r="82" spans="1:17" x14ac:dyDescent="0.2">
      <c r="A82" s="1"/>
      <c r="B82" s="1"/>
      <c r="C82" s="1"/>
      <c r="G82" s="1"/>
      <c r="K82" s="1"/>
      <c r="L82" s="1"/>
      <c r="P82" s="1"/>
      <c r="Q82">
        <f>21765000000*(1/48000000)</f>
        <v>453.4375</v>
      </c>
    </row>
    <row r="83" spans="1:17" x14ac:dyDescent="0.2">
      <c r="A83" s="1"/>
      <c r="B83" s="1"/>
      <c r="C83" s="1"/>
      <c r="G83" s="1"/>
      <c r="K83" s="1"/>
      <c r="L83" s="1"/>
      <c r="Q83">
        <f>21814665000*(1/48000000)</f>
        <v>454.47218750000002</v>
      </c>
    </row>
    <row r="84" spans="1:17" x14ac:dyDescent="0.2">
      <c r="A84" s="1"/>
      <c r="B84" s="1"/>
      <c r="C84" s="1"/>
      <c r="G84" s="1"/>
      <c r="L84" s="1"/>
      <c r="Q84" s="1"/>
    </row>
    <row r="85" spans="1:17" x14ac:dyDescent="0.2">
      <c r="A85" s="1"/>
      <c r="B85" s="1"/>
      <c r="C85" s="1"/>
      <c r="G85" s="1"/>
      <c r="L85" s="1"/>
    </row>
    <row r="86" spans="1:17" x14ac:dyDescent="0.2">
      <c r="A86" s="1"/>
      <c r="B86" s="1"/>
      <c r="C86" s="1"/>
      <c r="G86" s="1"/>
      <c r="L86" s="1"/>
    </row>
    <row r="87" spans="1:17" x14ac:dyDescent="0.2">
      <c r="A87" s="1"/>
      <c r="B87" s="1"/>
      <c r="C87" s="1"/>
      <c r="L87" s="1"/>
    </row>
    <row r="88" spans="1:17" x14ac:dyDescent="0.2">
      <c r="A88" s="1"/>
      <c r="B88" s="1"/>
      <c r="C88" s="1"/>
      <c r="G88" s="1"/>
      <c r="L88" s="1"/>
    </row>
    <row r="89" spans="1:17" x14ac:dyDescent="0.2">
      <c r="A89" s="1"/>
      <c r="B89" s="1"/>
      <c r="C89" s="1"/>
      <c r="G89" s="1"/>
      <c r="L89" s="1"/>
    </row>
    <row r="90" spans="1:17" x14ac:dyDescent="0.2">
      <c r="B90" s="1"/>
      <c r="C90" s="1"/>
      <c r="G90" s="1"/>
      <c r="L90" s="1"/>
    </row>
    <row r="91" spans="1:17" x14ac:dyDescent="0.2">
      <c r="B91" s="1"/>
      <c r="C91" s="1"/>
      <c r="G91" s="1"/>
      <c r="L91" s="1"/>
    </row>
    <row r="92" spans="1:17" x14ac:dyDescent="0.2">
      <c r="B92" s="1"/>
      <c r="C92" s="1"/>
      <c r="G92" s="1"/>
    </row>
    <row r="93" spans="1:17" x14ac:dyDescent="0.2">
      <c r="B93" s="1"/>
      <c r="C93" s="1"/>
      <c r="G93" s="1"/>
    </row>
    <row r="94" spans="1:17" x14ac:dyDescent="0.2">
      <c r="B94" s="1"/>
      <c r="C94" s="1"/>
      <c r="G94" s="1"/>
    </row>
    <row r="95" spans="1:17" x14ac:dyDescent="0.2">
      <c r="C95" s="1"/>
      <c r="G95" s="1"/>
    </row>
    <row r="96" spans="1:17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  <row r="109" spans="3:3" x14ac:dyDescent="0.2">
      <c r="C109" s="1"/>
    </row>
    <row r="110" spans="3:3" x14ac:dyDescent="0.2">
      <c r="C110" s="1"/>
    </row>
    <row r="111" spans="3:3" x14ac:dyDescent="0.2">
      <c r="C111" s="1"/>
    </row>
    <row r="112" spans="3:3" x14ac:dyDescent="0.2">
      <c r="C112" s="1"/>
    </row>
    <row r="113" spans="3:3" x14ac:dyDescent="0.2">
      <c r="C113" s="1"/>
    </row>
    <row r="114" spans="3:3" x14ac:dyDescent="0.2">
      <c r="C114" s="1"/>
    </row>
    <row r="115" spans="3:3" x14ac:dyDescent="0.2">
      <c r="C115" s="1"/>
    </row>
    <row r="116" spans="3:3" x14ac:dyDescent="0.2">
      <c r="C116" s="1"/>
    </row>
    <row r="117" spans="3:3" x14ac:dyDescent="0.2">
      <c r="C117" s="1"/>
    </row>
    <row r="118" spans="3:3" x14ac:dyDescent="0.2">
      <c r="C118" s="1"/>
    </row>
    <row r="119" spans="3:3" x14ac:dyDescent="0.2">
      <c r="C119" s="1"/>
    </row>
    <row r="120" spans="3:3" x14ac:dyDescent="0.2">
      <c r="C120" s="1"/>
    </row>
    <row r="121" spans="3:3" x14ac:dyDescent="0.2">
      <c r="C121" s="1"/>
    </row>
    <row r="122" spans="3:3" x14ac:dyDescent="0.2">
      <c r="C122" s="1"/>
    </row>
    <row r="123" spans="3:3" x14ac:dyDescent="0.2">
      <c r="C123" s="1"/>
    </row>
    <row r="124" spans="3:3" x14ac:dyDescent="0.2">
      <c r="C124" s="1"/>
    </row>
    <row r="125" spans="3:3" x14ac:dyDescent="0.2">
      <c r="C125" s="1"/>
    </row>
    <row r="126" spans="3:3" x14ac:dyDescent="0.2">
      <c r="C126" s="1"/>
    </row>
    <row r="127" spans="3:3" x14ac:dyDescent="0.2">
      <c r="C127" s="1"/>
    </row>
    <row r="128" spans="3:3" x14ac:dyDescent="0.2">
      <c r="C128" s="1"/>
    </row>
    <row r="129" spans="3:3" x14ac:dyDescent="0.2">
      <c r="C129" s="1"/>
    </row>
    <row r="130" spans="3:3" x14ac:dyDescent="0.2">
      <c r="C130" s="1"/>
    </row>
    <row r="131" spans="3:3" x14ac:dyDescent="0.2">
      <c r="C131" s="1"/>
    </row>
    <row r="132" spans="3:3" x14ac:dyDescent="0.2">
      <c r="C132" s="1"/>
    </row>
    <row r="133" spans="3:3" x14ac:dyDescent="0.2">
      <c r="C133" s="1"/>
    </row>
    <row r="134" spans="3:3" x14ac:dyDescent="0.2">
      <c r="C134" s="1"/>
    </row>
    <row r="135" spans="3:3" x14ac:dyDescent="0.2">
      <c r="C135" s="1"/>
    </row>
    <row r="136" spans="3:3" x14ac:dyDescent="0.2">
      <c r="C136" s="1"/>
    </row>
    <row r="137" spans="3:3" x14ac:dyDescent="0.2">
      <c r="C137" s="1"/>
    </row>
    <row r="138" spans="3:3" x14ac:dyDescent="0.2">
      <c r="C138" s="1"/>
    </row>
    <row r="139" spans="3:3" x14ac:dyDescent="0.2">
      <c r="C139" s="1"/>
    </row>
    <row r="140" spans="3:3" x14ac:dyDescent="0.2">
      <c r="C140" s="1"/>
    </row>
    <row r="141" spans="3:3" x14ac:dyDescent="0.2">
      <c r="C141" s="1"/>
    </row>
    <row r="142" spans="3:3" x14ac:dyDescent="0.2">
      <c r="C142" s="1"/>
    </row>
    <row r="143" spans="3:3" x14ac:dyDescent="0.2">
      <c r="C143" s="1"/>
    </row>
    <row r="144" spans="3:3" x14ac:dyDescent="0.2">
      <c r="C144" s="1"/>
    </row>
    <row r="145" spans="3:3" x14ac:dyDescent="0.2">
      <c r="C145" s="1"/>
    </row>
    <row r="146" spans="3:3" x14ac:dyDescent="0.2">
      <c r="C146" s="1"/>
    </row>
    <row r="147" spans="3:3" x14ac:dyDescent="0.2">
      <c r="C147" s="1"/>
    </row>
    <row r="148" spans="3:3" x14ac:dyDescent="0.2">
      <c r="C148" s="1"/>
    </row>
    <row r="149" spans="3:3" x14ac:dyDescent="0.2">
      <c r="C149" s="1"/>
    </row>
    <row r="150" spans="3:3" x14ac:dyDescent="0.2">
      <c r="C150" s="1"/>
    </row>
    <row r="151" spans="3:3" x14ac:dyDescent="0.2">
      <c r="C151" s="1"/>
    </row>
    <row r="152" spans="3:3" x14ac:dyDescent="0.2">
      <c r="C152" s="1"/>
    </row>
    <row r="153" spans="3:3" x14ac:dyDescent="0.2">
      <c r="C153" s="1"/>
    </row>
    <row r="154" spans="3:3" x14ac:dyDescent="0.2">
      <c r="C154" s="1"/>
    </row>
    <row r="155" spans="3:3" x14ac:dyDescent="0.2">
      <c r="C155" s="1"/>
    </row>
    <row r="156" spans="3:3" x14ac:dyDescent="0.2">
      <c r="C156" s="1"/>
    </row>
    <row r="157" spans="3:3" x14ac:dyDescent="0.2">
      <c r="C157" s="1"/>
    </row>
    <row r="158" spans="3:3" x14ac:dyDescent="0.2">
      <c r="C158" s="1"/>
    </row>
    <row r="159" spans="3:3" x14ac:dyDescent="0.2">
      <c r="C159" s="1"/>
    </row>
    <row r="160" spans="3:3" x14ac:dyDescent="0.2">
      <c r="C160" s="1"/>
    </row>
    <row r="161" spans="3:3" x14ac:dyDescent="0.2">
      <c r="C161" s="1"/>
    </row>
    <row r="162" spans="3:3" x14ac:dyDescent="0.2">
      <c r="C162" s="1"/>
    </row>
    <row r="163" spans="3:3" x14ac:dyDescent="0.2">
      <c r="C163" s="1"/>
    </row>
    <row r="164" spans="3:3" x14ac:dyDescent="0.2">
      <c r="C164" s="1"/>
    </row>
    <row r="165" spans="3:3" x14ac:dyDescent="0.2">
      <c r="C165" s="1"/>
    </row>
    <row r="166" spans="3:3" x14ac:dyDescent="0.2">
      <c r="C166" s="1"/>
    </row>
    <row r="167" spans="3:3" x14ac:dyDescent="0.2">
      <c r="C167" s="1"/>
    </row>
    <row r="168" spans="3:3" x14ac:dyDescent="0.2">
      <c r="C168" s="1"/>
    </row>
    <row r="169" spans="3:3" x14ac:dyDescent="0.2">
      <c r="C169" s="1"/>
    </row>
    <row r="170" spans="3:3" x14ac:dyDescent="0.2">
      <c r="C170" s="1"/>
    </row>
    <row r="171" spans="3:3" x14ac:dyDescent="0.2">
      <c r="C171" s="1"/>
    </row>
    <row r="172" spans="3:3" x14ac:dyDescent="0.2">
      <c r="C172" s="1"/>
    </row>
    <row r="173" spans="3:3" x14ac:dyDescent="0.2">
      <c r="C173" s="1"/>
    </row>
    <row r="174" spans="3:3" x14ac:dyDescent="0.2">
      <c r="C174" s="1"/>
    </row>
    <row r="175" spans="3:3" x14ac:dyDescent="0.2">
      <c r="C175" s="1"/>
    </row>
    <row r="176" spans="3:3" x14ac:dyDescent="0.2">
      <c r="C176" s="1"/>
    </row>
    <row r="177" spans="3:3" x14ac:dyDescent="0.2">
      <c r="C177" s="1"/>
    </row>
    <row r="178" spans="3:3" x14ac:dyDescent="0.2">
      <c r="C178" s="1"/>
    </row>
    <row r="179" spans="3:3" x14ac:dyDescent="0.2">
      <c r="C179" s="1"/>
    </row>
    <row r="180" spans="3:3" x14ac:dyDescent="0.2">
      <c r="C180" s="1"/>
    </row>
    <row r="181" spans="3:3" x14ac:dyDescent="0.2">
      <c r="C181" s="1"/>
    </row>
    <row r="182" spans="3:3" x14ac:dyDescent="0.2">
      <c r="C182" s="1"/>
    </row>
    <row r="183" spans="3:3" x14ac:dyDescent="0.2">
      <c r="C183" s="1"/>
    </row>
    <row r="184" spans="3:3" x14ac:dyDescent="0.2">
      <c r="C184" s="1"/>
    </row>
    <row r="185" spans="3:3" x14ac:dyDescent="0.2">
      <c r="C185" s="1"/>
    </row>
    <row r="186" spans="3:3" x14ac:dyDescent="0.2">
      <c r="C186" s="1"/>
    </row>
    <row r="187" spans="3:3" x14ac:dyDescent="0.2">
      <c r="C187" s="1"/>
    </row>
    <row r="188" spans="3:3" x14ac:dyDescent="0.2">
      <c r="C188" s="1"/>
    </row>
    <row r="189" spans="3:3" x14ac:dyDescent="0.2">
      <c r="C189" s="1"/>
    </row>
    <row r="190" spans="3:3" x14ac:dyDescent="0.2">
      <c r="C190" s="1"/>
    </row>
    <row r="191" spans="3:3" x14ac:dyDescent="0.2">
      <c r="C191" s="1"/>
    </row>
    <row r="192" spans="3:3" x14ac:dyDescent="0.2">
      <c r="C192" s="1"/>
    </row>
    <row r="193" spans="3:3" x14ac:dyDescent="0.2">
      <c r="C193" s="1"/>
    </row>
    <row r="194" spans="3:3" x14ac:dyDescent="0.2">
      <c r="C194" s="1"/>
    </row>
    <row r="195" spans="3:3" x14ac:dyDescent="0.2">
      <c r="C195" s="1"/>
    </row>
    <row r="196" spans="3:3" x14ac:dyDescent="0.2">
      <c r="C196" s="1"/>
    </row>
    <row r="197" spans="3:3" x14ac:dyDescent="0.2">
      <c r="C197" s="1"/>
    </row>
    <row r="198" spans="3:3" x14ac:dyDescent="0.2">
      <c r="C198" s="1"/>
    </row>
    <row r="199" spans="3:3" x14ac:dyDescent="0.2">
      <c r="C199" s="1"/>
    </row>
    <row r="200" spans="3:3" x14ac:dyDescent="0.2">
      <c r="C200" s="1"/>
    </row>
    <row r="201" spans="3:3" x14ac:dyDescent="0.2">
      <c r="C201" s="1"/>
    </row>
    <row r="202" spans="3:3" x14ac:dyDescent="0.2">
      <c r="C202" s="1"/>
    </row>
    <row r="203" spans="3:3" x14ac:dyDescent="0.2">
      <c r="C203" s="1"/>
    </row>
    <row r="204" spans="3:3" x14ac:dyDescent="0.2">
      <c r="C204" s="1"/>
    </row>
    <row r="205" spans="3:3" x14ac:dyDescent="0.2">
      <c r="C205" s="1"/>
    </row>
    <row r="206" spans="3:3" x14ac:dyDescent="0.2">
      <c r="C206" s="1"/>
    </row>
    <row r="207" spans="3:3" x14ac:dyDescent="0.2">
      <c r="C207" s="1"/>
    </row>
    <row r="208" spans="3:3" x14ac:dyDescent="0.2">
      <c r="C208" s="1"/>
    </row>
    <row r="209" spans="3:3" x14ac:dyDescent="0.2">
      <c r="C209" s="1"/>
    </row>
    <row r="210" spans="3:3" x14ac:dyDescent="0.2">
      <c r="C210" s="1"/>
    </row>
    <row r="211" spans="3:3" x14ac:dyDescent="0.2">
      <c r="C211" s="1"/>
    </row>
    <row r="212" spans="3:3" x14ac:dyDescent="0.2">
      <c r="C212" s="1"/>
    </row>
    <row r="213" spans="3:3" x14ac:dyDescent="0.2">
      <c r="C213" s="1"/>
    </row>
    <row r="214" spans="3:3" x14ac:dyDescent="0.2">
      <c r="C214" s="1"/>
    </row>
    <row r="215" spans="3:3" x14ac:dyDescent="0.2">
      <c r="C215" s="1"/>
    </row>
    <row r="216" spans="3:3" x14ac:dyDescent="0.2">
      <c r="C216" s="1"/>
    </row>
    <row r="217" spans="3:3" x14ac:dyDescent="0.2">
      <c r="C217" s="1"/>
    </row>
    <row r="218" spans="3:3" x14ac:dyDescent="0.2">
      <c r="C218" s="1"/>
    </row>
    <row r="219" spans="3:3" x14ac:dyDescent="0.2">
      <c r="C219" s="1"/>
    </row>
    <row r="220" spans="3:3" x14ac:dyDescent="0.2">
      <c r="C220" s="1"/>
    </row>
    <row r="221" spans="3:3" x14ac:dyDescent="0.2">
      <c r="C221" s="1"/>
    </row>
    <row r="222" spans="3:3" x14ac:dyDescent="0.2">
      <c r="C222" s="1"/>
    </row>
    <row r="223" spans="3:3" x14ac:dyDescent="0.2">
      <c r="C223" s="1"/>
    </row>
    <row r="224" spans="3:3" x14ac:dyDescent="0.2">
      <c r="C224" s="1"/>
    </row>
    <row r="225" spans="3:3" x14ac:dyDescent="0.2">
      <c r="C225" s="1"/>
    </row>
    <row r="226" spans="3:3" x14ac:dyDescent="0.2">
      <c r="C226" s="1"/>
    </row>
    <row r="227" spans="3:3" x14ac:dyDescent="0.2">
      <c r="C227" s="1"/>
    </row>
    <row r="228" spans="3:3" x14ac:dyDescent="0.2">
      <c r="C228" s="1"/>
    </row>
    <row r="229" spans="3:3" x14ac:dyDescent="0.2">
      <c r="C229" s="1"/>
    </row>
    <row r="230" spans="3:3" x14ac:dyDescent="0.2">
      <c r="C230" s="1"/>
    </row>
    <row r="231" spans="3:3" x14ac:dyDescent="0.2">
      <c r="C231" s="1"/>
    </row>
    <row r="232" spans="3:3" x14ac:dyDescent="0.2">
      <c r="C232" s="1"/>
    </row>
    <row r="233" spans="3:3" x14ac:dyDescent="0.2">
      <c r="C233" s="1"/>
    </row>
    <row r="234" spans="3:3" x14ac:dyDescent="0.2">
      <c r="C234" s="1"/>
    </row>
    <row r="235" spans="3:3" x14ac:dyDescent="0.2">
      <c r="C235" s="1"/>
    </row>
    <row r="236" spans="3:3" x14ac:dyDescent="0.2">
      <c r="C236" s="1"/>
    </row>
    <row r="237" spans="3:3" x14ac:dyDescent="0.2">
      <c r="C237" s="1"/>
    </row>
    <row r="238" spans="3:3" x14ac:dyDescent="0.2">
      <c r="C238" s="1"/>
    </row>
    <row r="239" spans="3:3" x14ac:dyDescent="0.2">
      <c r="C239" s="1"/>
    </row>
    <row r="240" spans="3:3" x14ac:dyDescent="0.2">
      <c r="C240" s="1"/>
    </row>
    <row r="241" spans="3:3" x14ac:dyDescent="0.2">
      <c r="C241" s="1"/>
    </row>
    <row r="242" spans="3:3" x14ac:dyDescent="0.2">
      <c r="C242" s="1"/>
    </row>
    <row r="243" spans="3:3" x14ac:dyDescent="0.2">
      <c r="C243" s="1"/>
    </row>
    <row r="244" spans="3:3" x14ac:dyDescent="0.2">
      <c r="C244" s="1"/>
    </row>
    <row r="245" spans="3:3" x14ac:dyDescent="0.2">
      <c r="C245" s="1"/>
    </row>
    <row r="246" spans="3:3" x14ac:dyDescent="0.2">
      <c r="C246" s="1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0"/>
  <sheetViews>
    <sheetView workbookViewId="0">
      <selection activeCell="J2" sqref="J2:J80"/>
    </sheetView>
  </sheetViews>
  <sheetFormatPr baseColWidth="10" defaultRowHeight="16" x14ac:dyDescent="0.2"/>
  <cols>
    <col min="4" max="4" width="12" bestFit="1" customWidth="1"/>
  </cols>
  <sheetData>
    <row r="1" spans="1:15" x14ac:dyDescent="0.2">
      <c r="A1" t="s">
        <v>0</v>
      </c>
      <c r="B1" t="s">
        <v>1</v>
      </c>
      <c r="C1" t="s">
        <v>3</v>
      </c>
      <c r="D1" t="s">
        <v>4</v>
      </c>
      <c r="E1" t="s">
        <v>1</v>
      </c>
      <c r="F1" t="s">
        <v>0</v>
      </c>
      <c r="G1" t="s">
        <v>1</v>
      </c>
      <c r="H1" t="s">
        <v>0</v>
      </c>
      <c r="I1" t="s">
        <v>1</v>
      </c>
      <c r="J1" t="s">
        <v>3</v>
      </c>
      <c r="K1" t="s">
        <v>0</v>
      </c>
      <c r="L1" t="s">
        <v>1</v>
      </c>
      <c r="M1" t="s">
        <v>0</v>
      </c>
      <c r="N1" t="s">
        <v>1</v>
      </c>
      <c r="O1" t="s">
        <v>3</v>
      </c>
    </row>
    <row r="2" spans="1:15" x14ac:dyDescent="0.2">
      <c r="A2">
        <v>989.3</v>
      </c>
      <c r="B2" s="1">
        <v>12.892709</v>
      </c>
      <c r="C2">
        <v>6.4175000000000004</v>
      </c>
      <c r="D2">
        <v>2933</v>
      </c>
      <c r="E2" s="1">
        <v>4.7985139999999999</v>
      </c>
      <c r="F2" s="1">
        <v>8081</v>
      </c>
      <c r="G2" s="1">
        <v>2.486796</v>
      </c>
      <c r="H2" s="1">
        <v>9878</v>
      </c>
      <c r="I2" s="1">
        <v>0.79496900000000004</v>
      </c>
      <c r="J2">
        <v>58.8671875</v>
      </c>
      <c r="K2">
        <v>50382</v>
      </c>
      <c r="L2" s="1">
        <v>0.42665900000000001</v>
      </c>
      <c r="M2" s="1">
        <v>99668</v>
      </c>
      <c r="N2" s="1">
        <v>0.15548999999999999</v>
      </c>
      <c r="O2">
        <v>588.5372083333333</v>
      </c>
    </row>
    <row r="3" spans="1:15" x14ac:dyDescent="0.2">
      <c r="B3" s="1">
        <v>12.545747</v>
      </c>
      <c r="C3">
        <v>6.488854166666667</v>
      </c>
      <c r="E3" s="1">
        <v>4.477487</v>
      </c>
      <c r="G3" s="1">
        <v>2.3871039999999999</v>
      </c>
      <c r="I3" s="1">
        <v>0.75075999999999998</v>
      </c>
      <c r="J3">
        <v>58.582458333333335</v>
      </c>
      <c r="L3" s="1">
        <v>0.43004999999999999</v>
      </c>
      <c r="N3" s="1">
        <v>0.21191199999999999</v>
      </c>
      <c r="O3">
        <v>590.80333333333328</v>
      </c>
    </row>
    <row r="4" spans="1:15" x14ac:dyDescent="0.2">
      <c r="B4" s="1">
        <v>12.848708999999999</v>
      </c>
      <c r="C4">
        <v>6.4567500000000004</v>
      </c>
      <c r="E4" s="1">
        <v>4.7470540000000003</v>
      </c>
      <c r="G4" s="1">
        <v>2.7547549999999998</v>
      </c>
      <c r="I4" s="1">
        <v>0.75484300000000004</v>
      </c>
      <c r="J4">
        <v>58.9206875</v>
      </c>
      <c r="L4" s="1">
        <v>0.51627199999999995</v>
      </c>
      <c r="N4" s="1">
        <v>0.212619</v>
      </c>
      <c r="O4">
        <v>592.4010833333333</v>
      </c>
    </row>
    <row r="5" spans="1:15" x14ac:dyDescent="0.2">
      <c r="B5" s="1">
        <v>13.381534</v>
      </c>
      <c r="C5">
        <v>6.4645833333333336</v>
      </c>
      <c r="E5" s="1">
        <v>4.1386440000000002</v>
      </c>
      <c r="G5" s="1">
        <v>2.2742960000000001</v>
      </c>
      <c r="I5" s="1">
        <v>0.78866499999999995</v>
      </c>
      <c r="J5">
        <v>58.722041666666669</v>
      </c>
      <c r="L5" s="1">
        <v>0.39463999999999999</v>
      </c>
      <c r="N5" s="1">
        <v>0.29205900000000001</v>
      </c>
      <c r="O5">
        <v>589.52352083333335</v>
      </c>
    </row>
    <row r="6" spans="1:15" x14ac:dyDescent="0.2">
      <c r="B6" s="1">
        <v>13.866624</v>
      </c>
      <c r="C6">
        <v>6.5240208333333332</v>
      </c>
      <c r="E6" s="1">
        <v>3.6128770000000001</v>
      </c>
      <c r="G6" s="1">
        <v>2.7124630000000001</v>
      </c>
      <c r="I6" s="1">
        <v>0.74620799999999998</v>
      </c>
      <c r="J6">
        <v>58.99154166666667</v>
      </c>
      <c r="L6" s="1">
        <v>0.47162999999999999</v>
      </c>
      <c r="N6" s="1">
        <v>0.205372</v>
      </c>
      <c r="O6">
        <v>592.06006249999996</v>
      </c>
    </row>
    <row r="7" spans="1:15" x14ac:dyDescent="0.2">
      <c r="B7" s="1">
        <v>13.471688</v>
      </c>
      <c r="C7">
        <v>6.4550000000000001</v>
      </c>
      <c r="E7" s="1">
        <v>4.2094860000000001</v>
      </c>
      <c r="G7" s="1">
        <v>2.5028540000000001</v>
      </c>
      <c r="I7" s="1">
        <v>0.84468399999999999</v>
      </c>
      <c r="J7">
        <v>58.767854166666666</v>
      </c>
      <c r="L7" s="1">
        <v>0.38255600000000001</v>
      </c>
      <c r="N7" s="1">
        <v>0.348439</v>
      </c>
      <c r="O7">
        <v>589.7319583333333</v>
      </c>
    </row>
    <row r="8" spans="1:15" x14ac:dyDescent="0.2">
      <c r="B8" s="1">
        <v>12.837218</v>
      </c>
      <c r="C8">
        <v>6.464479166666667</v>
      </c>
      <c r="E8" s="1">
        <v>4.3245610000000001</v>
      </c>
      <c r="G8" s="1">
        <v>2.484731</v>
      </c>
      <c r="I8" s="1">
        <v>0.76322699999999999</v>
      </c>
      <c r="J8">
        <v>59.108125000000001</v>
      </c>
      <c r="L8" s="1">
        <v>0.35215999999999997</v>
      </c>
      <c r="N8" s="1">
        <v>0.10020999999999999</v>
      </c>
      <c r="O8">
        <v>589.15208333333328</v>
      </c>
    </row>
    <row r="9" spans="1:15" x14ac:dyDescent="0.2">
      <c r="B9" s="1">
        <v>13.696111</v>
      </c>
      <c r="C9">
        <v>6.4511458333333334</v>
      </c>
      <c r="E9" s="1">
        <v>4.4876849999999999</v>
      </c>
      <c r="G9" s="1">
        <v>2.4552879999999999</v>
      </c>
      <c r="I9" s="1">
        <v>0.71857800000000005</v>
      </c>
      <c r="J9">
        <v>58.839770833333333</v>
      </c>
      <c r="L9" s="1">
        <v>0.33566200000000002</v>
      </c>
      <c r="N9" s="1">
        <v>0.61553999999999998</v>
      </c>
      <c r="O9">
        <v>592.87014583333337</v>
      </c>
    </row>
    <row r="10" spans="1:15" x14ac:dyDescent="0.2">
      <c r="B10" s="1">
        <v>12.516776999999999</v>
      </c>
      <c r="C10">
        <v>6.4685625</v>
      </c>
      <c r="E10" s="1">
        <v>4.0909420000000001</v>
      </c>
      <c r="G10" s="1">
        <v>2.5292569999999999</v>
      </c>
      <c r="I10" s="1">
        <v>0.73394099999999995</v>
      </c>
      <c r="J10">
        <v>58.907020833333334</v>
      </c>
      <c r="L10" s="1">
        <v>0.42819000000000002</v>
      </c>
      <c r="N10" s="1">
        <v>0.23682700000000001</v>
      </c>
      <c r="O10">
        <v>593.18839583333329</v>
      </c>
    </row>
    <row r="11" spans="1:15" x14ac:dyDescent="0.2">
      <c r="B11" s="1">
        <v>12.994294</v>
      </c>
      <c r="C11">
        <v>6.4601666666666668</v>
      </c>
      <c r="E11" s="1">
        <v>4.0718579999999998</v>
      </c>
      <c r="G11" s="1">
        <v>2.2464559999999998</v>
      </c>
      <c r="I11" s="1">
        <v>0.78595199999999998</v>
      </c>
      <c r="J11">
        <v>58.949333333333335</v>
      </c>
      <c r="L11" s="1">
        <v>0.40257999999999999</v>
      </c>
      <c r="N11" s="1">
        <v>0.36152000000000001</v>
      </c>
      <c r="O11">
        <v>590.29672916666664</v>
      </c>
    </row>
    <row r="12" spans="1:15" x14ac:dyDescent="0.2">
      <c r="B12" s="1">
        <v>13.421233000000001</v>
      </c>
      <c r="C12">
        <v>6.4855416666666663</v>
      </c>
      <c r="E12" s="1">
        <v>4.2081020000000002</v>
      </c>
      <c r="G12" s="1">
        <v>2.7396940000000001</v>
      </c>
      <c r="I12" s="1">
        <v>0.80768300000000004</v>
      </c>
      <c r="J12">
        <v>58.864291666666666</v>
      </c>
      <c r="L12" s="1">
        <v>0.61199199999999998</v>
      </c>
      <c r="N12" s="1">
        <v>0.33373000000000003</v>
      </c>
      <c r="O12">
        <v>592.75754166666661</v>
      </c>
    </row>
    <row r="13" spans="1:15" x14ac:dyDescent="0.2">
      <c r="B13" s="1">
        <v>12.883355999999999</v>
      </c>
      <c r="C13">
        <v>6.4696249999999997</v>
      </c>
      <c r="E13" s="1">
        <v>4.2650740000000003</v>
      </c>
      <c r="G13" s="1">
        <v>2.6491380000000002</v>
      </c>
      <c r="I13" s="1">
        <v>0.74641800000000003</v>
      </c>
      <c r="J13">
        <v>58.9074375</v>
      </c>
      <c r="L13" s="1">
        <v>0.46503800000000001</v>
      </c>
      <c r="N13" s="1">
        <v>0.369228</v>
      </c>
      <c r="O13">
        <v>592.77677083333333</v>
      </c>
    </row>
    <row r="14" spans="1:15" x14ac:dyDescent="0.2">
      <c r="B14" s="1">
        <v>12.397634</v>
      </c>
      <c r="C14">
        <v>6.4937708333333335</v>
      </c>
      <c r="E14" s="1">
        <v>4.2380240000000002</v>
      </c>
      <c r="G14" s="1">
        <v>2.6991670000000001</v>
      </c>
      <c r="I14" s="1">
        <v>0.79802600000000001</v>
      </c>
      <c r="J14">
        <v>58.694749999999999</v>
      </c>
      <c r="L14" s="1">
        <v>0.42595899999999998</v>
      </c>
      <c r="N14" s="1">
        <v>0.29620800000000003</v>
      </c>
      <c r="O14">
        <v>591.72395833333337</v>
      </c>
    </row>
    <row r="15" spans="1:15" x14ac:dyDescent="0.2">
      <c r="B15" s="1">
        <v>12.672065999999999</v>
      </c>
      <c r="C15">
        <v>6.4943749999999998</v>
      </c>
      <c r="E15" s="1">
        <v>4.1410030000000004</v>
      </c>
      <c r="G15" s="1">
        <v>2.6219960000000002</v>
      </c>
      <c r="I15" s="1">
        <v>0.73131199999999996</v>
      </c>
      <c r="J15">
        <v>58.781145833333333</v>
      </c>
      <c r="L15" s="1">
        <v>0.33860600000000002</v>
      </c>
      <c r="N15" s="1">
        <v>0.33245400000000003</v>
      </c>
      <c r="O15">
        <v>592.42152083333337</v>
      </c>
    </row>
    <row r="16" spans="1:15" x14ac:dyDescent="0.2">
      <c r="B16" s="1">
        <v>12.387383</v>
      </c>
      <c r="C16">
        <v>6.4859375000000004</v>
      </c>
      <c r="E16" s="1">
        <v>3.1711109999999998</v>
      </c>
      <c r="G16" s="1">
        <v>2.3451529999999998</v>
      </c>
      <c r="I16" s="1">
        <v>0.74271299999999996</v>
      </c>
      <c r="J16">
        <v>58.8581875</v>
      </c>
      <c r="L16" s="1">
        <v>0.42085899999999998</v>
      </c>
      <c r="N16" s="1">
        <v>0.25564700000000001</v>
      </c>
      <c r="O16">
        <v>591.33864583333332</v>
      </c>
    </row>
    <row r="17" spans="2:15" x14ac:dyDescent="0.2">
      <c r="B17" s="1">
        <v>12.688022999999999</v>
      </c>
      <c r="C17">
        <v>6.4823124999999999</v>
      </c>
      <c r="E17" s="1">
        <v>4.1248610000000001</v>
      </c>
      <c r="G17" s="1">
        <v>2.2263860000000002</v>
      </c>
      <c r="I17" s="1">
        <v>0.74885900000000005</v>
      </c>
      <c r="J17">
        <v>58.869583333333331</v>
      </c>
      <c r="L17" s="1">
        <v>0.46038200000000001</v>
      </c>
      <c r="N17" s="1">
        <v>0.41181000000000001</v>
      </c>
      <c r="O17">
        <v>592.35299999999995</v>
      </c>
    </row>
    <row r="18" spans="2:15" x14ac:dyDescent="0.2">
      <c r="B18" s="1">
        <v>12.898935</v>
      </c>
      <c r="C18">
        <v>6.5074791666666663</v>
      </c>
      <c r="E18" s="1">
        <v>4.8931849999999999</v>
      </c>
      <c r="G18" s="1">
        <v>1.7915019999999999</v>
      </c>
      <c r="I18" s="1">
        <v>0.74884499999999998</v>
      </c>
      <c r="J18">
        <v>58.851708333333335</v>
      </c>
      <c r="L18" s="1">
        <v>0.31267299999999998</v>
      </c>
      <c r="N18" s="1">
        <v>0.30377500000000002</v>
      </c>
      <c r="O18">
        <v>591.47264583333333</v>
      </c>
    </row>
    <row r="19" spans="2:15" x14ac:dyDescent="0.2">
      <c r="B19" s="1">
        <v>13.187417999999999</v>
      </c>
      <c r="C19">
        <v>6.4759583333333337</v>
      </c>
      <c r="E19" s="1">
        <v>3.2783319999999998</v>
      </c>
      <c r="G19" s="1">
        <v>2.1536369999999998</v>
      </c>
      <c r="I19" s="1">
        <v>0.78963799999999995</v>
      </c>
      <c r="J19">
        <v>58.872291666666669</v>
      </c>
      <c r="L19" s="1">
        <v>0.32487300000000002</v>
      </c>
      <c r="N19" s="1">
        <v>0.26003900000000002</v>
      </c>
      <c r="O19">
        <v>591.96477083333332</v>
      </c>
    </row>
    <row r="20" spans="2:15" x14ac:dyDescent="0.2">
      <c r="B20" s="1">
        <v>13.225528000000001</v>
      </c>
      <c r="C20">
        <v>6.4881458333333333</v>
      </c>
      <c r="E20" s="1">
        <v>4.5251900000000003</v>
      </c>
      <c r="G20" s="1">
        <v>2.4106860000000001</v>
      </c>
      <c r="I20" s="1">
        <v>0.75393699999999997</v>
      </c>
      <c r="J20">
        <v>58.822166666666668</v>
      </c>
      <c r="L20" s="1">
        <v>0.392897</v>
      </c>
      <c r="N20" s="1">
        <v>0.410609</v>
      </c>
      <c r="O20">
        <v>592.16360416666669</v>
      </c>
    </row>
    <row r="21" spans="2:15" x14ac:dyDescent="0.2">
      <c r="B21" s="1">
        <v>13.787190000000001</v>
      </c>
      <c r="C21">
        <v>6.5087916666666663</v>
      </c>
      <c r="E21" s="1">
        <v>4.9248760000000003</v>
      </c>
      <c r="G21" s="1">
        <v>2.4647950000000001</v>
      </c>
      <c r="I21" s="1">
        <v>0.88459600000000005</v>
      </c>
      <c r="J21">
        <v>58.898791666666668</v>
      </c>
      <c r="L21" s="1">
        <v>0.33946500000000002</v>
      </c>
      <c r="N21" s="1">
        <v>0.32350299999999999</v>
      </c>
      <c r="O21">
        <v>592.2362291666667</v>
      </c>
    </row>
    <row r="22" spans="2:15" x14ac:dyDescent="0.2">
      <c r="B22" s="1">
        <v>12.15422</v>
      </c>
      <c r="C22">
        <v>6.480833333333333</v>
      </c>
      <c r="E22" s="1">
        <v>4.2440319999999998</v>
      </c>
      <c r="G22" s="1">
        <v>2.4043489999999998</v>
      </c>
      <c r="I22" s="1">
        <v>0.71880999999999995</v>
      </c>
      <c r="J22">
        <v>58.948041666666668</v>
      </c>
      <c r="L22" s="1">
        <v>0.29667100000000002</v>
      </c>
      <c r="N22" s="1">
        <v>0.27626499999999998</v>
      </c>
      <c r="O22">
        <v>592.219875</v>
      </c>
    </row>
    <row r="23" spans="2:15" x14ac:dyDescent="0.2">
      <c r="B23" s="1">
        <v>12.634793999999999</v>
      </c>
      <c r="C23">
        <v>6.5066666666666668</v>
      </c>
      <c r="E23" s="1">
        <v>3.7791039999999998</v>
      </c>
      <c r="G23" s="1">
        <v>2.2301880000000001</v>
      </c>
      <c r="I23" s="1">
        <v>0.76614499999999996</v>
      </c>
      <c r="J23">
        <v>58.607624999999999</v>
      </c>
      <c r="L23" s="1">
        <v>0.387936</v>
      </c>
      <c r="N23" s="1">
        <v>0.33758700000000003</v>
      </c>
      <c r="O23">
        <v>592.6028541666667</v>
      </c>
    </row>
    <row r="24" spans="2:15" x14ac:dyDescent="0.2">
      <c r="B24" s="1">
        <v>13.121480999999999</v>
      </c>
      <c r="C24">
        <v>6.4918958333333334</v>
      </c>
      <c r="E24" s="1">
        <v>4.3456429999999999</v>
      </c>
      <c r="G24" s="1">
        <v>2.2759499999999999</v>
      </c>
      <c r="I24" s="1">
        <v>0.82688700000000004</v>
      </c>
      <c r="J24">
        <v>58.89841666666667</v>
      </c>
      <c r="L24" s="1">
        <v>0.550979</v>
      </c>
      <c r="N24" s="1">
        <v>0.25764900000000002</v>
      </c>
      <c r="O24">
        <v>590.81270833333338</v>
      </c>
    </row>
    <row r="25" spans="2:15" x14ac:dyDescent="0.2">
      <c r="B25" s="1">
        <v>13.043976000000001</v>
      </c>
      <c r="C25">
        <v>6.4660833333333336</v>
      </c>
      <c r="E25" s="1">
        <v>5.077572</v>
      </c>
      <c r="G25" s="1">
        <v>3.0463960000000001</v>
      </c>
      <c r="I25" s="1">
        <v>0.77063499999999996</v>
      </c>
      <c r="J25">
        <v>59.0354375</v>
      </c>
      <c r="L25" s="1">
        <v>0.40066600000000002</v>
      </c>
      <c r="N25" s="1">
        <v>0.26003999999999999</v>
      </c>
      <c r="O25">
        <v>592.19483333333335</v>
      </c>
    </row>
    <row r="26" spans="2:15" x14ac:dyDescent="0.2">
      <c r="B26" s="1">
        <v>13.148574999999999</v>
      </c>
      <c r="C26">
        <v>6.5072291666666668</v>
      </c>
      <c r="E26" s="1">
        <v>5.052562</v>
      </c>
      <c r="G26" s="1">
        <v>3.2688100000000002</v>
      </c>
      <c r="I26" s="1">
        <v>0.80577100000000002</v>
      </c>
      <c r="J26">
        <v>58.906166666666664</v>
      </c>
      <c r="L26" s="1">
        <v>0.35655300000000001</v>
      </c>
      <c r="N26" s="1">
        <v>0.29787799999999998</v>
      </c>
      <c r="O26">
        <v>588.75706249999996</v>
      </c>
    </row>
    <row r="27" spans="2:15" x14ac:dyDescent="0.2">
      <c r="B27" s="1">
        <v>12.130307999999999</v>
      </c>
      <c r="C27">
        <v>6.4969374999999996</v>
      </c>
      <c r="E27" s="1">
        <v>4.2068669999999999</v>
      </c>
      <c r="G27" s="1">
        <v>3.6389819999999999</v>
      </c>
      <c r="I27" s="1">
        <v>0.71302299999999996</v>
      </c>
      <c r="J27">
        <v>58.81516666666667</v>
      </c>
      <c r="L27" s="1">
        <v>0.40111400000000003</v>
      </c>
      <c r="N27" s="1">
        <v>0.328986</v>
      </c>
      <c r="O27">
        <v>588.33102083333335</v>
      </c>
    </row>
    <row r="28" spans="2:15" x14ac:dyDescent="0.2">
      <c r="B28" s="1">
        <v>13.339632</v>
      </c>
      <c r="C28">
        <v>6.4790208333333332</v>
      </c>
      <c r="E28" s="1">
        <v>3.9450810000000001</v>
      </c>
      <c r="G28" s="1">
        <v>2.819509</v>
      </c>
      <c r="I28" s="1">
        <v>0.77290400000000004</v>
      </c>
      <c r="J28">
        <v>58.65860416666667</v>
      </c>
      <c r="L28" s="1">
        <v>0.33263599999999999</v>
      </c>
      <c r="N28" s="1">
        <v>0.31591999999999998</v>
      </c>
      <c r="O28">
        <v>591.82516666666663</v>
      </c>
    </row>
    <row r="29" spans="2:15" x14ac:dyDescent="0.2">
      <c r="B29" s="1">
        <v>12.511339</v>
      </c>
      <c r="C29">
        <v>6.464833333333333</v>
      </c>
      <c r="E29" s="1">
        <v>4.6978429999999998</v>
      </c>
      <c r="G29" s="1">
        <v>2.2358829999999998</v>
      </c>
      <c r="I29" s="1">
        <v>0.76369799999999999</v>
      </c>
      <c r="J29">
        <v>58.531166666666664</v>
      </c>
      <c r="L29" s="1">
        <v>0.49770700000000001</v>
      </c>
      <c r="N29" s="1">
        <v>0.27292499999999997</v>
      </c>
      <c r="O29">
        <v>590.42791666666665</v>
      </c>
    </row>
    <row r="30" spans="2:15" x14ac:dyDescent="0.2">
      <c r="B30" s="1">
        <v>13.398078</v>
      </c>
      <c r="C30">
        <v>6.5058125000000002</v>
      </c>
      <c r="E30" s="1">
        <v>4.3194169999999996</v>
      </c>
      <c r="G30" s="1">
        <v>2.7357990000000001</v>
      </c>
      <c r="I30" s="1">
        <v>0.83405899999999999</v>
      </c>
      <c r="J30">
        <v>58.91972916666667</v>
      </c>
      <c r="L30" s="1">
        <v>0.294406</v>
      </c>
      <c r="N30" s="1">
        <v>0.30795800000000001</v>
      </c>
      <c r="O30">
        <v>587.64035416666661</v>
      </c>
    </row>
    <row r="31" spans="2:15" x14ac:dyDescent="0.2">
      <c r="B31" s="1">
        <v>12.719091000000001</v>
      </c>
      <c r="C31">
        <v>6.4402499999999998</v>
      </c>
      <c r="E31" s="1">
        <v>4.1440000000000001</v>
      </c>
      <c r="G31" s="1">
        <v>2.0954890000000002</v>
      </c>
      <c r="I31" s="1">
        <v>0.75238700000000003</v>
      </c>
      <c r="J31">
        <v>58.578749999999999</v>
      </c>
      <c r="L31" s="1">
        <v>0.37243799999999999</v>
      </c>
      <c r="N31" s="1">
        <v>0.28467199999999998</v>
      </c>
      <c r="O31">
        <v>592.06508333333329</v>
      </c>
    </row>
    <row r="32" spans="2:15" x14ac:dyDescent="0.2">
      <c r="B32" s="1">
        <v>12.770611000000001</v>
      </c>
      <c r="C32">
        <v>6.464833333333333</v>
      </c>
      <c r="E32" s="1">
        <v>3.0199500000000001</v>
      </c>
      <c r="G32" s="1">
        <v>2.1661350000000001</v>
      </c>
      <c r="I32" s="1">
        <v>0.75936499999999996</v>
      </c>
      <c r="J32">
        <v>58.690395833333334</v>
      </c>
      <c r="L32" s="1">
        <v>0.51726899999999998</v>
      </c>
      <c r="N32" s="1">
        <v>0.33137699999999998</v>
      </c>
      <c r="O32">
        <v>592.64110416666665</v>
      </c>
    </row>
    <row r="33" spans="2:15" x14ac:dyDescent="0.2">
      <c r="B33" s="1">
        <v>12.687124000000001</v>
      </c>
      <c r="C33">
        <v>6.4768125000000003</v>
      </c>
      <c r="E33" s="1">
        <v>3.2661989999999999</v>
      </c>
      <c r="G33" s="1">
        <v>2.2801640000000001</v>
      </c>
      <c r="I33" s="1">
        <v>0.75705599999999995</v>
      </c>
      <c r="J33">
        <v>58.890020833333331</v>
      </c>
      <c r="L33" s="1">
        <v>0.43102299999999999</v>
      </c>
      <c r="N33" s="1">
        <v>0.187386</v>
      </c>
      <c r="O33">
        <v>593.04514583333332</v>
      </c>
    </row>
    <row r="34" spans="2:15" x14ac:dyDescent="0.2">
      <c r="B34" s="1">
        <v>12.206289999999999</v>
      </c>
      <c r="C34">
        <v>6.4825625000000002</v>
      </c>
      <c r="E34" s="1">
        <v>3.5602689999999999</v>
      </c>
      <c r="G34" s="1">
        <v>2.3230019999999998</v>
      </c>
      <c r="I34" s="1">
        <v>0.78690099999999996</v>
      </c>
      <c r="J34">
        <v>58.838666666666668</v>
      </c>
      <c r="L34" s="1">
        <v>0.402395</v>
      </c>
      <c r="N34" s="1">
        <v>0.27436899999999997</v>
      </c>
      <c r="O34">
        <v>592.56325000000004</v>
      </c>
    </row>
    <row r="35" spans="2:15" x14ac:dyDescent="0.2">
      <c r="B35" s="1">
        <v>12.558642000000001</v>
      </c>
      <c r="C35">
        <v>6.5028541666666664</v>
      </c>
      <c r="E35" s="1">
        <v>4.0813230000000003</v>
      </c>
      <c r="G35" s="1">
        <v>1.8282130000000001</v>
      </c>
      <c r="I35" s="1">
        <v>0.80918400000000001</v>
      </c>
      <c r="J35">
        <v>58.876270833333336</v>
      </c>
      <c r="L35" s="1">
        <v>0.24190300000000001</v>
      </c>
      <c r="N35" s="1">
        <v>0.27229900000000001</v>
      </c>
      <c r="O35">
        <v>592.68108333333328</v>
      </c>
    </row>
    <row r="36" spans="2:15" x14ac:dyDescent="0.2">
      <c r="B36" s="1">
        <v>12.14414</v>
      </c>
      <c r="C36">
        <v>6.4689375</v>
      </c>
      <c r="E36" s="1">
        <v>4.2496669999999996</v>
      </c>
      <c r="G36" s="1">
        <v>2.4004810000000001</v>
      </c>
      <c r="I36" s="1">
        <v>0.77514700000000003</v>
      </c>
      <c r="J36">
        <v>58.914354166666669</v>
      </c>
      <c r="L36" s="1">
        <v>0.30957800000000002</v>
      </c>
      <c r="N36" s="1">
        <v>0.33762700000000001</v>
      </c>
      <c r="O36">
        <v>591.83895833333338</v>
      </c>
    </row>
    <row r="37" spans="2:15" x14ac:dyDescent="0.2">
      <c r="B37" s="1">
        <v>12.626896</v>
      </c>
      <c r="C37">
        <v>6.4836666666666662</v>
      </c>
      <c r="E37" s="1">
        <v>5.953373</v>
      </c>
      <c r="G37" s="1">
        <v>2.4885809999999999</v>
      </c>
      <c r="I37" s="1">
        <v>0.74395100000000003</v>
      </c>
      <c r="J37">
        <v>58.892020833333333</v>
      </c>
      <c r="L37" s="1">
        <v>0.204044</v>
      </c>
      <c r="N37" s="1">
        <v>0.26905600000000002</v>
      </c>
      <c r="O37">
        <v>593.10516666666672</v>
      </c>
    </row>
    <row r="38" spans="2:15" x14ac:dyDescent="0.2">
      <c r="B38" s="1">
        <v>14.088682</v>
      </c>
      <c r="C38">
        <v>6.4915416666666665</v>
      </c>
      <c r="E38" s="1">
        <v>4.2368769999999998</v>
      </c>
      <c r="G38" s="1">
        <v>2.8114849999999998</v>
      </c>
      <c r="I38" s="1">
        <v>0.74610200000000004</v>
      </c>
      <c r="J38">
        <v>58.677520833333332</v>
      </c>
      <c r="L38" s="1">
        <v>0.31002200000000002</v>
      </c>
      <c r="N38" s="1">
        <v>0.24893299999999999</v>
      </c>
      <c r="O38">
        <v>588.30906249999998</v>
      </c>
    </row>
    <row r="39" spans="2:15" x14ac:dyDescent="0.2">
      <c r="B39" s="1">
        <v>12.908901999999999</v>
      </c>
      <c r="C39">
        <v>6.4889583333333336</v>
      </c>
      <c r="E39" s="1">
        <v>4.0962730000000001</v>
      </c>
      <c r="G39" s="1">
        <v>2.6971280000000002</v>
      </c>
      <c r="I39" s="1">
        <v>0.70877299999999999</v>
      </c>
      <c r="J39">
        <v>58.95795833333333</v>
      </c>
      <c r="L39" s="1">
        <v>0.40259400000000001</v>
      </c>
      <c r="N39" s="1">
        <v>0.30107800000000001</v>
      </c>
      <c r="O39">
        <v>592.46670833333337</v>
      </c>
    </row>
    <row r="40" spans="2:15" x14ac:dyDescent="0.2">
      <c r="B40" s="1">
        <v>12.514756999999999</v>
      </c>
      <c r="C40">
        <v>6.4941666666666666</v>
      </c>
      <c r="E40" s="1">
        <v>3.5043090000000001</v>
      </c>
      <c r="G40" s="1">
        <v>2.098176</v>
      </c>
      <c r="I40" s="1">
        <v>0.754278</v>
      </c>
      <c r="J40">
        <v>58.819062500000001</v>
      </c>
      <c r="L40" s="1">
        <v>0.35752699999999998</v>
      </c>
      <c r="N40" s="1">
        <v>0.28150900000000001</v>
      </c>
      <c r="O40">
        <v>587.81341666666663</v>
      </c>
    </row>
    <row r="41" spans="2:15" x14ac:dyDescent="0.2">
      <c r="B41" s="1">
        <v>12.192439</v>
      </c>
      <c r="C41">
        <v>6.4632500000000004</v>
      </c>
      <c r="E41" s="1">
        <v>4.816859</v>
      </c>
      <c r="G41" s="1">
        <v>2.3828969999999998</v>
      </c>
      <c r="I41" s="1">
        <v>0.71987299999999999</v>
      </c>
      <c r="J41">
        <v>58.773895833333334</v>
      </c>
      <c r="L41" s="1">
        <v>0.21034600000000001</v>
      </c>
      <c r="N41" s="1">
        <v>0.47263300000000003</v>
      </c>
      <c r="O41">
        <v>592.6629375</v>
      </c>
    </row>
    <row r="42" spans="2:15" x14ac:dyDescent="0.2">
      <c r="B42" s="1">
        <v>12.382776</v>
      </c>
      <c r="C42">
        <v>6.4376041666666666</v>
      </c>
      <c r="E42" s="1">
        <v>4.7627670000000002</v>
      </c>
      <c r="G42" s="1">
        <v>2.0307819999999999</v>
      </c>
      <c r="I42" s="1">
        <v>0.73829299999999998</v>
      </c>
      <c r="J42">
        <v>58.821249999999999</v>
      </c>
      <c r="L42" s="1">
        <v>0.33241300000000001</v>
      </c>
      <c r="N42" s="1">
        <v>0.28527799999999998</v>
      </c>
      <c r="O42">
        <v>592.24135416666661</v>
      </c>
    </row>
    <row r="43" spans="2:15" x14ac:dyDescent="0.2">
      <c r="B43" s="1">
        <v>12.320665999999999</v>
      </c>
      <c r="C43">
        <v>6.4664791666666668</v>
      </c>
      <c r="E43" s="1">
        <v>2.935438</v>
      </c>
      <c r="G43" s="1">
        <v>2.4074239999999998</v>
      </c>
      <c r="I43" s="1">
        <v>0.76491600000000004</v>
      </c>
      <c r="J43">
        <v>58.830145833333333</v>
      </c>
      <c r="L43" s="1">
        <v>0.38466400000000001</v>
      </c>
      <c r="N43" s="1">
        <v>0.239671</v>
      </c>
      <c r="O43">
        <v>586.75620833333335</v>
      </c>
    </row>
    <row r="44" spans="2:15" x14ac:dyDescent="0.2">
      <c r="B44" s="1">
        <v>12.019762999999999</v>
      </c>
      <c r="C44">
        <v>6.5041874999999996</v>
      </c>
      <c r="E44" s="1">
        <v>4.7488890000000001</v>
      </c>
      <c r="G44" s="1">
        <v>2.2079080000000002</v>
      </c>
      <c r="I44" s="1">
        <v>0.73928199999999999</v>
      </c>
      <c r="J44">
        <v>58.902958333333331</v>
      </c>
      <c r="L44" s="1">
        <v>0.43556499999999998</v>
      </c>
      <c r="N44" s="1">
        <v>0.28445599999999999</v>
      </c>
      <c r="O44">
        <v>591.54441666666662</v>
      </c>
    </row>
    <row r="45" spans="2:15" x14ac:dyDescent="0.2">
      <c r="B45" s="1">
        <v>12.389870999999999</v>
      </c>
      <c r="C45">
        <v>6.4994583333333331</v>
      </c>
      <c r="E45" s="1">
        <v>5.1135460000000004</v>
      </c>
      <c r="G45" s="1">
        <v>2.8961410000000001</v>
      </c>
      <c r="I45" s="1">
        <v>0.77642100000000003</v>
      </c>
      <c r="J45">
        <v>58.881041666666668</v>
      </c>
      <c r="L45" s="1">
        <v>0.35188000000000003</v>
      </c>
      <c r="N45" s="1">
        <v>0.28410200000000002</v>
      </c>
      <c r="O45">
        <v>591.62239583333337</v>
      </c>
    </row>
    <row r="46" spans="2:15" x14ac:dyDescent="0.2">
      <c r="B46" s="1">
        <v>13.656164</v>
      </c>
      <c r="C46">
        <v>6.4855416666666663</v>
      </c>
      <c r="E46" s="1">
        <v>5.5661880000000004</v>
      </c>
      <c r="G46" s="1">
        <v>2.759436</v>
      </c>
      <c r="I46" s="1">
        <v>0.78755900000000001</v>
      </c>
      <c r="J46">
        <v>59.094333333333331</v>
      </c>
      <c r="L46" s="1">
        <v>6.9889999999999994E-2</v>
      </c>
      <c r="N46" s="1">
        <v>0.397063</v>
      </c>
      <c r="O46">
        <v>591.45285416666661</v>
      </c>
    </row>
    <row r="47" spans="2:15" x14ac:dyDescent="0.2">
      <c r="B47" s="1">
        <v>12.804414</v>
      </c>
      <c r="C47">
        <v>6.4979374999999999</v>
      </c>
      <c r="E47" s="1">
        <v>3.9244249999999998</v>
      </c>
      <c r="G47" s="1">
        <v>3.0664449999999999</v>
      </c>
      <c r="I47" s="1">
        <v>0.72294199999999997</v>
      </c>
      <c r="J47">
        <v>58.605166666666669</v>
      </c>
      <c r="L47" s="1">
        <v>0.33013599999999999</v>
      </c>
      <c r="N47" s="1">
        <v>0.26530599999999999</v>
      </c>
      <c r="O47">
        <v>591.9598125</v>
      </c>
    </row>
    <row r="48" spans="2:15" x14ac:dyDescent="0.2">
      <c r="B48" s="1">
        <v>12.745483999999999</v>
      </c>
      <c r="C48">
        <v>6.4659374999999999</v>
      </c>
      <c r="E48" s="1">
        <v>4.2142989999999996</v>
      </c>
      <c r="G48" s="1">
        <v>2.7895989999999999</v>
      </c>
      <c r="I48" s="1">
        <v>0.78119499999999997</v>
      </c>
      <c r="J48">
        <v>59.047437500000001</v>
      </c>
      <c r="L48" s="1">
        <v>0.27615499999999998</v>
      </c>
      <c r="N48" s="1">
        <v>0.34191500000000002</v>
      </c>
      <c r="O48">
        <v>592.04477083333336</v>
      </c>
    </row>
    <row r="49" spans="2:15" x14ac:dyDescent="0.2">
      <c r="B49" s="1">
        <v>12.800502</v>
      </c>
      <c r="C49">
        <v>6.4801666666666664</v>
      </c>
      <c r="E49" s="1">
        <v>3.0972400000000002</v>
      </c>
      <c r="G49" s="1">
        <v>2.9982340000000001</v>
      </c>
      <c r="I49" s="1">
        <v>0.753579</v>
      </c>
      <c r="J49">
        <v>59.058270833333331</v>
      </c>
      <c r="L49" s="1">
        <v>0.32036700000000001</v>
      </c>
      <c r="N49" s="1">
        <v>0.24776300000000001</v>
      </c>
      <c r="O49">
        <v>587.07620833333328</v>
      </c>
    </row>
    <row r="50" spans="2:15" x14ac:dyDescent="0.2">
      <c r="B50" s="1">
        <v>13.047663999999999</v>
      </c>
      <c r="C50">
        <v>6.4889166666666664</v>
      </c>
      <c r="E50" s="1">
        <v>4.1758389999999999</v>
      </c>
      <c r="G50" s="1">
        <v>3.0412979999999998</v>
      </c>
      <c r="I50" s="1">
        <v>0.73741699999999999</v>
      </c>
      <c r="J50">
        <v>58.862625000000001</v>
      </c>
      <c r="L50" s="1">
        <v>0.26202799999999998</v>
      </c>
      <c r="N50" s="1">
        <v>0.32416299999999998</v>
      </c>
      <c r="O50">
        <v>591.71712500000001</v>
      </c>
    </row>
    <row r="51" spans="2:15" x14ac:dyDescent="0.2">
      <c r="B51" s="1">
        <v>12.854476</v>
      </c>
      <c r="C51">
        <v>6.4770416666666666</v>
      </c>
      <c r="E51" s="1">
        <v>4.1142370000000001</v>
      </c>
      <c r="G51" s="1">
        <v>2.2276950000000002</v>
      </c>
      <c r="I51" s="1">
        <v>0.76261299999999999</v>
      </c>
      <c r="J51">
        <v>58.896124999999998</v>
      </c>
      <c r="L51" s="1">
        <v>0.31858799999999998</v>
      </c>
      <c r="N51" s="1">
        <v>0.326986</v>
      </c>
      <c r="O51">
        <v>591.55220833333328</v>
      </c>
    </row>
    <row r="52" spans="2:15" x14ac:dyDescent="0.2">
      <c r="B52" s="1">
        <v>12.653124</v>
      </c>
      <c r="C52">
        <v>6.4991041666666662</v>
      </c>
      <c r="E52" s="1">
        <v>4.5918549999999998</v>
      </c>
      <c r="G52" s="1">
        <v>2.4641519999999999</v>
      </c>
      <c r="I52" s="1">
        <v>0.76561500000000005</v>
      </c>
      <c r="J52">
        <v>58.836937499999998</v>
      </c>
      <c r="L52" s="1">
        <v>0.52849699999999999</v>
      </c>
      <c r="N52" s="1">
        <v>0.28820099999999998</v>
      </c>
      <c r="O52">
        <v>589.4393541666667</v>
      </c>
    </row>
    <row r="53" spans="2:15" x14ac:dyDescent="0.2">
      <c r="B53" s="1">
        <v>12.687211</v>
      </c>
      <c r="C53">
        <v>6.4824374999999996</v>
      </c>
      <c r="E53" s="1">
        <v>3.9658030000000002</v>
      </c>
      <c r="G53" s="1">
        <v>2.3921589999999999</v>
      </c>
      <c r="I53" s="1">
        <v>0.81950999999999996</v>
      </c>
      <c r="J53">
        <v>58.623145833333332</v>
      </c>
      <c r="L53" s="1">
        <v>0.24781800000000001</v>
      </c>
      <c r="N53" s="1">
        <v>0.24934200000000001</v>
      </c>
      <c r="O53">
        <v>586.63252083333339</v>
      </c>
    </row>
    <row r="54" spans="2:15" x14ac:dyDescent="0.2">
      <c r="B54" s="1">
        <v>12.174825</v>
      </c>
      <c r="C54">
        <v>6.4906041666666665</v>
      </c>
      <c r="E54" s="1">
        <v>3.3064439999999999</v>
      </c>
      <c r="G54" s="1">
        <v>2.2076739999999999</v>
      </c>
      <c r="I54" s="1">
        <v>0.79033799999999998</v>
      </c>
      <c r="J54">
        <v>58.852562499999998</v>
      </c>
      <c r="L54" s="1">
        <v>0.39175900000000002</v>
      </c>
      <c r="N54" s="1">
        <v>0.30509399999999998</v>
      </c>
      <c r="O54">
        <v>592.20933333333335</v>
      </c>
    </row>
    <row r="55" spans="2:15" x14ac:dyDescent="0.2">
      <c r="B55" s="1">
        <v>12.177066</v>
      </c>
      <c r="C55">
        <v>6.4708333333333332</v>
      </c>
      <c r="E55" s="1">
        <v>4.2585660000000001</v>
      </c>
      <c r="G55" s="1">
        <v>1.654598</v>
      </c>
      <c r="I55" s="1">
        <v>0.76783999999999997</v>
      </c>
      <c r="J55">
        <v>58.996541666666666</v>
      </c>
      <c r="L55" s="1">
        <v>0.23958599999999999</v>
      </c>
      <c r="N55" s="1">
        <v>0.43874200000000002</v>
      </c>
      <c r="O55">
        <v>592.32443750000004</v>
      </c>
    </row>
    <row r="56" spans="2:15" x14ac:dyDescent="0.2">
      <c r="B56" s="1">
        <v>12.024946</v>
      </c>
      <c r="C56">
        <v>6.4944791666666664</v>
      </c>
      <c r="E56" s="1">
        <v>4.1570650000000002</v>
      </c>
      <c r="G56" s="1">
        <v>1.833618</v>
      </c>
      <c r="I56" s="1">
        <v>0.77254800000000001</v>
      </c>
      <c r="J56">
        <v>58.863229166666663</v>
      </c>
      <c r="N56" s="1">
        <v>0.35209499999999999</v>
      </c>
      <c r="O56">
        <v>588.31079166666666</v>
      </c>
    </row>
    <row r="57" spans="2:15" x14ac:dyDescent="0.2">
      <c r="B57" s="1">
        <v>12.06621</v>
      </c>
      <c r="C57">
        <v>6.4825416666666671</v>
      </c>
      <c r="E57" s="1">
        <v>4.2761930000000001</v>
      </c>
      <c r="G57" s="1">
        <v>1.9995890000000001</v>
      </c>
      <c r="I57" s="1">
        <v>0.75479799999999997</v>
      </c>
      <c r="J57">
        <v>58.899416666666667</v>
      </c>
      <c r="N57" s="1">
        <v>0.13941600000000001</v>
      </c>
      <c r="O57">
        <v>592.32535416666667</v>
      </c>
    </row>
    <row r="58" spans="2:15" x14ac:dyDescent="0.2">
      <c r="B58" s="1">
        <v>12.12547</v>
      </c>
      <c r="C58">
        <v>6.4803958333333336</v>
      </c>
      <c r="E58" s="1">
        <v>4.4430620000000003</v>
      </c>
      <c r="G58" s="1">
        <v>2.0532620000000001</v>
      </c>
      <c r="I58" s="1">
        <v>0.71317200000000003</v>
      </c>
      <c r="J58">
        <v>58.86022916666667</v>
      </c>
      <c r="N58" s="1">
        <v>0.22548299999999999</v>
      </c>
      <c r="O58">
        <v>591.63733333333334</v>
      </c>
    </row>
    <row r="59" spans="2:15" x14ac:dyDescent="0.2">
      <c r="B59" s="1">
        <v>12.261092</v>
      </c>
      <c r="C59">
        <v>6.4861250000000004</v>
      </c>
      <c r="E59" s="1">
        <v>3.9529350000000001</v>
      </c>
      <c r="G59" s="1">
        <v>1.8284050000000001</v>
      </c>
      <c r="I59" s="1">
        <v>0.79145399999999999</v>
      </c>
      <c r="J59">
        <v>58.845458333333333</v>
      </c>
      <c r="N59" s="1">
        <v>0.22783999999999999</v>
      </c>
      <c r="O59">
        <v>587.77885416666663</v>
      </c>
    </row>
    <row r="60" spans="2:15" x14ac:dyDescent="0.2">
      <c r="B60" s="1">
        <v>12.687580000000001</v>
      </c>
      <c r="C60">
        <v>6.4757708333333337</v>
      </c>
      <c r="E60" s="1">
        <v>5.1363820000000002</v>
      </c>
      <c r="G60" s="1">
        <v>2.0157129999999999</v>
      </c>
      <c r="I60" s="1">
        <v>0.80620099999999995</v>
      </c>
      <c r="J60">
        <v>58.770833333333336</v>
      </c>
      <c r="N60" s="1">
        <v>0.29816700000000002</v>
      </c>
      <c r="O60">
        <v>591.77154166666662</v>
      </c>
    </row>
    <row r="61" spans="2:15" x14ac:dyDescent="0.2">
      <c r="B61" s="1">
        <v>12.324035</v>
      </c>
      <c r="C61">
        <v>6.5054375000000002</v>
      </c>
      <c r="G61" s="1">
        <v>2.3605010000000002</v>
      </c>
      <c r="I61" s="1">
        <v>0.74233499999999997</v>
      </c>
      <c r="J61">
        <v>58.893124999999998</v>
      </c>
      <c r="N61" s="1">
        <v>0.27487600000000001</v>
      </c>
    </row>
    <row r="62" spans="2:15" x14ac:dyDescent="0.2">
      <c r="B62" s="1">
        <v>12.541784</v>
      </c>
      <c r="C62">
        <v>6.4876666666666667</v>
      </c>
      <c r="G62" s="1">
        <v>2.5150489999999999</v>
      </c>
      <c r="I62" s="1">
        <v>0.73819400000000002</v>
      </c>
      <c r="J62">
        <v>59.107458333333334</v>
      </c>
      <c r="N62" s="1">
        <v>0.25692199999999998</v>
      </c>
    </row>
    <row r="63" spans="2:15" x14ac:dyDescent="0.2">
      <c r="B63" s="1">
        <v>12.563646</v>
      </c>
      <c r="C63">
        <v>6.5082083333333332</v>
      </c>
      <c r="I63" s="1">
        <v>0.76533399999999996</v>
      </c>
      <c r="J63">
        <v>58.846062500000002</v>
      </c>
      <c r="N63" s="1">
        <v>0.35012599999999999</v>
      </c>
    </row>
    <row r="64" spans="2:15" x14ac:dyDescent="0.2">
      <c r="B64" s="1">
        <v>13.213093000000001</v>
      </c>
      <c r="C64">
        <v>6.4983333333333331</v>
      </c>
      <c r="I64" s="1">
        <v>0.76037699999999997</v>
      </c>
      <c r="J64">
        <v>59.066458333333337</v>
      </c>
      <c r="N64" s="1">
        <v>0.32319100000000001</v>
      </c>
    </row>
    <row r="65" spans="2:14" x14ac:dyDescent="0.2">
      <c r="B65" s="1">
        <v>12.418562</v>
      </c>
      <c r="C65">
        <v>6.472854166666667</v>
      </c>
      <c r="I65" s="1"/>
      <c r="J65">
        <v>59.095999999999997</v>
      </c>
      <c r="N65" s="1">
        <v>0.30657800000000002</v>
      </c>
    </row>
    <row r="66" spans="2:14" x14ac:dyDescent="0.2">
      <c r="B66" s="1">
        <v>11.701319</v>
      </c>
      <c r="C66">
        <v>6.4624791666666663</v>
      </c>
      <c r="D66">
        <f>1/48000000</f>
        <v>2.0833333333333335E-8</v>
      </c>
      <c r="I66" s="1"/>
      <c r="J66">
        <v>58.954625</v>
      </c>
      <c r="N66" s="1">
        <v>0.28466000000000002</v>
      </c>
    </row>
    <row r="67" spans="2:14" x14ac:dyDescent="0.2">
      <c r="B67" s="1"/>
      <c r="C67">
        <v>6.4928749999999997</v>
      </c>
      <c r="I67" s="1"/>
      <c r="J67">
        <v>58.902770833333335</v>
      </c>
      <c r="N67" s="1">
        <v>0.245752</v>
      </c>
    </row>
    <row r="68" spans="2:14" x14ac:dyDescent="0.2">
      <c r="B68" s="1"/>
      <c r="C68">
        <v>6.4943958333333329</v>
      </c>
      <c r="I68" s="1"/>
      <c r="J68">
        <v>59.002187499999998</v>
      </c>
      <c r="N68" s="1">
        <v>0.201294</v>
      </c>
    </row>
    <row r="69" spans="2:14" x14ac:dyDescent="0.2">
      <c r="B69" s="1"/>
      <c r="C69">
        <v>6.4952708333333335</v>
      </c>
      <c r="I69" s="1"/>
      <c r="J69">
        <v>58.716749999999998</v>
      </c>
      <c r="N69" s="1">
        <v>0.26434999999999997</v>
      </c>
    </row>
    <row r="70" spans="2:14" x14ac:dyDescent="0.2">
      <c r="B70" s="1"/>
      <c r="C70">
        <v>6.4756875000000003</v>
      </c>
      <c r="I70" s="1"/>
      <c r="J70">
        <v>58.795791666666666</v>
      </c>
      <c r="N70" s="1">
        <v>0.24294299999999999</v>
      </c>
    </row>
    <row r="71" spans="2:14" x14ac:dyDescent="0.2">
      <c r="B71" s="1"/>
      <c r="C71">
        <v>6.4692916666666669</v>
      </c>
      <c r="I71" s="1"/>
      <c r="J71">
        <v>58.910958333333333</v>
      </c>
      <c r="N71" s="1">
        <v>0.26957900000000001</v>
      </c>
    </row>
    <row r="72" spans="2:14" x14ac:dyDescent="0.2">
      <c r="B72" s="1"/>
      <c r="C72">
        <v>6.4851666666666663</v>
      </c>
      <c r="I72" s="1"/>
      <c r="J72">
        <v>58.89960416666667</v>
      </c>
      <c r="N72" s="1">
        <v>0.23610200000000001</v>
      </c>
    </row>
    <row r="73" spans="2:14" x14ac:dyDescent="0.2">
      <c r="B73" s="1"/>
      <c r="C73">
        <v>6.4533958333333334</v>
      </c>
      <c r="I73" s="1"/>
      <c r="J73">
        <v>58.8701875</v>
      </c>
      <c r="N73" s="1">
        <v>0.264596</v>
      </c>
    </row>
    <row r="74" spans="2:14" x14ac:dyDescent="0.2">
      <c r="B74" s="1"/>
      <c r="C74">
        <v>6.4758541666666662</v>
      </c>
      <c r="I74" s="1"/>
      <c r="J74">
        <v>58.90808333333333</v>
      </c>
      <c r="N74" s="1">
        <v>0.207367</v>
      </c>
    </row>
    <row r="75" spans="2:14" x14ac:dyDescent="0.2">
      <c r="B75" s="1"/>
      <c r="C75">
        <v>6.4831874999999997</v>
      </c>
      <c r="I75" s="1"/>
      <c r="J75">
        <v>58.910770833333331</v>
      </c>
      <c r="N75" s="1">
        <v>0.26095200000000002</v>
      </c>
    </row>
    <row r="76" spans="2:14" x14ac:dyDescent="0.2">
      <c r="B76" s="1"/>
      <c r="C76">
        <v>6.5105416666666667</v>
      </c>
      <c r="I76" s="1"/>
      <c r="J76">
        <v>58.722875000000002</v>
      </c>
      <c r="N76" s="1">
        <v>0.18316499999999999</v>
      </c>
    </row>
    <row r="77" spans="2:14" x14ac:dyDescent="0.2">
      <c r="B77" s="1"/>
      <c r="C77">
        <v>6.4683333333333337</v>
      </c>
      <c r="I77" s="1"/>
      <c r="J77">
        <v>58.893833333333333</v>
      </c>
      <c r="N77" s="1">
        <v>0.28160400000000002</v>
      </c>
    </row>
    <row r="78" spans="2:14" x14ac:dyDescent="0.2">
      <c r="B78" s="1"/>
      <c r="C78">
        <v>6.4886875000000002</v>
      </c>
      <c r="I78" s="1"/>
      <c r="J78">
        <v>58.928437500000001</v>
      </c>
      <c r="N78" s="1">
        <v>0.33685599999999999</v>
      </c>
    </row>
    <row r="79" spans="2:14" x14ac:dyDescent="0.2">
      <c r="B79" s="1"/>
      <c r="C79">
        <v>6.5683333333333334</v>
      </c>
      <c r="I79" s="1"/>
      <c r="J79">
        <v>58.849458333333331</v>
      </c>
      <c r="N79" s="1">
        <v>0.36681000000000002</v>
      </c>
    </row>
    <row r="80" spans="2:14" x14ac:dyDescent="0.2">
      <c r="B80" s="1"/>
      <c r="C80">
        <v>6.4658541666666665</v>
      </c>
      <c r="I80" s="1"/>
      <c r="J80">
        <v>58.929937500000001</v>
      </c>
      <c r="N80" s="1">
        <v>0.24557300000000001</v>
      </c>
    </row>
    <row r="81" spans="2:14" x14ac:dyDescent="0.2">
      <c r="B81" s="1"/>
      <c r="I81" s="1"/>
      <c r="N81" s="1">
        <v>0.23909</v>
      </c>
    </row>
    <row r="82" spans="2:14" x14ac:dyDescent="0.2">
      <c r="B82" s="1"/>
      <c r="I82" s="1"/>
      <c r="N82" s="1">
        <v>0.39836100000000002</v>
      </c>
    </row>
    <row r="83" spans="2:14" x14ac:dyDescent="0.2">
      <c r="B83" s="1"/>
      <c r="I83" s="1"/>
      <c r="N83" s="1">
        <v>0.43415799999999999</v>
      </c>
    </row>
    <row r="84" spans="2:14" x14ac:dyDescent="0.2">
      <c r="B84" s="1"/>
      <c r="I84" s="1"/>
      <c r="N84" s="1">
        <v>0.25753599999999999</v>
      </c>
    </row>
    <row r="85" spans="2:14" x14ac:dyDescent="0.2">
      <c r="B85" s="1"/>
      <c r="I85" s="1"/>
      <c r="N85" s="1">
        <v>0.33022600000000002</v>
      </c>
    </row>
    <row r="86" spans="2:14" x14ac:dyDescent="0.2">
      <c r="B86" s="1"/>
      <c r="I86" s="1"/>
      <c r="N86" s="1">
        <v>0.322023</v>
      </c>
    </row>
    <row r="87" spans="2:14" x14ac:dyDescent="0.2">
      <c r="B87" s="1"/>
      <c r="I87" s="1"/>
      <c r="N87" s="1">
        <v>0.24754999999999999</v>
      </c>
    </row>
    <row r="88" spans="2:14" x14ac:dyDescent="0.2">
      <c r="B88" s="1"/>
      <c r="I88" s="1"/>
      <c r="N88" s="1">
        <v>0.30285899999999999</v>
      </c>
    </row>
    <row r="89" spans="2:14" x14ac:dyDescent="0.2">
      <c r="I89" s="1"/>
      <c r="N89" s="1">
        <v>0.296684</v>
      </c>
    </row>
    <row r="90" spans="2:14" x14ac:dyDescent="0.2">
      <c r="I90" s="1"/>
      <c r="N90" s="1">
        <v>0.30898900000000001</v>
      </c>
    </row>
    <row r="91" spans="2:14" x14ac:dyDescent="0.2">
      <c r="I91" s="1"/>
      <c r="N91" s="1">
        <v>0.20483499999999999</v>
      </c>
    </row>
    <row r="92" spans="2:14" x14ac:dyDescent="0.2">
      <c r="I92" s="1"/>
      <c r="N92" s="1">
        <v>0.28159000000000001</v>
      </c>
    </row>
    <row r="93" spans="2:14" x14ac:dyDescent="0.2">
      <c r="I93" s="1"/>
      <c r="N93" s="1">
        <v>0.38935599999999998</v>
      </c>
    </row>
    <row r="94" spans="2:14" x14ac:dyDescent="0.2">
      <c r="I94" s="1"/>
      <c r="N94" s="1">
        <v>0.39450499999999999</v>
      </c>
    </row>
    <row r="95" spans="2:14" x14ac:dyDescent="0.2">
      <c r="I95" s="1"/>
      <c r="N95" s="1">
        <v>0.27985599999999999</v>
      </c>
    </row>
    <row r="96" spans="2:14" x14ac:dyDescent="0.2">
      <c r="I96" s="1"/>
      <c r="N96" s="1">
        <v>0.27862700000000001</v>
      </c>
    </row>
    <row r="97" spans="9:14" x14ac:dyDescent="0.2">
      <c r="I97" s="1"/>
      <c r="N97" s="1">
        <v>0.272756</v>
      </c>
    </row>
    <row r="98" spans="9:14" x14ac:dyDescent="0.2">
      <c r="I98" s="1"/>
      <c r="N98" s="1">
        <v>0.29886200000000002</v>
      </c>
    </row>
    <row r="99" spans="9:14" x14ac:dyDescent="0.2">
      <c r="I99" s="1"/>
      <c r="N99" s="1">
        <v>0.19026699999999999</v>
      </c>
    </row>
    <row r="100" spans="9:14" x14ac:dyDescent="0.2">
      <c r="I100" s="1"/>
      <c r="N100" s="1">
        <v>0.39205699999999999</v>
      </c>
    </row>
    <row r="101" spans="9:14" x14ac:dyDescent="0.2">
      <c r="I101" s="1"/>
    </row>
    <row r="102" spans="9:14" x14ac:dyDescent="0.2">
      <c r="I102" s="1"/>
    </row>
    <row r="103" spans="9:14" x14ac:dyDescent="0.2">
      <c r="I103" s="1"/>
    </row>
    <row r="104" spans="9:14" x14ac:dyDescent="0.2">
      <c r="I104" s="1"/>
    </row>
    <row r="105" spans="9:14" x14ac:dyDescent="0.2">
      <c r="I105" s="1"/>
    </row>
    <row r="106" spans="9:14" x14ac:dyDescent="0.2">
      <c r="I106" s="1"/>
    </row>
    <row r="107" spans="9:14" x14ac:dyDescent="0.2">
      <c r="I107" s="1"/>
    </row>
    <row r="108" spans="9:14" x14ac:dyDescent="0.2">
      <c r="I108" s="1"/>
    </row>
    <row r="109" spans="9:14" x14ac:dyDescent="0.2">
      <c r="I109" s="1"/>
    </row>
    <row r="110" spans="9:14" x14ac:dyDescent="0.2">
      <c r="I110" s="1"/>
    </row>
    <row r="111" spans="9:14" x14ac:dyDescent="0.2">
      <c r="I111" s="1"/>
    </row>
    <row r="112" spans="9:14" x14ac:dyDescent="0.2">
      <c r="I112" s="1"/>
    </row>
    <row r="113" spans="9:9" x14ac:dyDescent="0.2">
      <c r="I113" s="1"/>
    </row>
    <row r="114" spans="9:9" x14ac:dyDescent="0.2">
      <c r="I114" s="1"/>
    </row>
    <row r="115" spans="9:9" x14ac:dyDescent="0.2">
      <c r="I115" s="1"/>
    </row>
    <row r="116" spans="9:9" x14ac:dyDescent="0.2">
      <c r="I116" s="1"/>
    </row>
    <row r="117" spans="9:9" x14ac:dyDescent="0.2">
      <c r="I117" s="1"/>
    </row>
    <row r="118" spans="9:9" x14ac:dyDescent="0.2">
      <c r="I118" s="1"/>
    </row>
    <row r="119" spans="9:9" x14ac:dyDescent="0.2">
      <c r="I119" s="1"/>
    </row>
    <row r="120" spans="9:9" x14ac:dyDescent="0.2">
      <c r="I120" s="1"/>
    </row>
    <row r="121" spans="9:9" x14ac:dyDescent="0.2">
      <c r="I121" s="1"/>
    </row>
    <row r="122" spans="9:9" x14ac:dyDescent="0.2">
      <c r="I122" s="1"/>
    </row>
    <row r="123" spans="9:9" x14ac:dyDescent="0.2">
      <c r="I123" s="1"/>
    </row>
    <row r="124" spans="9:9" x14ac:dyDescent="0.2">
      <c r="I124" s="1"/>
    </row>
    <row r="125" spans="9:9" x14ac:dyDescent="0.2">
      <c r="I125" s="1"/>
    </row>
    <row r="126" spans="9:9" x14ac:dyDescent="0.2">
      <c r="I126" s="1"/>
    </row>
    <row r="127" spans="9:9" x14ac:dyDescent="0.2">
      <c r="I127" s="1"/>
    </row>
    <row r="128" spans="9:9" x14ac:dyDescent="0.2">
      <c r="I128" s="1"/>
    </row>
    <row r="129" spans="9:9" x14ac:dyDescent="0.2">
      <c r="I129" s="1"/>
    </row>
    <row r="130" spans="9:9" x14ac:dyDescent="0.2">
      <c r="I130" s="1"/>
    </row>
    <row r="131" spans="9:9" x14ac:dyDescent="0.2">
      <c r="I131" s="1"/>
    </row>
    <row r="132" spans="9:9" x14ac:dyDescent="0.2">
      <c r="I132" s="1"/>
    </row>
    <row r="133" spans="9:9" x14ac:dyDescent="0.2">
      <c r="I133" s="1"/>
    </row>
    <row r="134" spans="9:9" x14ac:dyDescent="0.2">
      <c r="I134" s="1"/>
    </row>
    <row r="135" spans="9:9" x14ac:dyDescent="0.2">
      <c r="I135" s="1"/>
    </row>
    <row r="136" spans="9:9" x14ac:dyDescent="0.2">
      <c r="I136" s="1"/>
    </row>
    <row r="137" spans="9:9" x14ac:dyDescent="0.2">
      <c r="I137" s="1"/>
    </row>
    <row r="138" spans="9:9" x14ac:dyDescent="0.2">
      <c r="I138" s="1"/>
    </row>
    <row r="139" spans="9:9" x14ac:dyDescent="0.2">
      <c r="I139" s="1"/>
    </row>
    <row r="140" spans="9:9" x14ac:dyDescent="0.2">
      <c r="I140" s="1"/>
    </row>
    <row r="141" spans="9:9" x14ac:dyDescent="0.2">
      <c r="I141" s="1"/>
    </row>
    <row r="142" spans="9:9" x14ac:dyDescent="0.2">
      <c r="I142" s="1"/>
    </row>
    <row r="143" spans="9:9" x14ac:dyDescent="0.2">
      <c r="I143" s="1"/>
    </row>
    <row r="144" spans="9:9" x14ac:dyDescent="0.2">
      <c r="I144" s="1"/>
    </row>
    <row r="145" spans="9:9" x14ac:dyDescent="0.2">
      <c r="I145" s="1"/>
    </row>
    <row r="146" spans="9:9" x14ac:dyDescent="0.2">
      <c r="I146" s="1"/>
    </row>
    <row r="147" spans="9:9" x14ac:dyDescent="0.2">
      <c r="I147" s="1"/>
    </row>
    <row r="148" spans="9:9" x14ac:dyDescent="0.2">
      <c r="I148" s="1"/>
    </row>
    <row r="149" spans="9:9" x14ac:dyDescent="0.2">
      <c r="I149" s="1"/>
    </row>
    <row r="150" spans="9:9" x14ac:dyDescent="0.2">
      <c r="I150" s="1"/>
    </row>
    <row r="151" spans="9:9" x14ac:dyDescent="0.2">
      <c r="I151" s="1"/>
    </row>
    <row r="152" spans="9:9" x14ac:dyDescent="0.2">
      <c r="I152" s="1"/>
    </row>
    <row r="153" spans="9:9" x14ac:dyDescent="0.2">
      <c r="I153" s="1"/>
    </row>
    <row r="154" spans="9:9" x14ac:dyDescent="0.2">
      <c r="I154" s="1"/>
    </row>
    <row r="155" spans="9:9" x14ac:dyDescent="0.2">
      <c r="I155" s="1"/>
    </row>
    <row r="156" spans="9:9" x14ac:dyDescent="0.2">
      <c r="I156" s="1"/>
    </row>
    <row r="157" spans="9:9" x14ac:dyDescent="0.2">
      <c r="I157" s="1"/>
    </row>
    <row r="158" spans="9:9" x14ac:dyDescent="0.2">
      <c r="I158" s="1"/>
    </row>
    <row r="159" spans="9:9" x14ac:dyDescent="0.2">
      <c r="I159" s="1"/>
    </row>
    <row r="160" spans="9:9" x14ac:dyDescent="0.2">
      <c r="I160" s="1"/>
    </row>
    <row r="161" spans="9:9" x14ac:dyDescent="0.2">
      <c r="I161" s="1"/>
    </row>
    <row r="162" spans="9:9" x14ac:dyDescent="0.2">
      <c r="I162" s="1"/>
    </row>
    <row r="163" spans="9:9" x14ac:dyDescent="0.2">
      <c r="I163" s="1"/>
    </row>
    <row r="164" spans="9:9" x14ac:dyDescent="0.2">
      <c r="I164" s="1"/>
    </row>
    <row r="165" spans="9:9" x14ac:dyDescent="0.2">
      <c r="I165" s="1"/>
    </row>
    <row r="166" spans="9:9" x14ac:dyDescent="0.2">
      <c r="I166" s="1"/>
    </row>
    <row r="167" spans="9:9" x14ac:dyDescent="0.2">
      <c r="I167" s="1"/>
    </row>
    <row r="168" spans="9:9" x14ac:dyDescent="0.2">
      <c r="I168" s="1"/>
    </row>
    <row r="169" spans="9:9" x14ac:dyDescent="0.2">
      <c r="I169" s="1"/>
    </row>
    <row r="170" spans="9:9" x14ac:dyDescent="0.2">
      <c r="I170" s="1"/>
    </row>
    <row r="171" spans="9:9" x14ac:dyDescent="0.2">
      <c r="I171" s="1"/>
    </row>
    <row r="172" spans="9:9" x14ac:dyDescent="0.2">
      <c r="I172" s="1"/>
    </row>
    <row r="173" spans="9:9" x14ac:dyDescent="0.2">
      <c r="I173" s="1"/>
    </row>
    <row r="174" spans="9:9" x14ac:dyDescent="0.2">
      <c r="I174" s="1"/>
    </row>
    <row r="175" spans="9:9" x14ac:dyDescent="0.2">
      <c r="I175" s="1"/>
    </row>
    <row r="176" spans="9:9" x14ac:dyDescent="0.2">
      <c r="I176" s="1"/>
    </row>
    <row r="177" spans="9:9" x14ac:dyDescent="0.2">
      <c r="I177" s="1"/>
    </row>
    <row r="178" spans="9:9" x14ac:dyDescent="0.2">
      <c r="I178" s="1"/>
    </row>
    <row r="179" spans="9:9" x14ac:dyDescent="0.2">
      <c r="I179" s="1"/>
    </row>
    <row r="180" spans="9:9" x14ac:dyDescent="0.2">
      <c r="I180" s="1"/>
    </row>
    <row r="181" spans="9:9" x14ac:dyDescent="0.2">
      <c r="I181" s="1"/>
    </row>
    <row r="182" spans="9:9" x14ac:dyDescent="0.2">
      <c r="I182" s="1"/>
    </row>
    <row r="183" spans="9:9" x14ac:dyDescent="0.2">
      <c r="I183" s="1"/>
    </row>
    <row r="184" spans="9:9" x14ac:dyDescent="0.2">
      <c r="I184" s="1"/>
    </row>
    <row r="185" spans="9:9" x14ac:dyDescent="0.2">
      <c r="I185" s="1"/>
    </row>
    <row r="186" spans="9:9" x14ac:dyDescent="0.2">
      <c r="I186" s="1"/>
    </row>
    <row r="187" spans="9:9" x14ac:dyDescent="0.2">
      <c r="I187" s="1"/>
    </row>
    <row r="188" spans="9:9" x14ac:dyDescent="0.2">
      <c r="I188" s="1"/>
    </row>
    <row r="189" spans="9:9" x14ac:dyDescent="0.2">
      <c r="I189" s="1"/>
    </row>
    <row r="190" spans="9:9" x14ac:dyDescent="0.2">
      <c r="I19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3"/>
  <sheetViews>
    <sheetView workbookViewId="0">
      <selection activeCell="X1" sqref="X1:X1048576"/>
    </sheetView>
  </sheetViews>
  <sheetFormatPr baseColWidth="10" defaultRowHeight="16" x14ac:dyDescent="0.2"/>
  <sheetData>
    <row r="1" spans="1:27" x14ac:dyDescent="0.2">
      <c r="A1" t="s">
        <v>0</v>
      </c>
      <c r="B1" t="s">
        <v>1</v>
      </c>
      <c r="C1" t="s">
        <v>3</v>
      </c>
      <c r="D1" t="s">
        <v>4</v>
      </c>
      <c r="E1" t="s">
        <v>1</v>
      </c>
      <c r="F1" t="s">
        <v>3</v>
      </c>
      <c r="G1" t="s">
        <v>0</v>
      </c>
      <c r="H1" t="s">
        <v>1</v>
      </c>
      <c r="I1" t="s">
        <v>3</v>
      </c>
      <c r="J1" t="s">
        <v>0</v>
      </c>
      <c r="K1" t="s">
        <v>1</v>
      </c>
      <c r="L1" t="s">
        <v>3</v>
      </c>
      <c r="M1" t="s">
        <v>0</v>
      </c>
      <c r="N1" t="s">
        <v>1</v>
      </c>
      <c r="O1" t="s">
        <v>3</v>
      </c>
      <c r="P1" t="s">
        <v>0</v>
      </c>
      <c r="Q1" t="s">
        <v>1</v>
      </c>
      <c r="R1" t="s">
        <v>2</v>
      </c>
      <c r="S1" t="s">
        <v>0</v>
      </c>
      <c r="T1" t="s">
        <v>1</v>
      </c>
      <c r="U1" t="s">
        <v>2</v>
      </c>
      <c r="V1" t="s">
        <v>0</v>
      </c>
      <c r="W1" t="s">
        <v>1</v>
      </c>
      <c r="X1" t="s">
        <v>3</v>
      </c>
      <c r="Y1" t="s">
        <v>0</v>
      </c>
      <c r="Z1" t="s">
        <v>1</v>
      </c>
      <c r="AA1" t="s">
        <v>3</v>
      </c>
    </row>
    <row r="2" spans="1:27" x14ac:dyDescent="0.2">
      <c r="A2">
        <v>989.3</v>
      </c>
      <c r="B2" s="1">
        <v>12.912933000000001</v>
      </c>
      <c r="C2">
        <f>169061000*(1/48000000)</f>
        <v>3.5221041666666668</v>
      </c>
      <c r="D2">
        <v>1964.5</v>
      </c>
      <c r="E2" s="1">
        <v>7.5041370000000001</v>
      </c>
      <c r="F2">
        <f>319229000*(1/48000000)</f>
        <v>6.6506041666666667</v>
      </c>
      <c r="G2" s="1">
        <v>5059</v>
      </c>
      <c r="H2" s="1">
        <v>2.5375589999999999</v>
      </c>
      <c r="I2">
        <f>780245000*(1/48000000)</f>
        <v>16.255104166666669</v>
      </c>
      <c r="J2" s="1">
        <v>8081</v>
      </c>
      <c r="K2" s="1">
        <v>1.446275</v>
      </c>
      <c r="L2">
        <f>1244657000*(1/48000000)</f>
        <v>25.930354166666667</v>
      </c>
      <c r="M2" s="1">
        <v>9878</v>
      </c>
      <c r="N2" s="1">
        <v>0.70822499999999999</v>
      </c>
      <c r="O2">
        <f>1548994000*(1/48000000)</f>
        <v>32.270708333333339</v>
      </c>
      <c r="P2" s="1">
        <v>19786</v>
      </c>
      <c r="Q2" s="1">
        <v>0.25645899999999999</v>
      </c>
      <c r="R2" s="1">
        <f>ABS(Q2)</f>
        <v>0.25645899999999999</v>
      </c>
      <c r="S2">
        <v>50382</v>
      </c>
      <c r="T2" s="1">
        <v>0.46413199999999999</v>
      </c>
      <c r="U2">
        <f>ABS(T2)</f>
        <v>0.46413199999999999</v>
      </c>
      <c r="V2" s="1">
        <v>80445</v>
      </c>
      <c r="W2" s="1">
        <v>0.18124399999999999</v>
      </c>
      <c r="X2">
        <f>12277472000*(1/48000000)</f>
        <v>255.78066666666669</v>
      </c>
      <c r="Y2" s="1">
        <v>99668</v>
      </c>
      <c r="Z2" s="1">
        <v>0.116497</v>
      </c>
      <c r="AA2">
        <f>15183720000*(1/48000000)</f>
        <v>316.32750000000004</v>
      </c>
    </row>
    <row r="3" spans="1:27" x14ac:dyDescent="0.2">
      <c r="B3" s="1">
        <v>13.290155</v>
      </c>
      <c r="C3">
        <f>168781000*(1/48000000)</f>
        <v>3.5162708333333335</v>
      </c>
      <c r="E3" s="1">
        <v>7.5041370000000001</v>
      </c>
      <c r="F3">
        <f>320846000*(1/48000000)</f>
        <v>6.6842916666666667</v>
      </c>
      <c r="H3" s="1">
        <v>2.1694079999999998</v>
      </c>
      <c r="I3">
        <f>782846000*(1/48000000)</f>
        <v>16.309291666666667</v>
      </c>
      <c r="K3" s="1">
        <v>1.391629</v>
      </c>
      <c r="L3">
        <f>1241290000*(1/48000000)</f>
        <v>25.860208333333336</v>
      </c>
      <c r="N3" s="1">
        <v>0.67313299999999998</v>
      </c>
      <c r="O3">
        <f>1536288000*(1/48000000)</f>
        <v>32.006</v>
      </c>
      <c r="Q3" s="1">
        <v>0.45306600000000002</v>
      </c>
      <c r="R3" s="1">
        <f t="shared" ref="R3:R53" si="0">ABS(Q3)</f>
        <v>0.45306600000000002</v>
      </c>
      <c r="T3" s="1">
        <v>0.345468</v>
      </c>
      <c r="U3">
        <f t="shared" ref="U3:U51" si="1">ABS(T3)</f>
        <v>0.345468</v>
      </c>
      <c r="W3" s="1">
        <v>0.29220499999999999</v>
      </c>
      <c r="X3">
        <f>12275704000*(1/48000000)</f>
        <v>255.74383333333336</v>
      </c>
      <c r="Z3" s="1">
        <v>7.3669999999999999E-2</v>
      </c>
      <c r="AA3">
        <f>15156041000*(1/48000000)</f>
        <v>315.75085416666667</v>
      </c>
    </row>
    <row r="4" spans="1:27" x14ac:dyDescent="0.2">
      <c r="B4" s="1">
        <v>12.844507</v>
      </c>
      <c r="C4">
        <f>169543000*(1/48000000)</f>
        <v>3.5321458333333338</v>
      </c>
      <c r="E4" s="1">
        <v>7.0557020000000001</v>
      </c>
      <c r="F4">
        <f>321872000*(1/48000000)</f>
        <v>6.7056666666666667</v>
      </c>
      <c r="H4" s="1">
        <v>2.4466290000000002</v>
      </c>
      <c r="I4">
        <f>783026000*(1/48000000)</f>
        <v>16.313041666666667</v>
      </c>
      <c r="K4" s="1">
        <v>1.1577569999999999</v>
      </c>
      <c r="L4">
        <f>1237974000*(1/48000000)</f>
        <v>25.791125000000001</v>
      </c>
      <c r="N4" s="1">
        <v>0.52499099999999999</v>
      </c>
      <c r="O4">
        <f>1532061000*(1/48000000)</f>
        <v>31.917937500000001</v>
      </c>
      <c r="Q4" s="1">
        <v>0.66623399999999999</v>
      </c>
      <c r="R4" s="1">
        <f t="shared" si="0"/>
        <v>0.66623399999999999</v>
      </c>
      <c r="T4" s="1">
        <v>-0.30335600000000001</v>
      </c>
      <c r="U4">
        <f t="shared" si="1"/>
        <v>0.30335600000000001</v>
      </c>
      <c r="W4" s="1">
        <v>0.106129</v>
      </c>
      <c r="X4">
        <f>12288370000*(1/48000000)</f>
        <v>256.00770833333337</v>
      </c>
      <c r="Z4" s="1">
        <v>0.15937899999999999</v>
      </c>
      <c r="AA4">
        <f>15163346000*(1/48000000)</f>
        <v>315.9030416666667</v>
      </c>
    </row>
    <row r="5" spans="1:27" x14ac:dyDescent="0.2">
      <c r="B5" s="1">
        <v>13.713773</v>
      </c>
      <c r="C5">
        <f>168616000*(1/48000000)</f>
        <v>3.5128333333333335</v>
      </c>
      <c r="E5" s="1">
        <v>7.6351680000000002</v>
      </c>
      <c r="F5">
        <f>319906000*(1/48000000)</f>
        <v>6.6647083333333335</v>
      </c>
      <c r="H5" s="1">
        <v>2.3549570000000002</v>
      </c>
      <c r="I5">
        <f>779414000*(1/48000000)</f>
        <v>16.237791666666666</v>
      </c>
      <c r="K5" s="1">
        <v>1.008453</v>
      </c>
      <c r="L5">
        <f>1245083000*(1/48000000)</f>
        <v>25.939229166666667</v>
      </c>
      <c r="N5" s="1">
        <v>0.72367899999999996</v>
      </c>
      <c r="O5">
        <f>1529070000*(1/48000000)</f>
        <v>31.855625000000003</v>
      </c>
      <c r="Q5" s="1">
        <v>-0.19067100000000001</v>
      </c>
      <c r="R5" s="1">
        <f t="shared" si="0"/>
        <v>0.19067100000000001</v>
      </c>
      <c r="T5" s="1">
        <v>-0.25307800000000003</v>
      </c>
      <c r="U5">
        <f t="shared" si="1"/>
        <v>0.25307800000000003</v>
      </c>
      <c r="W5" s="1">
        <v>0.60384800000000005</v>
      </c>
      <c r="X5">
        <f>12274785000*(1/48000000)</f>
        <v>255.72468750000002</v>
      </c>
      <c r="Z5" s="1">
        <v>0.15869</v>
      </c>
      <c r="AA5">
        <f>15163005000*(1/48000000)</f>
        <v>315.8959375</v>
      </c>
    </row>
    <row r="6" spans="1:27" x14ac:dyDescent="0.2">
      <c r="B6" s="1">
        <v>13.212655</v>
      </c>
      <c r="C6">
        <f>168841000*(1/48000000)</f>
        <v>3.5175208333333337</v>
      </c>
      <c r="E6" s="1">
        <v>7.3917380000000001</v>
      </c>
      <c r="F6">
        <f>320144000*(1/48000000)</f>
        <v>6.6696666666666671</v>
      </c>
      <c r="H6" s="1">
        <v>1.989368</v>
      </c>
      <c r="I6">
        <f>784548000*(1/48000000)</f>
        <v>16.344750000000001</v>
      </c>
      <c r="K6" s="1">
        <v>0.31263400000000002</v>
      </c>
      <c r="L6">
        <f>1243498000*(1/48000000)</f>
        <v>25.906208333333336</v>
      </c>
      <c r="N6" s="1">
        <v>1.366724</v>
      </c>
      <c r="O6">
        <f>1532686000*(1/48000000)</f>
        <v>31.930958333333336</v>
      </c>
      <c r="Q6" s="1">
        <v>-0.10022499999999999</v>
      </c>
      <c r="R6" s="1">
        <f t="shared" si="0"/>
        <v>0.10022499999999999</v>
      </c>
      <c r="T6" s="1">
        <v>0.23672699999999999</v>
      </c>
      <c r="U6">
        <f t="shared" si="1"/>
        <v>0.23672699999999999</v>
      </c>
      <c r="W6" s="1">
        <v>0.26719999999999999</v>
      </c>
      <c r="X6">
        <f>12282361000*(1/48000000)</f>
        <v>255.88252083333336</v>
      </c>
      <c r="Z6" s="1">
        <v>0.73079899999999998</v>
      </c>
      <c r="AA6">
        <f>15192946000*(1/48000000)</f>
        <v>316.51970833333337</v>
      </c>
    </row>
    <row r="7" spans="1:27" x14ac:dyDescent="0.2">
      <c r="B7" s="1">
        <v>12.971621000000001</v>
      </c>
      <c r="C7">
        <f>168266000*(1/48000000)</f>
        <v>3.5055416666666668</v>
      </c>
      <c r="E7" s="1">
        <v>7.5185420000000001</v>
      </c>
      <c r="F7">
        <f>321383000*(1/48000000)</f>
        <v>6.6954791666666669</v>
      </c>
      <c r="H7" s="1">
        <v>2.097016</v>
      </c>
      <c r="I7">
        <f>779894000*(1/48000000)</f>
        <v>16.247791666666668</v>
      </c>
      <c r="K7" s="1">
        <v>0.78264400000000001</v>
      </c>
      <c r="L7">
        <f>1246037000*(1/48000000)</f>
        <v>25.95910416666667</v>
      </c>
      <c r="N7" s="1">
        <v>0.87255700000000003</v>
      </c>
      <c r="O7">
        <f>1530621000*(1/48000000)</f>
        <v>31.887937500000003</v>
      </c>
      <c r="Q7" s="1">
        <v>0.60169700000000004</v>
      </c>
      <c r="R7" s="1">
        <f t="shared" si="0"/>
        <v>0.60169700000000004</v>
      </c>
      <c r="T7" s="1">
        <v>0.475497</v>
      </c>
      <c r="U7">
        <f t="shared" si="1"/>
        <v>0.475497</v>
      </c>
      <c r="W7" s="1">
        <v>0.12515599999999999</v>
      </c>
      <c r="X7">
        <f>12274111000*(1/48000000)</f>
        <v>255.71064583333336</v>
      </c>
      <c r="Z7" s="1">
        <v>0.40312599999999998</v>
      </c>
      <c r="AA7">
        <f>15120662000*(1/48000000)</f>
        <v>315.01379166666669</v>
      </c>
    </row>
    <row r="8" spans="1:27" x14ac:dyDescent="0.2">
      <c r="B8" s="1">
        <v>12.675379</v>
      </c>
      <c r="C8">
        <f>168720000*(1/48000000)</f>
        <v>3.5150000000000001</v>
      </c>
      <c r="E8" s="1">
        <v>7.4933569999999996</v>
      </c>
      <c r="F8">
        <f>319661000*(1/48000000)</f>
        <v>6.659604166666667</v>
      </c>
      <c r="H8" s="1">
        <v>2.193514</v>
      </c>
      <c r="I8">
        <f>781286000*(1/48000000)</f>
        <v>16.276791666666668</v>
      </c>
      <c r="K8" s="1">
        <v>0.71153599999999995</v>
      </c>
      <c r="L8">
        <f>1246476000*(1/48000000)</f>
        <v>25.968250000000001</v>
      </c>
      <c r="N8" s="1">
        <v>1.10148</v>
      </c>
      <c r="O8">
        <f>1525939000*(1/48000000)</f>
        <v>31.790395833333335</v>
      </c>
      <c r="Q8" s="1">
        <v>0.36698999999999998</v>
      </c>
      <c r="R8" s="1">
        <f t="shared" si="0"/>
        <v>0.36698999999999998</v>
      </c>
      <c r="T8" s="1">
        <v>-2.9562999999999999E-2</v>
      </c>
      <c r="U8">
        <f t="shared" si="1"/>
        <v>2.9562999999999999E-2</v>
      </c>
      <c r="W8" s="1">
        <v>0.45710699999999999</v>
      </c>
      <c r="X8">
        <f>12279491000*(1/48000000)</f>
        <v>255.82272916666668</v>
      </c>
      <c r="Z8" s="1">
        <v>0.52826499999999998</v>
      </c>
      <c r="AA8">
        <f>15183836000*(1/48000000)</f>
        <v>316.32991666666669</v>
      </c>
    </row>
    <row r="9" spans="1:27" x14ac:dyDescent="0.2">
      <c r="B9" s="1">
        <v>13.296996999999999</v>
      </c>
      <c r="C9">
        <f>167624000*(1/48000000)</f>
        <v>3.4921666666666669</v>
      </c>
      <c r="E9" s="1">
        <v>7.1442880000000004</v>
      </c>
      <c r="F9">
        <f>320179000*(1/48000000)</f>
        <v>6.670395833333334</v>
      </c>
      <c r="H9" s="1">
        <v>3.0328240000000002</v>
      </c>
      <c r="I9">
        <f>780110000*(1/48000000)</f>
        <v>16.252291666666668</v>
      </c>
      <c r="K9" s="1">
        <v>0.93647199999999997</v>
      </c>
      <c r="L9">
        <f>1238124000*(1/48000000)</f>
        <v>25.794250000000002</v>
      </c>
      <c r="N9" s="1">
        <v>0.92744599999999999</v>
      </c>
      <c r="O9">
        <f>1521444000*(1/48000000)</f>
        <v>31.696750000000002</v>
      </c>
      <c r="Q9" s="1">
        <v>0.265065</v>
      </c>
      <c r="R9" s="1">
        <f t="shared" si="0"/>
        <v>0.265065</v>
      </c>
      <c r="T9" s="1">
        <v>9.7989000000000007E-2</v>
      </c>
      <c r="U9">
        <f t="shared" si="1"/>
        <v>9.7989000000000007E-2</v>
      </c>
      <c r="W9" s="1">
        <v>0.27027000000000001</v>
      </c>
      <c r="X9">
        <f>12270674000*(1/48000000)</f>
        <v>255.63904166666669</v>
      </c>
      <c r="Z9" s="1">
        <v>2.8778999999999999E-2</v>
      </c>
      <c r="AA9">
        <f>15122799000*(1/48000000)</f>
        <v>315.0583125</v>
      </c>
    </row>
    <row r="10" spans="1:27" x14ac:dyDescent="0.2">
      <c r="B10" s="1">
        <v>12.466511000000001</v>
      </c>
      <c r="C10">
        <f>168047000*(1/48000000)</f>
        <v>3.5009791666666668</v>
      </c>
      <c r="E10" s="1">
        <v>6.9255440000000004</v>
      </c>
      <c r="F10">
        <f>320267000*(1/48000000)</f>
        <v>6.6722291666666669</v>
      </c>
      <c r="H10" s="1">
        <v>1.816011</v>
      </c>
      <c r="I10">
        <f>783529000*(1/48000000)</f>
        <v>16.323520833333333</v>
      </c>
      <c r="K10" s="1">
        <v>0.40299699999999999</v>
      </c>
      <c r="L10">
        <f>1242723000*(1/48000000)</f>
        <v>25.890062500000003</v>
      </c>
      <c r="N10" s="1">
        <v>0.800867</v>
      </c>
      <c r="O10">
        <f>1528199000*(1/48000000)</f>
        <v>31.837479166666668</v>
      </c>
      <c r="Q10" s="1">
        <v>0.24981100000000001</v>
      </c>
      <c r="R10" s="1">
        <f t="shared" si="0"/>
        <v>0.24981100000000001</v>
      </c>
      <c r="T10" s="1">
        <v>0.29208499999999998</v>
      </c>
      <c r="U10">
        <f t="shared" si="1"/>
        <v>0.29208499999999998</v>
      </c>
      <c r="W10" s="1">
        <v>0.343752</v>
      </c>
      <c r="X10">
        <f>12213027000*(1/48000000)</f>
        <v>254.43806250000003</v>
      </c>
      <c r="Z10" s="1">
        <v>0.17808099999999999</v>
      </c>
      <c r="AA10">
        <f>15197207000*(1/48000000)</f>
        <v>316.60847916666671</v>
      </c>
    </row>
    <row r="11" spans="1:27" x14ac:dyDescent="0.2">
      <c r="B11" s="1">
        <v>12.388267000000001</v>
      </c>
      <c r="C11">
        <f>169077000*(1/48000000)</f>
        <v>3.5224375000000001</v>
      </c>
      <c r="E11" s="1">
        <v>7.9814689999999997</v>
      </c>
      <c r="F11">
        <f>320251000*(1/48000000)</f>
        <v>6.671895833333334</v>
      </c>
      <c r="H11" s="1">
        <v>2.0215510000000001</v>
      </c>
      <c r="I11">
        <f>780463000*(1/48000000)</f>
        <v>16.259645833333334</v>
      </c>
      <c r="K11" s="1">
        <v>0.889907</v>
      </c>
      <c r="L11">
        <f>1245577000*(1/48000000)</f>
        <v>25.949520833333334</v>
      </c>
      <c r="N11" s="1">
        <v>1.102954</v>
      </c>
      <c r="O11">
        <f>1521389000*(1/48000000)</f>
        <v>31.695604166666669</v>
      </c>
      <c r="Q11" s="1">
        <v>0.293518</v>
      </c>
      <c r="R11" s="1">
        <f t="shared" si="0"/>
        <v>0.293518</v>
      </c>
      <c r="T11" s="1">
        <v>0.33921499999999999</v>
      </c>
      <c r="U11">
        <f t="shared" si="1"/>
        <v>0.33921499999999999</v>
      </c>
      <c r="W11" s="1">
        <v>4.3888999999999997E-2</v>
      </c>
      <c r="X11">
        <f>12265911000*(1/48000000)</f>
        <v>255.53981250000001</v>
      </c>
      <c r="Z11" s="1">
        <v>0.439525</v>
      </c>
      <c r="AA11">
        <f>15197783000*(1/48000000)</f>
        <v>316.62047916666671</v>
      </c>
    </row>
    <row r="12" spans="1:27" x14ac:dyDescent="0.2">
      <c r="B12" s="1">
        <v>12.835626</v>
      </c>
      <c r="C12">
        <f>168254000*(1/48000000)</f>
        <v>3.5052916666666669</v>
      </c>
      <c r="E12" s="1">
        <v>7.1640259999999998</v>
      </c>
      <c r="F12">
        <f>318200000*(1/48000000)</f>
        <v>6.6291666666666673</v>
      </c>
      <c r="H12" s="1">
        <v>1.864144</v>
      </c>
      <c r="I12">
        <f>780088000*(1/48000000)</f>
        <v>16.251833333333334</v>
      </c>
      <c r="K12" s="1">
        <v>0.51188299999999998</v>
      </c>
      <c r="L12">
        <f>1238671000*(1/48000000)</f>
        <v>25.805645833333333</v>
      </c>
      <c r="N12" s="1">
        <v>0.75266299999999997</v>
      </c>
      <c r="O12">
        <f>1526500000*(1/48000000)</f>
        <v>31.802083333333336</v>
      </c>
      <c r="Q12" s="1">
        <v>0.25621500000000003</v>
      </c>
      <c r="R12" s="1">
        <f t="shared" si="0"/>
        <v>0.25621500000000003</v>
      </c>
      <c r="T12" s="1">
        <v>-5.9283000000000002E-2</v>
      </c>
      <c r="U12">
        <f t="shared" si="1"/>
        <v>5.9283000000000002E-2</v>
      </c>
      <c r="W12" s="1">
        <v>0.22237599999999999</v>
      </c>
      <c r="X12">
        <f>12249898000*(1/48000000)</f>
        <v>255.20620833333334</v>
      </c>
      <c r="Z12" s="1">
        <v>0.11366800000000001</v>
      </c>
      <c r="AA12">
        <f>15174869000*(1/48000000)</f>
        <v>316.14310416666666</v>
      </c>
    </row>
    <row r="13" spans="1:27" x14ac:dyDescent="0.2">
      <c r="B13" s="1">
        <v>12.682555000000001</v>
      </c>
      <c r="C13">
        <f>168335000*(1/48000000)</f>
        <v>3.506979166666667</v>
      </c>
      <c r="E13" s="1">
        <v>7.6106420000000004</v>
      </c>
      <c r="F13">
        <f>319724000*(1/48000000)</f>
        <v>6.660916666666667</v>
      </c>
      <c r="H13" s="1">
        <v>1.8372999999999999</v>
      </c>
      <c r="I13">
        <f>781191000*(1/48000000)</f>
        <v>16.274812499999999</v>
      </c>
      <c r="K13" s="1">
        <v>0.83715499999999998</v>
      </c>
      <c r="L13">
        <f>1246043000*(1/48000000)</f>
        <v>25.959229166666667</v>
      </c>
      <c r="N13" s="1">
        <v>1.0376749999999999</v>
      </c>
      <c r="O13">
        <f>1526467000*(1/48000000)</f>
        <v>31.801395833333334</v>
      </c>
      <c r="Q13" s="1">
        <v>-2.1506000000000001E-2</v>
      </c>
      <c r="R13" s="1">
        <f t="shared" si="0"/>
        <v>2.1506000000000001E-2</v>
      </c>
      <c r="T13" s="1">
        <v>-0.178896</v>
      </c>
      <c r="U13">
        <f t="shared" si="1"/>
        <v>0.178896</v>
      </c>
      <c r="W13" s="1">
        <v>0.66264900000000004</v>
      </c>
      <c r="X13">
        <f>12266272000*(1/48000000)</f>
        <v>255.54733333333334</v>
      </c>
      <c r="Z13" s="1">
        <v>7.0462999999999998E-2</v>
      </c>
      <c r="AA13">
        <f>15192561000*(1/48000000)</f>
        <v>316.51168749999999</v>
      </c>
    </row>
    <row r="14" spans="1:27" x14ac:dyDescent="0.2">
      <c r="B14" s="1">
        <v>12.802028999999999</v>
      </c>
      <c r="C14">
        <f>168048000*(1/48000000)</f>
        <v>3.5010000000000003</v>
      </c>
      <c r="E14" s="1">
        <v>6.5488900000000001</v>
      </c>
      <c r="F14">
        <f>321008000*(1/48000000)</f>
        <v>6.6876666666666669</v>
      </c>
      <c r="H14" s="1">
        <v>2.4982730000000002</v>
      </c>
      <c r="I14">
        <f>780610000*(1/48000000)</f>
        <v>16.262708333333336</v>
      </c>
      <c r="K14" s="1">
        <v>0.85520499999999999</v>
      </c>
      <c r="L14">
        <f>1243465000*(1/48000000)</f>
        <v>25.905520833333334</v>
      </c>
      <c r="N14" s="1">
        <v>1.0821540000000001</v>
      </c>
      <c r="O14">
        <f>1523422000*(1/48000000)</f>
        <v>31.737958333333335</v>
      </c>
      <c r="Q14" s="1">
        <v>0.39891700000000002</v>
      </c>
      <c r="R14" s="1">
        <f t="shared" si="0"/>
        <v>0.39891700000000002</v>
      </c>
      <c r="T14" s="1">
        <v>-0.82221100000000003</v>
      </c>
      <c r="U14">
        <f t="shared" si="1"/>
        <v>0.82221100000000003</v>
      </c>
      <c r="W14" s="1">
        <v>0.12783</v>
      </c>
      <c r="X14">
        <f>12280550000*(1/48000000)</f>
        <v>255.84479166666668</v>
      </c>
      <c r="Z14" s="1">
        <v>9.5929E-2</v>
      </c>
      <c r="AA14">
        <f>15202557000*(1/48000000)</f>
        <v>316.71993750000001</v>
      </c>
    </row>
    <row r="15" spans="1:27" x14ac:dyDescent="0.2">
      <c r="B15" s="1">
        <v>13.016137000000001</v>
      </c>
      <c r="C15">
        <f>167657000*(1/48000000)</f>
        <v>3.492854166666667</v>
      </c>
      <c r="E15" s="1">
        <v>6.702191</v>
      </c>
      <c r="F15">
        <f>319282000*(1/48000000)</f>
        <v>6.6517083333333336</v>
      </c>
      <c r="H15" s="1">
        <v>1.2136990000000001</v>
      </c>
      <c r="I15">
        <f>782794000*(1/48000000)</f>
        <v>16.308208333333333</v>
      </c>
      <c r="K15" s="1">
        <v>0.83128199999999997</v>
      </c>
      <c r="L15">
        <f>1241285000*(1/48000000)</f>
        <v>25.86010416666667</v>
      </c>
      <c r="N15" s="1">
        <v>0.96974499999999997</v>
      </c>
      <c r="O15">
        <f>1524965000*(1/48000000)</f>
        <v>31.77010416666667</v>
      </c>
      <c r="Q15" s="1">
        <v>9.5958000000000002E-2</v>
      </c>
      <c r="R15" s="1">
        <f t="shared" si="0"/>
        <v>9.5958000000000002E-2</v>
      </c>
      <c r="T15" s="1">
        <v>-0.12831899999999999</v>
      </c>
      <c r="U15">
        <f t="shared" si="1"/>
        <v>0.12831899999999999</v>
      </c>
      <c r="W15" s="1">
        <v>0.114943</v>
      </c>
      <c r="X15">
        <f>12277557000*(1/48000000)</f>
        <v>255.78243750000001</v>
      </c>
      <c r="Z15" s="1">
        <v>3.857E-2</v>
      </c>
      <c r="AA15">
        <f>15191765000*(1/48000000)</f>
        <v>316.49510416666669</v>
      </c>
    </row>
    <row r="16" spans="1:27" x14ac:dyDescent="0.2">
      <c r="B16" s="1">
        <v>13.136165999999999</v>
      </c>
      <c r="C16">
        <f>168830000*(1/48000000)</f>
        <v>3.5172916666666669</v>
      </c>
      <c r="E16" s="1">
        <v>6.8753739999999999</v>
      </c>
      <c r="F16">
        <f>319260000*(1/48000000)</f>
        <v>6.6512500000000001</v>
      </c>
      <c r="H16" s="1">
        <v>2.2445590000000002</v>
      </c>
      <c r="I16">
        <f>781315000*(1/48000000)</f>
        <v>16.277395833333333</v>
      </c>
      <c r="K16" s="1">
        <v>1.6730100000000001</v>
      </c>
      <c r="L16">
        <f>1246070000*(1/48000000)</f>
        <v>25.959791666666668</v>
      </c>
      <c r="N16" s="1">
        <v>1.0635870000000001</v>
      </c>
      <c r="O16">
        <f>1519096000*(1/48000000)</f>
        <v>31.647833333333335</v>
      </c>
      <c r="Q16" s="1">
        <v>-4.9375000000000002E-2</v>
      </c>
      <c r="R16" s="1">
        <f t="shared" si="0"/>
        <v>4.9375000000000002E-2</v>
      </c>
      <c r="T16" s="1">
        <v>0.100314</v>
      </c>
      <c r="U16">
        <f t="shared" si="1"/>
        <v>0.100314</v>
      </c>
      <c r="W16" s="1">
        <v>6.5510000000000004E-3</v>
      </c>
      <c r="X16">
        <f>12280647000*(1/48000000)</f>
        <v>255.84681250000003</v>
      </c>
      <c r="Z16" s="1">
        <v>0.107395</v>
      </c>
      <c r="AA16">
        <f>15148494000*(1/48000000)</f>
        <v>315.59362500000003</v>
      </c>
    </row>
    <row r="17" spans="2:27" x14ac:dyDescent="0.2">
      <c r="B17" s="1">
        <v>12.521229</v>
      </c>
      <c r="C17">
        <f>168061000*(1/48000000)</f>
        <v>3.5012708333333333</v>
      </c>
      <c r="E17" s="1">
        <v>6.927276</v>
      </c>
      <c r="F17">
        <f>319025000*(1/48000000)</f>
        <v>6.6463541666666668</v>
      </c>
      <c r="H17" s="1">
        <v>2.3390719999999998</v>
      </c>
      <c r="I17">
        <f>780746000*(1/48000000)</f>
        <v>16.265541666666667</v>
      </c>
      <c r="K17" s="1">
        <v>0.58670599999999995</v>
      </c>
      <c r="L17">
        <f>1243863000*(1/48000000)</f>
        <v>25.913812500000002</v>
      </c>
      <c r="N17" s="1">
        <v>0.656134</v>
      </c>
      <c r="O17">
        <f>1527611000*(1/48000000)</f>
        <v>31.82522916666667</v>
      </c>
      <c r="Q17" s="1">
        <v>7.8799999999999995E-2</v>
      </c>
      <c r="R17" s="1">
        <f t="shared" si="0"/>
        <v>7.8799999999999995E-2</v>
      </c>
      <c r="T17" s="1">
        <v>0.50912999999999997</v>
      </c>
      <c r="U17">
        <f t="shared" si="1"/>
        <v>0.50912999999999997</v>
      </c>
      <c r="W17" s="1">
        <v>0.71120099999999997</v>
      </c>
      <c r="X17">
        <f>12232363000*(1/48000000)</f>
        <v>254.84089583333335</v>
      </c>
      <c r="Z17" s="1">
        <v>3.9113000000000002E-2</v>
      </c>
      <c r="AA17">
        <f>15202413000*(1/48000000)</f>
        <v>316.71693750000003</v>
      </c>
    </row>
    <row r="18" spans="2:27" x14ac:dyDescent="0.2">
      <c r="B18" s="1">
        <v>12.518274</v>
      </c>
      <c r="C18">
        <f>167793000*(1/48000000)</f>
        <v>3.4956875000000003</v>
      </c>
      <c r="E18" s="1">
        <v>7.1807530000000002</v>
      </c>
      <c r="F18">
        <f>318959000*(1/48000000)</f>
        <v>6.6449791666666673</v>
      </c>
      <c r="H18" s="1">
        <v>2.1885859999999999</v>
      </c>
      <c r="I18">
        <f>782013000*(1/48000000)</f>
        <v>16.2919375</v>
      </c>
      <c r="K18" s="1">
        <v>1.2543409999999999</v>
      </c>
      <c r="L18">
        <f>1245268000*(1/48000000)</f>
        <v>25.943083333333334</v>
      </c>
      <c r="N18" s="1">
        <v>0.55952900000000005</v>
      </c>
      <c r="O18">
        <f>1524673000*(1/48000000)</f>
        <v>31.764020833333337</v>
      </c>
      <c r="Q18" s="1">
        <v>0.45974100000000001</v>
      </c>
      <c r="R18" s="1">
        <f t="shared" si="0"/>
        <v>0.45974100000000001</v>
      </c>
      <c r="T18" s="1">
        <v>-0.20069699999999999</v>
      </c>
      <c r="U18">
        <f t="shared" si="1"/>
        <v>0.20069699999999999</v>
      </c>
      <c r="W18" s="1">
        <v>9.1830999999999996E-2</v>
      </c>
      <c r="X18">
        <f>12277022000*(1/48000000)</f>
        <v>255.77129166666668</v>
      </c>
      <c r="Z18" s="1">
        <v>3.0322999999999999E-2</v>
      </c>
      <c r="AA18">
        <f>15204469000*(1/48000000)</f>
        <v>316.75977083333333</v>
      </c>
    </row>
    <row r="19" spans="2:27" x14ac:dyDescent="0.2">
      <c r="B19" s="1">
        <v>12.178957</v>
      </c>
      <c r="C19">
        <f>167459000*(1/48000000)</f>
        <v>3.4887291666666669</v>
      </c>
      <c r="E19" s="1">
        <v>6.7434669999999999</v>
      </c>
      <c r="F19">
        <f>318984000*(1/48000000)</f>
        <v>6.6455000000000002</v>
      </c>
      <c r="H19" s="1">
        <v>1.7512289999999999</v>
      </c>
      <c r="I19">
        <f>783261000*(1/48000000)</f>
        <v>16.317937499999999</v>
      </c>
      <c r="K19" s="1">
        <v>0.84435700000000002</v>
      </c>
      <c r="L19">
        <f>1246078000*(1/48000000)</f>
        <v>25.959958333333336</v>
      </c>
      <c r="N19" s="1">
        <v>0.8216</v>
      </c>
      <c r="O19">
        <f>1531401000*(1/48000000)</f>
        <v>31.904187500000003</v>
      </c>
      <c r="Q19" s="1">
        <v>0.43036600000000003</v>
      </c>
      <c r="R19" s="1">
        <f t="shared" si="0"/>
        <v>0.43036600000000003</v>
      </c>
      <c r="T19" s="1">
        <v>-0.25872699999999998</v>
      </c>
      <c r="U19">
        <f t="shared" si="1"/>
        <v>0.25872699999999998</v>
      </c>
      <c r="W19" s="1">
        <v>0.19361600000000001</v>
      </c>
      <c r="X19">
        <f>12275084000*(1/48000000)</f>
        <v>255.73091666666667</v>
      </c>
      <c r="Z19" s="1">
        <v>0.48642600000000003</v>
      </c>
      <c r="AA19">
        <f>15206612000*(1/48000000)</f>
        <v>316.80441666666667</v>
      </c>
    </row>
    <row r="20" spans="2:27" x14ac:dyDescent="0.2">
      <c r="B20" s="1">
        <v>13.17563</v>
      </c>
      <c r="C20">
        <f>167524000*(1/48000000)</f>
        <v>3.4900833333333336</v>
      </c>
      <c r="E20" s="1">
        <v>6.715535</v>
      </c>
      <c r="F20">
        <f>320624000*(1/48000000)</f>
        <v>6.6796666666666669</v>
      </c>
      <c r="H20" s="1">
        <v>1.9463539999999999</v>
      </c>
      <c r="I20">
        <f>781207000*(1/48000000)</f>
        <v>16.275145833333333</v>
      </c>
      <c r="K20" s="1">
        <v>0.70011699999999999</v>
      </c>
      <c r="L20">
        <f>1244708000*(1/48000000)</f>
        <v>25.931416666666667</v>
      </c>
      <c r="N20" s="1">
        <v>0.920265</v>
      </c>
      <c r="O20">
        <f>1526599000*(1/48000000)</f>
        <v>31.804145833333337</v>
      </c>
      <c r="Q20" s="1">
        <v>6.0134E-2</v>
      </c>
      <c r="R20" s="1">
        <f t="shared" si="0"/>
        <v>6.0134E-2</v>
      </c>
      <c r="T20" s="1">
        <v>0.70149899999999998</v>
      </c>
      <c r="U20">
        <f t="shared" si="1"/>
        <v>0.70149899999999998</v>
      </c>
      <c r="W20" s="1">
        <v>0.250948</v>
      </c>
      <c r="X20">
        <f>12212247000*(1/48000000)</f>
        <v>254.42181250000002</v>
      </c>
      <c r="Z20" s="1">
        <v>4.3779999999999999E-3</v>
      </c>
      <c r="AA20">
        <f>15204663000*(1/48000000)</f>
        <v>316.76381250000003</v>
      </c>
    </row>
    <row r="21" spans="2:27" x14ac:dyDescent="0.2">
      <c r="B21" s="1">
        <v>12.641899</v>
      </c>
      <c r="C21">
        <f>168353000*(1/48000000)</f>
        <v>3.507354166666667</v>
      </c>
      <c r="E21" s="1">
        <v>6.9455200000000001</v>
      </c>
      <c r="F21">
        <f>318379000*(1/48000000)</f>
        <v>6.6328958333333334</v>
      </c>
      <c r="H21" s="1">
        <v>1.692067</v>
      </c>
      <c r="I21">
        <f>781133000*(1/48000000)</f>
        <v>16.273604166666669</v>
      </c>
      <c r="K21" s="1">
        <v>0.84300600000000003</v>
      </c>
      <c r="L21">
        <f>1240661000*(1/48000000)</f>
        <v>25.847104166666668</v>
      </c>
      <c r="N21" s="1">
        <v>1.5114240000000001</v>
      </c>
      <c r="O21">
        <f>1527538000*(1/48000000)</f>
        <v>31.823708333333336</v>
      </c>
      <c r="Q21" s="1">
        <v>0.26055400000000001</v>
      </c>
      <c r="R21" s="1">
        <f t="shared" si="0"/>
        <v>0.26055400000000001</v>
      </c>
      <c r="T21" s="1">
        <v>-0.51893299999999998</v>
      </c>
      <c r="U21">
        <f t="shared" si="1"/>
        <v>0.51893299999999998</v>
      </c>
      <c r="W21" s="1">
        <v>0.48002400000000001</v>
      </c>
      <c r="X21">
        <f>12268696000*(1/48000000)</f>
        <v>255.59783333333334</v>
      </c>
      <c r="Z21" s="1">
        <v>1.1091999999999999E-2</v>
      </c>
      <c r="AA21">
        <f>15204011000*(1/48000000)</f>
        <v>316.75022916666671</v>
      </c>
    </row>
    <row r="22" spans="2:27" x14ac:dyDescent="0.2">
      <c r="B22" s="1">
        <v>12.471639</v>
      </c>
      <c r="C22">
        <f>168430000*(1/48000000)</f>
        <v>3.5089583333333336</v>
      </c>
      <c r="E22" s="1">
        <v>6.3584459999999998</v>
      </c>
      <c r="F22">
        <f>319294000*(1/48000000)</f>
        <v>6.6519583333333339</v>
      </c>
      <c r="H22" s="1">
        <v>1.6743349999999999</v>
      </c>
      <c r="I22">
        <f>780366000*(1/48000000)</f>
        <v>16.257625000000001</v>
      </c>
      <c r="K22" s="1">
        <v>1.0345120000000001</v>
      </c>
      <c r="L22">
        <f>1240663000*(1/48000000)</f>
        <v>25.847145833333336</v>
      </c>
      <c r="N22" s="1">
        <v>0.75977799999999995</v>
      </c>
      <c r="O22">
        <f>1523639000*(1/48000000)</f>
        <v>31.742479166666669</v>
      </c>
      <c r="Q22" s="1">
        <v>-1.7382000000000002E-2</v>
      </c>
      <c r="R22" s="1">
        <f t="shared" si="0"/>
        <v>1.7382000000000002E-2</v>
      </c>
      <c r="T22" s="1">
        <v>-9.3567999999999998E-2</v>
      </c>
      <c r="U22">
        <f t="shared" si="1"/>
        <v>9.3567999999999998E-2</v>
      </c>
      <c r="W22" s="1">
        <v>1.7281000000000001E-2</v>
      </c>
      <c r="X22">
        <f>12267255000*(1/48000000)</f>
        <v>255.5678125</v>
      </c>
      <c r="Z22" s="1">
        <v>3.4375999999999997E-2</v>
      </c>
      <c r="AA22">
        <f>15101578000*(1/48000000)</f>
        <v>314.61620833333336</v>
      </c>
    </row>
    <row r="23" spans="2:27" x14ac:dyDescent="0.2">
      <c r="B23" s="1">
        <v>12.837006000000001</v>
      </c>
      <c r="C23">
        <f>167309000*(1/48000000)</f>
        <v>3.4856041666666671</v>
      </c>
      <c r="E23" s="1">
        <v>6.7338979999999999</v>
      </c>
      <c r="F23">
        <f>319978000*(1/48000000)</f>
        <v>6.6662083333333335</v>
      </c>
      <c r="H23" s="1">
        <v>1.7175579999999999</v>
      </c>
      <c r="I23">
        <f>781205000*(1/48000000)</f>
        <v>16.275104166666669</v>
      </c>
      <c r="K23" s="1">
        <v>0.84051200000000004</v>
      </c>
      <c r="L23">
        <f>1247265000*(1/48000000)</f>
        <v>25.984687500000003</v>
      </c>
      <c r="N23" s="1">
        <v>1.3897139999999999</v>
      </c>
      <c r="O23">
        <f>1521460000*(1/48000000)</f>
        <v>31.697083333333335</v>
      </c>
      <c r="Q23" s="1">
        <v>0.13755700000000001</v>
      </c>
      <c r="R23" s="1">
        <f t="shared" si="0"/>
        <v>0.13755700000000001</v>
      </c>
      <c r="T23" s="1">
        <v>-7.9508999999999996E-2</v>
      </c>
      <c r="U23">
        <f t="shared" si="1"/>
        <v>7.9508999999999996E-2</v>
      </c>
      <c r="W23" s="1">
        <v>0.10019500000000001</v>
      </c>
      <c r="X23">
        <f>12275052000*(1/48000000)</f>
        <v>255.73025000000001</v>
      </c>
      <c r="Z23" s="1">
        <v>0.46363799999999999</v>
      </c>
      <c r="AA23">
        <f>15202422000*(1/48000000)</f>
        <v>316.71712500000001</v>
      </c>
    </row>
    <row r="24" spans="2:27" x14ac:dyDescent="0.2">
      <c r="B24" s="1">
        <v>12.184991999999999</v>
      </c>
      <c r="C24">
        <f>167782000*(1/48000000)</f>
        <v>3.4954583333333336</v>
      </c>
      <c r="E24" s="1">
        <v>6.9884680000000001</v>
      </c>
      <c r="F24">
        <f>318007000*(1/48000000)</f>
        <v>6.6251458333333337</v>
      </c>
      <c r="H24" s="1">
        <v>2.838965</v>
      </c>
      <c r="I24">
        <f>776989000*(1/48000000)</f>
        <v>16.187270833333333</v>
      </c>
      <c r="K24" s="1">
        <v>0.55132400000000004</v>
      </c>
      <c r="L24">
        <f>1245804000*(1/48000000)</f>
        <v>25.954250000000002</v>
      </c>
      <c r="N24" s="1">
        <v>0.96179400000000004</v>
      </c>
      <c r="O24">
        <f>1522543000*(1/48000000)</f>
        <v>31.719645833333335</v>
      </c>
      <c r="Q24" s="1">
        <v>9.6591999999999997E-2</v>
      </c>
      <c r="R24" s="1">
        <f t="shared" si="0"/>
        <v>9.6591999999999997E-2</v>
      </c>
      <c r="T24" s="1">
        <v>-5.3863000000000001E-2</v>
      </c>
      <c r="U24">
        <f t="shared" si="1"/>
        <v>5.3863000000000001E-2</v>
      </c>
      <c r="W24" s="1">
        <v>5.5319999999999996E-3</v>
      </c>
      <c r="X24">
        <f>12251966000*(1/48000000)</f>
        <v>255.24929166666669</v>
      </c>
      <c r="Z24" s="1">
        <v>7.8924999999999995E-2</v>
      </c>
      <c r="AA24">
        <f>15202383000*(1/48000000)</f>
        <v>316.71631250000002</v>
      </c>
    </row>
    <row r="25" spans="2:27" x14ac:dyDescent="0.2">
      <c r="B25" s="1">
        <v>12.673753</v>
      </c>
      <c r="C25">
        <f>167615000*(1/48000000)</f>
        <v>3.4919791666666669</v>
      </c>
      <c r="E25" s="1">
        <v>6.7506339999999998</v>
      </c>
      <c r="F25">
        <f>319395000*(1/48000000)</f>
        <v>6.6540625000000002</v>
      </c>
      <c r="H25" s="1">
        <v>2.0596899999999998</v>
      </c>
      <c r="I25">
        <f>783059000*(1/48000000)</f>
        <v>16.313729166666668</v>
      </c>
      <c r="K25" s="1">
        <v>0.982653</v>
      </c>
      <c r="L25">
        <f>1237658000*(1/48000000)</f>
        <v>25.784541666666669</v>
      </c>
      <c r="N25" s="1">
        <v>0.76658000000000004</v>
      </c>
      <c r="O25">
        <f>1518631000*(1/48000000)</f>
        <v>31.638145833333336</v>
      </c>
      <c r="Q25" s="1">
        <v>0.226188</v>
      </c>
      <c r="R25" s="1">
        <f t="shared" si="0"/>
        <v>0.226188</v>
      </c>
      <c r="T25" s="1">
        <v>0.467414</v>
      </c>
      <c r="U25">
        <f t="shared" si="1"/>
        <v>0.467414</v>
      </c>
      <c r="W25" s="1">
        <v>0.123225</v>
      </c>
      <c r="X25">
        <f>12276110000*(1/48000000)</f>
        <v>255.75229166666668</v>
      </c>
      <c r="Z25" s="1">
        <v>0.140094</v>
      </c>
      <c r="AA25">
        <f>15197196000*(1/48000000)</f>
        <v>316.60825</v>
      </c>
    </row>
    <row r="26" spans="2:27" x14ac:dyDescent="0.2">
      <c r="B26" s="1">
        <v>12.970921000000001</v>
      </c>
      <c r="C26">
        <f>167442000*(1/48000000)</f>
        <v>3.488375</v>
      </c>
      <c r="E26" s="1">
        <v>6.6352279999999997</v>
      </c>
      <c r="F26">
        <f>318560000*(1/48000000)</f>
        <v>6.6366666666666667</v>
      </c>
      <c r="H26" s="1">
        <v>2.4303170000000001</v>
      </c>
      <c r="I26">
        <f>780545000*(1/48000000)</f>
        <v>16.261354166666667</v>
      </c>
      <c r="K26" s="1">
        <v>0.815527</v>
      </c>
      <c r="L26">
        <f>1245106000*(1/48000000)</f>
        <v>25.939708333333336</v>
      </c>
      <c r="N26" s="1">
        <v>0.46877999999999997</v>
      </c>
      <c r="O26">
        <f>1522694000*(1/48000000)</f>
        <v>31.722791666666669</v>
      </c>
      <c r="Q26" s="1">
        <v>0.24901999999999999</v>
      </c>
      <c r="R26" s="1">
        <f t="shared" si="0"/>
        <v>0.24901999999999999</v>
      </c>
      <c r="T26" s="1">
        <v>1.9893999999999998E-2</v>
      </c>
      <c r="U26">
        <f t="shared" si="1"/>
        <v>1.9893999999999998E-2</v>
      </c>
      <c r="W26" s="1">
        <v>0.43086600000000003</v>
      </c>
      <c r="X26">
        <f>12276331000*(1/48000000)</f>
        <v>255.75689583333335</v>
      </c>
      <c r="Z26" s="1">
        <v>0.72094100000000005</v>
      </c>
      <c r="AA26">
        <f>15207897000*(1/48000000)</f>
        <v>316.8311875</v>
      </c>
    </row>
    <row r="27" spans="2:27" x14ac:dyDescent="0.2">
      <c r="B27" s="1">
        <v>11.922726000000001</v>
      </c>
      <c r="C27">
        <f>167509000*(1/48000000)</f>
        <v>3.4897708333333335</v>
      </c>
      <c r="E27" s="1">
        <v>6.6052929999999996</v>
      </c>
      <c r="F27">
        <f>318696000*(1/48000000)</f>
        <v>6.6395000000000008</v>
      </c>
      <c r="H27" s="1">
        <v>2.3163900000000002</v>
      </c>
      <c r="I27">
        <f>777457000*(1/48000000)</f>
        <v>16.197020833333333</v>
      </c>
      <c r="K27" s="1">
        <v>0.30490499999999998</v>
      </c>
      <c r="L27">
        <f>1242726000*(1/48000000)</f>
        <v>25.890125000000001</v>
      </c>
      <c r="N27" s="1">
        <v>0.97705500000000001</v>
      </c>
      <c r="O27">
        <f>1511953000*(1/48000000)</f>
        <v>31.499020833333336</v>
      </c>
      <c r="Q27" s="1">
        <v>0.98676799999999998</v>
      </c>
      <c r="R27" s="1">
        <f t="shared" si="0"/>
        <v>0.98676799999999998</v>
      </c>
      <c r="T27" s="1">
        <v>-0.2838</v>
      </c>
      <c r="U27">
        <f t="shared" si="1"/>
        <v>0.2838</v>
      </c>
      <c r="W27" s="1">
        <v>0.36509200000000003</v>
      </c>
      <c r="X27">
        <f>12250049000*(1/48000000)</f>
        <v>255.20935416666669</v>
      </c>
      <c r="Z27" s="1">
        <v>0.522115</v>
      </c>
      <c r="AA27">
        <f>15173241000*(1/48000000)</f>
        <v>316.10918750000002</v>
      </c>
    </row>
    <row r="28" spans="2:27" x14ac:dyDescent="0.2">
      <c r="B28" s="1">
        <v>12.808118</v>
      </c>
      <c r="C28">
        <f>167907000*(1/48000000)</f>
        <v>3.4980625000000001</v>
      </c>
      <c r="E28" s="1">
        <v>7.100009</v>
      </c>
      <c r="F28">
        <f>319380000*(1/48000000)</f>
        <v>6.6537500000000005</v>
      </c>
      <c r="H28" s="1">
        <v>1.8324959999999999</v>
      </c>
      <c r="I28">
        <f>780077000*(1/48000000)</f>
        <v>16.251604166666667</v>
      </c>
      <c r="K28" s="1">
        <v>0.76037200000000005</v>
      </c>
      <c r="L28">
        <f>1241448000*(1/48000000)</f>
        <v>25.863500000000002</v>
      </c>
      <c r="N28" s="1">
        <v>1.437209</v>
      </c>
      <c r="O28">
        <f>1523949000*(1/48000000)</f>
        <v>31.7489375</v>
      </c>
      <c r="Q28" s="1">
        <v>0.33629100000000001</v>
      </c>
      <c r="R28" s="1">
        <f t="shared" si="0"/>
        <v>0.33629100000000001</v>
      </c>
      <c r="T28" s="1">
        <v>-0.104023</v>
      </c>
      <c r="U28">
        <f t="shared" si="1"/>
        <v>0.104023</v>
      </c>
      <c r="W28" s="1">
        <v>0.589781</v>
      </c>
      <c r="X28">
        <f>12261905000*(1/48000000)</f>
        <v>255.45635416666667</v>
      </c>
      <c r="Z28" s="1">
        <v>0.31374800000000003</v>
      </c>
      <c r="AA28">
        <f>15208449000*(1/48000000)</f>
        <v>316.84268750000001</v>
      </c>
    </row>
    <row r="29" spans="2:27" x14ac:dyDescent="0.2">
      <c r="B29" s="1">
        <v>11.977136</v>
      </c>
      <c r="C29">
        <f>168211000*(1/48000000)</f>
        <v>3.5043958333333336</v>
      </c>
      <c r="E29" s="1">
        <v>7.6552319999999998</v>
      </c>
      <c r="F29">
        <f>319978000*(1/48000000)</f>
        <v>6.6662083333333335</v>
      </c>
      <c r="H29" s="1">
        <v>2.3453580000000001</v>
      </c>
      <c r="I29">
        <f>779781000*(1/48000000)</f>
        <v>16.245437500000001</v>
      </c>
      <c r="K29" s="1">
        <v>0.14507100000000001</v>
      </c>
      <c r="L29">
        <f>1241738000*(1/48000000)</f>
        <v>25.869541666666667</v>
      </c>
      <c r="N29" s="1">
        <v>1.2911859999999999</v>
      </c>
      <c r="O29">
        <f>1523708000*(1/48000000)</f>
        <v>31.743916666666667</v>
      </c>
      <c r="Q29" s="1">
        <v>0.24063799999999999</v>
      </c>
      <c r="R29" s="1">
        <f t="shared" si="0"/>
        <v>0.24063799999999999</v>
      </c>
      <c r="T29" s="1">
        <v>-0.53350699999999995</v>
      </c>
      <c r="U29">
        <f t="shared" si="1"/>
        <v>0.53350699999999995</v>
      </c>
      <c r="W29" s="1">
        <v>8.4422999999999998E-2</v>
      </c>
      <c r="X29">
        <f>12256194000*(1/48000000)</f>
        <v>255.33737500000001</v>
      </c>
      <c r="Z29" s="1">
        <v>0.16576299999999999</v>
      </c>
      <c r="AA29">
        <f>15203499000*(1/48000000)</f>
        <v>316.73956250000003</v>
      </c>
    </row>
    <row r="30" spans="2:27" x14ac:dyDescent="0.2">
      <c r="B30" s="1">
        <v>13.046493999999999</v>
      </c>
      <c r="C30">
        <f>168772000*(1/48000000)</f>
        <v>3.5160833333333334</v>
      </c>
      <c r="E30" s="1">
        <v>6.5799839999999996</v>
      </c>
      <c r="F30">
        <f>318750000*(1/48000000)</f>
        <v>6.640625</v>
      </c>
      <c r="H30" s="1">
        <v>1.7477320000000001</v>
      </c>
      <c r="I30">
        <f>781528000*(1/48000000)</f>
        <v>16.281833333333335</v>
      </c>
      <c r="K30" s="1">
        <v>0.35093800000000003</v>
      </c>
      <c r="L30">
        <f>1243415000*(1/48000000)</f>
        <v>25.904479166666668</v>
      </c>
      <c r="N30" s="1">
        <v>1.1428430000000001</v>
      </c>
      <c r="O30">
        <f>1522934000*(1/48000000)</f>
        <v>31.727791666666668</v>
      </c>
      <c r="Q30" s="1">
        <v>0.32911200000000002</v>
      </c>
      <c r="R30" s="1">
        <f t="shared" si="0"/>
        <v>0.32911200000000002</v>
      </c>
      <c r="T30" s="1">
        <v>-0.31015399999999999</v>
      </c>
      <c r="U30">
        <f t="shared" si="1"/>
        <v>0.31015399999999999</v>
      </c>
      <c r="W30" s="1">
        <v>0.20455300000000001</v>
      </c>
      <c r="X30">
        <f>12278753000*(1/48000000)</f>
        <v>255.80735416666667</v>
      </c>
      <c r="Z30" s="1">
        <v>0.143183</v>
      </c>
      <c r="AA30">
        <f>15210925000*(1/48000000)</f>
        <v>316.89427083333334</v>
      </c>
    </row>
    <row r="31" spans="2:27" x14ac:dyDescent="0.2">
      <c r="B31" s="1">
        <v>12.070968000000001</v>
      </c>
      <c r="C31">
        <f>167873000*(1/48000000)</f>
        <v>3.4973541666666668</v>
      </c>
      <c r="E31" s="1">
        <v>7.1364580000000002</v>
      </c>
      <c r="F31">
        <f>319287000*(1/48000000)</f>
        <v>6.6518125000000001</v>
      </c>
      <c r="H31" s="1">
        <v>1.5993470000000001</v>
      </c>
      <c r="I31">
        <f>781633000*(1/48000000)</f>
        <v>16.284020833333333</v>
      </c>
      <c r="K31" s="1">
        <v>0.72255800000000003</v>
      </c>
      <c r="L31">
        <f>1242880000*(1/48000000)</f>
        <v>25.893333333333334</v>
      </c>
      <c r="N31" s="1">
        <v>1.4541759999999999</v>
      </c>
      <c r="O31">
        <f>1521812000*(1/48000000)</f>
        <v>31.704416666666667</v>
      </c>
      <c r="Q31" s="1">
        <v>0.36976599999999998</v>
      </c>
      <c r="R31" s="1">
        <f t="shared" si="0"/>
        <v>0.36976599999999998</v>
      </c>
      <c r="T31" s="1">
        <v>-7.6517000000000002E-2</v>
      </c>
      <c r="U31">
        <f t="shared" si="1"/>
        <v>7.6517000000000002E-2</v>
      </c>
      <c r="W31" s="1">
        <v>0.180421</v>
      </c>
      <c r="X31">
        <f>12255748000*(1/48000000)</f>
        <v>255.32808333333335</v>
      </c>
      <c r="Z31" s="1">
        <v>0.15254499999999999</v>
      </c>
      <c r="AA31">
        <f>15215563000*(1/48000000)</f>
        <v>316.99089583333335</v>
      </c>
    </row>
    <row r="32" spans="2:27" x14ac:dyDescent="0.2">
      <c r="B32" s="1">
        <v>12.793827</v>
      </c>
      <c r="C32">
        <f>167821000*(1/48000000)</f>
        <v>3.4962708333333334</v>
      </c>
      <c r="E32" s="1">
        <v>7.1511589999999998</v>
      </c>
      <c r="F32">
        <f>319405000*(1/48000000)</f>
        <v>6.6542708333333334</v>
      </c>
      <c r="H32" s="1">
        <v>2.3081700000000001</v>
      </c>
      <c r="I32">
        <f>785866000*(1/48000000)</f>
        <v>16.372208333333333</v>
      </c>
      <c r="K32" s="1">
        <v>0.99180400000000002</v>
      </c>
      <c r="L32">
        <f>1238106000*(1/48000000)</f>
        <v>25.793875</v>
      </c>
      <c r="N32" s="1">
        <v>1.055752</v>
      </c>
      <c r="O32">
        <f>1520946000*(1/48000000)</f>
        <v>31.686375000000002</v>
      </c>
      <c r="Q32" s="1">
        <v>0.11555700000000001</v>
      </c>
      <c r="R32" s="1">
        <f t="shared" si="0"/>
        <v>0.11555700000000001</v>
      </c>
      <c r="T32" s="1">
        <v>2.4202000000000001E-2</v>
      </c>
      <c r="U32">
        <f t="shared" si="1"/>
        <v>2.4202000000000001E-2</v>
      </c>
      <c r="W32" s="1">
        <v>3.0276000000000001E-2</v>
      </c>
      <c r="X32">
        <f>12273802000*(1/48000000)</f>
        <v>255.70420833333336</v>
      </c>
      <c r="Z32" s="1">
        <v>0.119613</v>
      </c>
      <c r="AA32">
        <f>15217476000*(1/48000000)</f>
        <v>317.03075000000001</v>
      </c>
    </row>
    <row r="33" spans="2:27" x14ac:dyDescent="0.2">
      <c r="B33" s="1">
        <v>12.901668000000001</v>
      </c>
      <c r="C33">
        <f>168764000*(1/48000000)</f>
        <v>3.515916666666667</v>
      </c>
      <c r="E33" s="1">
        <v>6.4554960000000001</v>
      </c>
      <c r="F33">
        <f>319537000*(1/48000000)</f>
        <v>6.6570208333333341</v>
      </c>
      <c r="H33" s="1">
        <v>2.049865</v>
      </c>
      <c r="I33">
        <f>780179000*(1/48000000)</f>
        <v>16.253729166666666</v>
      </c>
      <c r="K33" s="1">
        <v>1.153921</v>
      </c>
      <c r="L33">
        <f>1244492000*(1/48000000)</f>
        <v>25.926916666666667</v>
      </c>
      <c r="N33" s="1">
        <v>1.348257</v>
      </c>
      <c r="O33">
        <f>1524006000*(1/48000000)</f>
        <v>31.750125000000001</v>
      </c>
      <c r="Q33" s="1">
        <v>0.59040300000000001</v>
      </c>
      <c r="R33" s="1">
        <f t="shared" si="0"/>
        <v>0.59040300000000001</v>
      </c>
      <c r="T33" s="1">
        <v>-0.16836400000000001</v>
      </c>
      <c r="U33">
        <f t="shared" si="1"/>
        <v>0.16836400000000001</v>
      </c>
      <c r="W33" s="1">
        <v>0.422037</v>
      </c>
      <c r="X33">
        <f>12276988000*(1/48000000)</f>
        <v>255.77058333333335</v>
      </c>
      <c r="Z33" s="1">
        <v>1.6039999999999999E-2</v>
      </c>
      <c r="AA33">
        <f>15183178000*(1/48000000)</f>
        <v>316.31620833333335</v>
      </c>
    </row>
    <row r="34" spans="2:27" x14ac:dyDescent="0.2">
      <c r="B34" s="1">
        <v>12.749637</v>
      </c>
      <c r="C34">
        <f>167578000*(1/48000000)</f>
        <v>3.4912083333333337</v>
      </c>
      <c r="E34" s="1">
        <v>6.3143029999999998</v>
      </c>
      <c r="F34">
        <f>318342000*(1/48000000)</f>
        <v>6.6321250000000003</v>
      </c>
      <c r="H34" s="1">
        <v>2.367966</v>
      </c>
      <c r="I34">
        <f>782452000*(1/48000000)</f>
        <v>16.301083333333334</v>
      </c>
      <c r="K34" s="1">
        <v>0.71794500000000006</v>
      </c>
      <c r="L34">
        <f>1242409000*(1/48000000)</f>
        <v>25.883520833333336</v>
      </c>
      <c r="N34" s="1">
        <v>1.3651059999999999</v>
      </c>
      <c r="O34">
        <f>1528940000*(1/48000000)</f>
        <v>31.852916666666669</v>
      </c>
      <c r="Q34" s="1">
        <v>0.44664500000000001</v>
      </c>
      <c r="R34" s="1">
        <f t="shared" si="0"/>
        <v>0.44664500000000001</v>
      </c>
      <c r="T34" s="1">
        <v>-0.234874</v>
      </c>
      <c r="U34">
        <f t="shared" si="1"/>
        <v>0.234874</v>
      </c>
      <c r="W34" s="1">
        <v>0.209092</v>
      </c>
      <c r="X34">
        <f>12286134000*(1/48000000)</f>
        <v>255.96112500000001</v>
      </c>
      <c r="Z34" s="1">
        <v>0.13328000000000001</v>
      </c>
      <c r="AA34">
        <f>15207430000*(1/48000000)</f>
        <v>316.82145833333334</v>
      </c>
    </row>
    <row r="35" spans="2:27" x14ac:dyDescent="0.2">
      <c r="B35" s="1">
        <v>12.216867000000001</v>
      </c>
      <c r="C35">
        <f>168445000*(1/48000000)</f>
        <v>3.5092708333333333</v>
      </c>
      <c r="E35" s="1">
        <v>6.264926</v>
      </c>
      <c r="F35">
        <f>320625000*(1/48000000)</f>
        <v>6.6796875</v>
      </c>
      <c r="H35" s="1">
        <v>1.868574</v>
      </c>
      <c r="I35">
        <f>780353000*(1/48000000)</f>
        <v>16.257354166666669</v>
      </c>
      <c r="K35" s="1">
        <v>0.20675399999999999</v>
      </c>
      <c r="L35">
        <f>1243453000*(1/48000000)</f>
        <v>25.905270833333336</v>
      </c>
      <c r="N35" s="1">
        <v>1.1975789999999999</v>
      </c>
      <c r="O35">
        <f>1523519000*(1/48000000)</f>
        <v>31.739979166666668</v>
      </c>
      <c r="Q35" s="1">
        <v>5.1289999999999999E-3</v>
      </c>
      <c r="R35" s="1">
        <f t="shared" si="0"/>
        <v>5.1289999999999999E-3</v>
      </c>
      <c r="T35" s="1">
        <v>-0.16450100000000001</v>
      </c>
      <c r="U35">
        <f t="shared" si="1"/>
        <v>0.16450100000000001</v>
      </c>
      <c r="W35" s="1">
        <v>0.23327100000000001</v>
      </c>
      <c r="X35">
        <f>12248980000*(1/48000000)</f>
        <v>255.18708333333336</v>
      </c>
      <c r="Z35" s="1">
        <v>0.223799</v>
      </c>
      <c r="AA35">
        <f>15226941000*(1/48000000)</f>
        <v>317.2279375</v>
      </c>
    </row>
    <row r="36" spans="2:27" x14ac:dyDescent="0.2">
      <c r="B36" s="1">
        <v>12.573871</v>
      </c>
      <c r="C36">
        <f>168631000*(1/48000000)</f>
        <v>3.5131458333333336</v>
      </c>
      <c r="E36" s="1">
        <v>6.7972440000000001</v>
      </c>
      <c r="F36">
        <f>319590000*(1/48000000)</f>
        <v>6.6581250000000001</v>
      </c>
      <c r="H36" s="1">
        <v>1.858231</v>
      </c>
      <c r="I36">
        <f>784297000*(1/48000000)</f>
        <v>16.339520833333335</v>
      </c>
      <c r="K36" s="1">
        <v>-0.35358000000000001</v>
      </c>
      <c r="L36">
        <f>1243375000*(1/48000000)</f>
        <v>25.903645833333336</v>
      </c>
      <c r="N36" s="1">
        <v>1.4390529999999999</v>
      </c>
      <c r="O36">
        <f>1521854000*(1/48000000)</f>
        <v>31.705291666666668</v>
      </c>
      <c r="Q36" s="1">
        <v>0.71055500000000005</v>
      </c>
      <c r="R36" s="1">
        <f t="shared" si="0"/>
        <v>0.71055500000000005</v>
      </c>
      <c r="T36" s="1">
        <v>4.6560999999999998E-2</v>
      </c>
      <c r="U36">
        <f t="shared" si="1"/>
        <v>4.6560999999999998E-2</v>
      </c>
      <c r="W36" s="1">
        <v>0.46806999999999999</v>
      </c>
      <c r="X36">
        <f>12257407000*(1/48000000)</f>
        <v>255.36264583333335</v>
      </c>
      <c r="Z36" s="1">
        <v>0.18537899999999999</v>
      </c>
      <c r="AA36">
        <f>15203223000*(1/48000000)</f>
        <v>316.7338125</v>
      </c>
    </row>
    <row r="37" spans="2:27" x14ac:dyDescent="0.2">
      <c r="B37" s="1">
        <v>12.919022</v>
      </c>
      <c r="C37">
        <f>167676000*(1/48000000)</f>
        <v>3.4932500000000002</v>
      </c>
      <c r="E37" s="1">
        <v>6.4695220000000004</v>
      </c>
      <c r="F37">
        <f>320372000*(1/48000000)</f>
        <v>6.6744166666666667</v>
      </c>
      <c r="H37" s="1">
        <v>2.0130819999999998</v>
      </c>
      <c r="I37">
        <f>781565000*(1/48000000)</f>
        <v>16.282604166666669</v>
      </c>
      <c r="K37" s="1">
        <v>0.72979899999999998</v>
      </c>
      <c r="L37">
        <f>1241555000*(1/48000000)</f>
        <v>25.865729166666668</v>
      </c>
      <c r="N37" s="1">
        <v>1.3028489999999999</v>
      </c>
      <c r="O37">
        <f>1521577000*(1/48000000)</f>
        <v>31.699520833333334</v>
      </c>
      <c r="Q37" s="1">
        <v>0.242982</v>
      </c>
      <c r="R37" s="1">
        <f t="shared" si="0"/>
        <v>0.242982</v>
      </c>
      <c r="T37" s="1">
        <v>0.51309400000000005</v>
      </c>
      <c r="U37">
        <f t="shared" si="1"/>
        <v>0.51309400000000005</v>
      </c>
      <c r="W37" s="1">
        <v>3.1029999999999999E-3</v>
      </c>
      <c r="X37">
        <f>12229723000*(1/48000000)</f>
        <v>254.78589583333334</v>
      </c>
      <c r="Z37" s="1">
        <v>0.116859</v>
      </c>
      <c r="AA37">
        <f>15203481000*(1/48000000)</f>
        <v>316.73918750000001</v>
      </c>
    </row>
    <row r="38" spans="2:27" x14ac:dyDescent="0.2">
      <c r="B38" s="1">
        <v>13.477328</v>
      </c>
      <c r="C38">
        <f>167503000*(1/48000000)</f>
        <v>3.4896458333333333</v>
      </c>
      <c r="E38" s="1">
        <v>6.2640070000000003</v>
      </c>
      <c r="F38">
        <f>319135000*(1/48000000)</f>
        <v>6.648645833333334</v>
      </c>
      <c r="H38" s="1">
        <v>1.684933</v>
      </c>
      <c r="I38">
        <f>780809000*(1/48000000)</f>
        <v>16.266854166666668</v>
      </c>
      <c r="K38" s="1">
        <v>0.98062000000000005</v>
      </c>
      <c r="L38">
        <f>1236327000*(1/48000000)</f>
        <v>25.756812500000002</v>
      </c>
      <c r="N38" s="1">
        <v>0.98086600000000002</v>
      </c>
      <c r="O38">
        <f>1522933000*(1/48000000)</f>
        <v>31.727770833333334</v>
      </c>
      <c r="Q38" s="1">
        <v>0.72961399999999998</v>
      </c>
      <c r="R38" s="1">
        <f t="shared" si="0"/>
        <v>0.72961399999999998</v>
      </c>
      <c r="T38" s="1">
        <v>-0.122603</v>
      </c>
      <c r="U38">
        <f t="shared" si="1"/>
        <v>0.122603</v>
      </c>
      <c r="W38" s="1">
        <v>0.40829900000000002</v>
      </c>
      <c r="X38">
        <f>12275704000*(1/48000000)</f>
        <v>255.74383333333336</v>
      </c>
      <c r="Z38" s="1">
        <v>0.57604</v>
      </c>
      <c r="AA38">
        <f>15200349000*(1/48000000)</f>
        <v>316.67393750000002</v>
      </c>
    </row>
    <row r="39" spans="2:27" x14ac:dyDescent="0.2">
      <c r="B39" s="1">
        <v>12.441546000000001</v>
      </c>
      <c r="C39">
        <f>167500000*(1/48000000)</f>
        <v>3.4895833333333335</v>
      </c>
      <c r="E39" s="1">
        <v>6.8689530000000003</v>
      </c>
      <c r="F39">
        <f>319490000*(1/48000000)</f>
        <v>6.6560416666666669</v>
      </c>
      <c r="H39" s="1">
        <v>2.1277140000000001</v>
      </c>
      <c r="I39">
        <f>780506000*(1/48000000)</f>
        <v>16.260541666666668</v>
      </c>
      <c r="K39" s="1">
        <v>0.70308499999999996</v>
      </c>
      <c r="L39">
        <f>1240509000*(1/48000000)</f>
        <v>25.843937500000003</v>
      </c>
      <c r="N39" s="1">
        <v>0.54982699999999995</v>
      </c>
      <c r="O39">
        <f>1523139000*(1/48000000)</f>
        <v>31.732062500000001</v>
      </c>
      <c r="Q39" s="1">
        <v>0.14438200000000001</v>
      </c>
      <c r="R39" s="1">
        <f t="shared" si="0"/>
        <v>0.14438200000000001</v>
      </c>
      <c r="T39" s="1">
        <v>0.46054400000000001</v>
      </c>
      <c r="U39">
        <f t="shared" si="1"/>
        <v>0.46054400000000001</v>
      </c>
      <c r="W39" s="1">
        <v>0.16509499999999999</v>
      </c>
      <c r="X39">
        <f>12187781000*(1/48000000)</f>
        <v>253.91210416666669</v>
      </c>
      <c r="Z39" s="1">
        <v>0.17163500000000001</v>
      </c>
      <c r="AA39">
        <f>15214017000*(1/48000000)</f>
        <v>316.9586875</v>
      </c>
    </row>
    <row r="40" spans="2:27" x14ac:dyDescent="0.2">
      <c r="B40" s="1">
        <v>12.345351000000001</v>
      </c>
      <c r="C40">
        <f>167162000*(1/48000000)</f>
        <v>3.4825416666666671</v>
      </c>
      <c r="E40" s="1">
        <v>6.7417319999999998</v>
      </c>
      <c r="F40">
        <f>319405000*(1/48000000)</f>
        <v>6.6542708333333334</v>
      </c>
      <c r="H40" s="1">
        <v>1.5940129999999999</v>
      </c>
      <c r="I40">
        <f>779765000*(1/48000000)</f>
        <v>16.245104166666668</v>
      </c>
      <c r="K40" s="1">
        <v>1.29745</v>
      </c>
      <c r="L40">
        <f>1245669000*(1/48000000)</f>
        <v>25.951437500000001</v>
      </c>
      <c r="N40" s="1">
        <v>1.375167</v>
      </c>
      <c r="O40">
        <f>1522539000*(1/48000000)</f>
        <v>31.719562500000002</v>
      </c>
      <c r="Q40" s="1">
        <v>0.37044100000000002</v>
      </c>
      <c r="R40" s="1">
        <f t="shared" si="0"/>
        <v>0.37044100000000002</v>
      </c>
      <c r="T40" s="1">
        <v>-2.7824999999999999E-2</v>
      </c>
      <c r="U40">
        <f t="shared" si="1"/>
        <v>2.7824999999999999E-2</v>
      </c>
      <c r="W40" s="1">
        <v>2.9080000000000002E-2</v>
      </c>
      <c r="X40">
        <f>12269348000*(1/48000000)</f>
        <v>255.61141666666668</v>
      </c>
      <c r="Z40" s="1">
        <v>4.7773999999999997E-2</v>
      </c>
      <c r="AA40">
        <f>15207723000*(1/48000000)</f>
        <v>316.8275625</v>
      </c>
    </row>
    <row r="41" spans="2:27" x14ac:dyDescent="0.2">
      <c r="B41" s="1">
        <v>12.369047999999999</v>
      </c>
      <c r="C41">
        <f>167988000*(1/48000000)</f>
        <v>3.4997500000000001</v>
      </c>
      <c r="E41" s="1">
        <v>6.7453539999999998</v>
      </c>
      <c r="F41">
        <f>319684000*(1/48000000)</f>
        <v>6.6600833333333336</v>
      </c>
      <c r="H41" s="1">
        <v>2.553058</v>
      </c>
      <c r="I41">
        <f>781565000*(1/48000000)</f>
        <v>16.282604166666669</v>
      </c>
      <c r="K41" s="1">
        <v>0.84023499999999995</v>
      </c>
      <c r="L41">
        <f>1235558000*(1/48000000)</f>
        <v>25.740791666666667</v>
      </c>
      <c r="N41" s="1">
        <v>1.5898650000000001</v>
      </c>
      <c r="O41">
        <f>1523951000*(1/48000000)</f>
        <v>31.748979166666668</v>
      </c>
      <c r="Q41" s="1">
        <v>0.22267000000000001</v>
      </c>
      <c r="R41" s="1">
        <f t="shared" si="0"/>
        <v>0.22267000000000001</v>
      </c>
      <c r="T41" s="1">
        <v>-0.27183000000000002</v>
      </c>
      <c r="U41">
        <f t="shared" si="1"/>
        <v>0.27183000000000002</v>
      </c>
      <c r="W41" s="1">
        <v>0.78706399999999999</v>
      </c>
      <c r="X41">
        <f>12273354000*(1/48000000)</f>
        <v>255.69487500000002</v>
      </c>
      <c r="Z41" s="1">
        <v>0.50927699999999998</v>
      </c>
      <c r="AA41">
        <f>15206055000*(1/48000000)</f>
        <v>316.79281250000003</v>
      </c>
    </row>
    <row r="42" spans="2:27" x14ac:dyDescent="0.2">
      <c r="B42" s="1">
        <v>12.710091</v>
      </c>
      <c r="C42">
        <f>167988000*(1/48000000)</f>
        <v>3.4997500000000001</v>
      </c>
      <c r="E42" s="1">
        <v>6.5086940000000002</v>
      </c>
      <c r="F42">
        <f>320076000*(1/48000000)</f>
        <v>6.6682500000000005</v>
      </c>
      <c r="H42" s="1">
        <v>1.702798</v>
      </c>
      <c r="I42">
        <f>784594000*(1/48000000)</f>
        <v>16.345708333333334</v>
      </c>
      <c r="K42" s="1">
        <v>0.91824700000000004</v>
      </c>
      <c r="L42">
        <f>1240825000*(1/48000000)</f>
        <v>25.850520833333334</v>
      </c>
      <c r="N42" s="1">
        <v>0.993753</v>
      </c>
      <c r="O42">
        <f>1519376000*(1/48000000)</f>
        <v>31.65366666666667</v>
      </c>
      <c r="Q42" s="1">
        <v>0.23821300000000001</v>
      </c>
      <c r="R42" s="1">
        <f t="shared" si="0"/>
        <v>0.23821300000000001</v>
      </c>
      <c r="T42" s="1">
        <v>-0.216227</v>
      </c>
      <c r="U42">
        <f t="shared" si="1"/>
        <v>0.216227</v>
      </c>
      <c r="W42" s="1">
        <v>0.16717799999999999</v>
      </c>
      <c r="X42">
        <f>12260423000*(1/48000000)</f>
        <v>255.42547916666669</v>
      </c>
      <c r="Z42" s="1">
        <v>0.40429300000000001</v>
      </c>
      <c r="AA42">
        <f>15208215000*(1/48000000)</f>
        <v>316.83781250000004</v>
      </c>
    </row>
    <row r="43" spans="2:27" x14ac:dyDescent="0.2">
      <c r="B43" s="1">
        <v>12.147857999999999</v>
      </c>
      <c r="C43">
        <f>167968000*(1/48000000)</f>
        <v>3.4993333333333334</v>
      </c>
      <c r="E43" s="1">
        <v>6.1243150000000002</v>
      </c>
      <c r="F43">
        <f>318777000*(1/48000000)</f>
        <v>6.6411875</v>
      </c>
      <c r="H43" s="1">
        <v>2.2105679999999999</v>
      </c>
      <c r="I43">
        <f>779999000*(1/48000000)</f>
        <v>16.249979166666666</v>
      </c>
      <c r="K43" s="1">
        <v>0.89390499999999995</v>
      </c>
      <c r="L43">
        <f>1245498000*(1/48000000)</f>
        <v>25.947875</v>
      </c>
      <c r="N43" s="1">
        <v>1.1352709999999999</v>
      </c>
      <c r="O43">
        <f>1524880000*(1/48000000)</f>
        <v>31.768333333333334</v>
      </c>
      <c r="Q43" s="1">
        <v>0.31197799999999998</v>
      </c>
      <c r="R43" s="1">
        <f t="shared" si="0"/>
        <v>0.31197799999999998</v>
      </c>
      <c r="T43" s="1">
        <v>-0.13963600000000001</v>
      </c>
      <c r="U43">
        <f t="shared" si="1"/>
        <v>0.13963600000000001</v>
      </c>
      <c r="W43" s="1">
        <v>0.19422</v>
      </c>
      <c r="X43">
        <f>12267907000*(1/48000000)</f>
        <v>255.58139583333335</v>
      </c>
      <c r="Z43" s="1">
        <v>0.53072200000000003</v>
      </c>
      <c r="AA43">
        <f>15203158000*(1/48000000)</f>
        <v>316.73245833333334</v>
      </c>
    </row>
    <row r="44" spans="2:27" x14ac:dyDescent="0.2">
      <c r="B44" s="1">
        <v>12.213573</v>
      </c>
      <c r="C44">
        <f>167401000*(1/48000000)</f>
        <v>3.4875208333333334</v>
      </c>
      <c r="E44" s="1">
        <v>6.7023789999999996</v>
      </c>
      <c r="F44">
        <f>319576000*(1/48000000)</f>
        <v>6.6578333333333335</v>
      </c>
      <c r="H44" s="1">
        <v>2.806368</v>
      </c>
      <c r="I44">
        <f>782233000*(1/48000000)</f>
        <v>16.296520833333336</v>
      </c>
      <c r="K44" s="1">
        <v>1.037207</v>
      </c>
      <c r="L44">
        <f>1242841000*(1/48000000)</f>
        <v>25.892520833333336</v>
      </c>
      <c r="N44" s="1">
        <v>1.030511</v>
      </c>
      <c r="O44">
        <f>1521209000*(1/48000000)</f>
        <v>31.691854166666669</v>
      </c>
      <c r="Q44" s="1">
        <v>0.12873899999999999</v>
      </c>
      <c r="R44" s="1">
        <f t="shared" si="0"/>
        <v>0.12873899999999999</v>
      </c>
      <c r="T44" s="1">
        <v>-3.7462000000000002E-2</v>
      </c>
      <c r="U44">
        <f t="shared" si="1"/>
        <v>3.7462000000000002E-2</v>
      </c>
      <c r="W44" s="1">
        <v>0.14002899999999999</v>
      </c>
      <c r="X44">
        <f>12273430000*(1/48000000)</f>
        <v>255.69645833333334</v>
      </c>
      <c r="Z44" s="1">
        <v>0.68113900000000005</v>
      </c>
      <c r="AA44">
        <f>15200022000*(1/48000000)</f>
        <v>316.667125</v>
      </c>
    </row>
    <row r="45" spans="2:27" x14ac:dyDescent="0.2">
      <c r="B45" s="1">
        <v>12.432429000000001</v>
      </c>
      <c r="C45">
        <f>167929000*(1/48000000)</f>
        <v>3.4985208333333335</v>
      </c>
      <c r="E45" s="1">
        <v>6.5943849999999999</v>
      </c>
      <c r="F45">
        <f>318821000*(1/48000000)</f>
        <v>6.6421041666666669</v>
      </c>
      <c r="H45" s="1">
        <v>1.817026</v>
      </c>
      <c r="I45">
        <f>779459000*(1/48000000)</f>
        <v>16.238729166666669</v>
      </c>
      <c r="K45" s="1">
        <v>1.1637660000000001</v>
      </c>
      <c r="L45">
        <f>1244115000*(1/48000000)</f>
        <v>25.919062500000003</v>
      </c>
      <c r="N45" s="1">
        <v>0.80371999999999999</v>
      </c>
      <c r="O45">
        <f>1523085000*(1/48000000)</f>
        <v>31.730937500000003</v>
      </c>
      <c r="Q45" s="1">
        <v>0.70138100000000003</v>
      </c>
      <c r="R45" s="1">
        <f t="shared" si="0"/>
        <v>0.70138100000000003</v>
      </c>
      <c r="T45" s="1">
        <v>8.0038999999999999E-2</v>
      </c>
      <c r="U45">
        <f t="shared" si="1"/>
        <v>8.0038999999999999E-2</v>
      </c>
      <c r="W45" s="1">
        <v>2.9073999999999999E-2</v>
      </c>
      <c r="X45">
        <f>12274238000*(1/48000000)</f>
        <v>255.71329166666669</v>
      </c>
      <c r="Z45" s="1">
        <v>0.26613900000000001</v>
      </c>
      <c r="AA45">
        <f>15203721000*(1/48000000)</f>
        <v>316.74418750000001</v>
      </c>
    </row>
    <row r="46" spans="2:27" x14ac:dyDescent="0.2">
      <c r="B46" s="1">
        <v>12.820887000000001</v>
      </c>
      <c r="C46">
        <f>168200000*(1/48000000)</f>
        <v>3.5041666666666669</v>
      </c>
      <c r="E46" s="1">
        <v>6.6199180000000002</v>
      </c>
      <c r="F46">
        <f>319590000*(1/48000000)</f>
        <v>6.6581250000000001</v>
      </c>
      <c r="H46" s="1">
        <v>2.2050010000000002</v>
      </c>
      <c r="I46">
        <f>782972000*(1/48000000)</f>
        <v>16.311916666666669</v>
      </c>
      <c r="K46" s="1">
        <v>1.167856</v>
      </c>
      <c r="L46">
        <f>1241045000*(1/48000000)</f>
        <v>25.855104166666667</v>
      </c>
      <c r="N46" s="1">
        <v>0.96322300000000005</v>
      </c>
      <c r="O46">
        <f>1520498000*(1/48000000)</f>
        <v>31.677041666666668</v>
      </c>
      <c r="Q46" s="1">
        <v>-0.17752599999999999</v>
      </c>
      <c r="R46" s="1">
        <f t="shared" si="0"/>
        <v>0.17752599999999999</v>
      </c>
      <c r="T46" s="1">
        <v>-0.20643900000000001</v>
      </c>
      <c r="U46">
        <f t="shared" si="1"/>
        <v>0.20643900000000001</v>
      </c>
      <c r="W46" s="1">
        <v>2.6349999999999998E-2</v>
      </c>
      <c r="X46">
        <f>12238702000*(1/48000000)</f>
        <v>254.97295833333334</v>
      </c>
      <c r="Z46" s="1">
        <v>0.64335299999999995</v>
      </c>
      <c r="AA46">
        <f>15219677000*(1/48000000)</f>
        <v>317.0766041666667</v>
      </c>
    </row>
    <row r="47" spans="2:27" x14ac:dyDescent="0.2">
      <c r="B47" s="1">
        <v>12.730231</v>
      </c>
      <c r="C47">
        <f>167643000*(1/48000000)</f>
        <v>3.4925625</v>
      </c>
      <c r="E47" s="1">
        <v>6.7134600000000004</v>
      </c>
      <c r="F47">
        <f>319990000*(1/48000000)</f>
        <v>6.6664583333333338</v>
      </c>
      <c r="H47" s="1">
        <v>2.2039819999999999</v>
      </c>
      <c r="I47">
        <f>781805000*(1/48000000)</f>
        <v>16.287604166666668</v>
      </c>
      <c r="K47" s="1">
        <v>0.800543</v>
      </c>
      <c r="L47">
        <f>1241089000*(1/48000000)</f>
        <v>25.856020833333336</v>
      </c>
      <c r="N47" s="1">
        <v>1.021169</v>
      </c>
      <c r="O47">
        <f>1521709000*(1/48000000)</f>
        <v>31.702270833333337</v>
      </c>
      <c r="Q47" s="1">
        <v>0.62882800000000005</v>
      </c>
      <c r="R47" s="1">
        <f t="shared" si="0"/>
        <v>0.62882800000000005</v>
      </c>
      <c r="T47" s="1">
        <v>4.0431000000000002E-2</v>
      </c>
      <c r="U47">
        <f t="shared" si="1"/>
        <v>4.0431000000000002E-2</v>
      </c>
      <c r="W47" s="1">
        <v>0.24361099999999999</v>
      </c>
      <c r="X47">
        <f>12282059000*(1/48000000)</f>
        <v>255.87622916666669</v>
      </c>
      <c r="Z47" s="1">
        <v>0.61881799999999998</v>
      </c>
      <c r="AA47">
        <f>15206499000*(1/48000000)</f>
        <v>316.80206250000003</v>
      </c>
    </row>
    <row r="48" spans="2:27" x14ac:dyDescent="0.2">
      <c r="B48" s="1">
        <v>12.398337</v>
      </c>
      <c r="C48">
        <f>168361000*(1/48000000)</f>
        <v>3.5075208333333334</v>
      </c>
      <c r="E48" s="1">
        <v>6.9374840000000004</v>
      </c>
      <c r="F48">
        <f>319080000*(1/48000000)</f>
        <v>6.6475</v>
      </c>
      <c r="H48" s="1">
        <v>2.1770269999999998</v>
      </c>
      <c r="I48">
        <f>781215000*(1/48000000)</f>
        <v>16.275312500000002</v>
      </c>
      <c r="K48" s="1">
        <v>0.28195199999999998</v>
      </c>
      <c r="L48">
        <f>1243095000*(1/48000000)</f>
        <v>25.897812500000001</v>
      </c>
      <c r="N48" s="1">
        <v>0.55967999999999996</v>
      </c>
      <c r="O48">
        <f>1516249000*(1/48000000)</f>
        <v>31.588520833333334</v>
      </c>
      <c r="Q48" s="1">
        <v>2.4368999999999998E-2</v>
      </c>
      <c r="R48" s="1">
        <f t="shared" si="0"/>
        <v>2.4368999999999998E-2</v>
      </c>
      <c r="T48" s="1">
        <v>-0.29838700000000001</v>
      </c>
      <c r="U48">
        <f t="shared" si="1"/>
        <v>0.29838700000000001</v>
      </c>
      <c r="W48" s="1">
        <v>0.152559</v>
      </c>
      <c r="X48">
        <f>12274123000*(1/48000000)</f>
        <v>255.71089583333335</v>
      </c>
      <c r="Z48" s="1">
        <v>4.4553000000000002E-2</v>
      </c>
      <c r="AA48">
        <f>15198844000*(1/48000000)</f>
        <v>316.64258333333333</v>
      </c>
    </row>
    <row r="49" spans="2:27" x14ac:dyDescent="0.2">
      <c r="B49" s="1">
        <v>12.51454</v>
      </c>
      <c r="C49">
        <f>167821000*(1/48000000)</f>
        <v>3.4962708333333334</v>
      </c>
      <c r="E49" s="1">
        <v>6.4969710000000003</v>
      </c>
      <c r="F49">
        <f>319984000*(1/48000000)</f>
        <v>6.6663333333333341</v>
      </c>
      <c r="H49" s="1">
        <v>1.692761</v>
      </c>
      <c r="I49">
        <f>780326000*(1/48000000)</f>
        <v>16.256791666666668</v>
      </c>
      <c r="K49" s="1">
        <v>1.2946200000000001</v>
      </c>
      <c r="L49">
        <f>1244157000*(1/48000000)</f>
        <v>25.919937500000003</v>
      </c>
      <c r="N49" s="1">
        <v>0.71004599999999995</v>
      </c>
      <c r="O49">
        <f>1525846000*(1/48000000)</f>
        <v>31.788458333333335</v>
      </c>
      <c r="Q49" s="1">
        <v>9.3159000000000006E-2</v>
      </c>
      <c r="R49" s="1">
        <f t="shared" si="0"/>
        <v>9.3159000000000006E-2</v>
      </c>
      <c r="T49" s="1">
        <v>-0.130967</v>
      </c>
      <c r="U49">
        <f t="shared" si="1"/>
        <v>0.130967</v>
      </c>
      <c r="W49" s="1">
        <v>4.1123E-2</v>
      </c>
      <c r="X49">
        <f>12273318000*(1/48000000)</f>
        <v>255.69412500000001</v>
      </c>
      <c r="Z49" s="1">
        <v>0.673315</v>
      </c>
      <c r="AA49">
        <f>15211651000*(1/48000000)</f>
        <v>316.90939583333335</v>
      </c>
    </row>
    <row r="50" spans="2:27" x14ac:dyDescent="0.2">
      <c r="B50" s="1">
        <v>12.518768</v>
      </c>
      <c r="C50">
        <f>167833000*(1/48000000)</f>
        <v>3.4965208333333337</v>
      </c>
      <c r="E50" s="1">
        <v>6.8669500000000001</v>
      </c>
      <c r="F50">
        <f>319134000*(1/48000000)</f>
        <v>6.648625</v>
      </c>
      <c r="H50" s="1">
        <v>2.7317330000000002</v>
      </c>
      <c r="I50">
        <f>780071000*(1/48000000)</f>
        <v>16.251479166666666</v>
      </c>
      <c r="K50" s="1">
        <v>0.51022199999999995</v>
      </c>
      <c r="L50">
        <f>1242288000*(1/48000000)</f>
        <v>25.881</v>
      </c>
      <c r="N50" s="1">
        <v>0.83358600000000005</v>
      </c>
      <c r="O50">
        <f>1513543000*(1/48000000)</f>
        <v>31.532145833333335</v>
      </c>
      <c r="Q50" s="1">
        <v>9.7430000000000003E-2</v>
      </c>
      <c r="R50" s="1">
        <f t="shared" si="0"/>
        <v>9.7430000000000003E-2</v>
      </c>
      <c r="T50" s="1">
        <v>-3.8955999999999998E-2</v>
      </c>
      <c r="U50">
        <f t="shared" si="1"/>
        <v>3.8955999999999998E-2</v>
      </c>
      <c r="W50" s="1">
        <v>6.2193999999999999E-2</v>
      </c>
      <c r="X50">
        <f>12257412000*(1/48000000)</f>
        <v>255.36275000000001</v>
      </c>
      <c r="Z50" s="1">
        <v>1.2031700000000001</v>
      </c>
      <c r="AA50">
        <f>15206054000*(1/48000000)</f>
        <v>316.79279166666669</v>
      </c>
    </row>
    <row r="51" spans="2:27" x14ac:dyDescent="0.2">
      <c r="B51" s="1">
        <v>12.478498999999999</v>
      </c>
      <c r="C51">
        <f>167030000*(1/48000000)</f>
        <v>3.4797916666666668</v>
      </c>
      <c r="E51" s="1">
        <v>6.3928700000000003</v>
      </c>
      <c r="F51">
        <f>319939000*(1/48000000)</f>
        <v>6.6653958333333341</v>
      </c>
      <c r="H51" s="1">
        <v>1.990461</v>
      </c>
      <c r="I51">
        <f>780623000*(1/48000000)</f>
        <v>16.262979166666668</v>
      </c>
      <c r="K51" s="1">
        <v>0.93384199999999995</v>
      </c>
      <c r="L51">
        <f>1242890000*(1/48000000)</f>
        <v>25.893541666666668</v>
      </c>
      <c r="N51" s="1">
        <v>0.82246300000000006</v>
      </c>
      <c r="O51">
        <f>1522532000*(1/48000000)</f>
        <v>31.719416666666667</v>
      </c>
      <c r="Q51" s="1">
        <v>-0.107893</v>
      </c>
      <c r="R51" s="1">
        <f t="shared" si="0"/>
        <v>0.107893</v>
      </c>
      <c r="T51" s="1">
        <v>-0.40304499999999999</v>
      </c>
      <c r="U51">
        <f t="shared" si="1"/>
        <v>0.40304499999999999</v>
      </c>
      <c r="W51" s="1">
        <v>0.13542100000000001</v>
      </c>
      <c r="X51">
        <f>12266169000*(1/48000000)</f>
        <v>255.54518750000003</v>
      </c>
      <c r="Z51" s="1">
        <v>0.55750900000000003</v>
      </c>
      <c r="AA51">
        <f>15194737000*(1/48000000)</f>
        <v>316.55702083333335</v>
      </c>
    </row>
    <row r="52" spans="2:27" x14ac:dyDescent="0.2">
      <c r="B52" s="1">
        <v>13.176069</v>
      </c>
      <c r="C52">
        <f>168343000*(1/48000000)</f>
        <v>3.5071458333333334</v>
      </c>
      <c r="E52" s="1">
        <v>6.4707650000000001</v>
      </c>
      <c r="F52">
        <f>318456000*(1/48000000)</f>
        <v>6.6345000000000001</v>
      </c>
      <c r="H52" s="1">
        <v>1.795525</v>
      </c>
      <c r="I52">
        <f>780517000*(1/48000000)</f>
        <v>16.260770833333336</v>
      </c>
      <c r="K52" s="1">
        <v>1.5471010000000001</v>
      </c>
      <c r="L52">
        <f>1237600000*(1/48000000)</f>
        <v>25.783333333333335</v>
      </c>
      <c r="N52" s="1">
        <v>0.57497500000000001</v>
      </c>
      <c r="O52">
        <f>1515357000*(1/48000000)</f>
        <v>31.569937500000002</v>
      </c>
      <c r="Q52" s="1">
        <v>0.25083899999999998</v>
      </c>
      <c r="R52" s="1">
        <f t="shared" si="0"/>
        <v>0.25083899999999998</v>
      </c>
      <c r="W52" s="1">
        <v>0.142959</v>
      </c>
      <c r="X52">
        <f>12263449000*(1/48000000)</f>
        <v>255.48852083333335</v>
      </c>
      <c r="Z52" s="1">
        <v>0.35857899999999998</v>
      </c>
      <c r="AA52">
        <f>15201328000*(1/48000000)</f>
        <v>316.69433333333336</v>
      </c>
    </row>
    <row r="53" spans="2:27" x14ac:dyDescent="0.2">
      <c r="B53" s="1">
        <v>12.797357</v>
      </c>
      <c r="C53">
        <f>167743000*(1/48000000)</f>
        <v>3.4946458333333337</v>
      </c>
      <c r="E53" s="1">
        <v>6.318918</v>
      </c>
      <c r="F53">
        <f>322129000*(1/48000000)</f>
        <v>6.7110208333333334</v>
      </c>
      <c r="I53">
        <f>782147000*(1/48000000)</f>
        <v>16.294729166666666</v>
      </c>
      <c r="K53" s="1">
        <v>0.89217299999999999</v>
      </c>
      <c r="L53">
        <f>1236813000*(1/48000000)</f>
        <v>25.766937500000001</v>
      </c>
      <c r="O53">
        <f>1523120000*(1/48000000)</f>
        <v>31.731666666666669</v>
      </c>
      <c r="Q53" s="1">
        <v>-0.12945899999999999</v>
      </c>
      <c r="R53" s="1">
        <f t="shared" si="0"/>
        <v>0.12945899999999999</v>
      </c>
      <c r="X53">
        <f>12281844000*(1/48000000)</f>
        <v>255.87175000000002</v>
      </c>
      <c r="Z53" s="1">
        <v>0.56077399999999999</v>
      </c>
      <c r="AA53">
        <f>15210815000*(1/48000000)</f>
        <v>316.89197916666666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0"/>
  <sheetViews>
    <sheetView topLeftCell="K1" workbookViewId="0">
      <selection activeCell="Z54" sqref="Z54"/>
    </sheetView>
  </sheetViews>
  <sheetFormatPr baseColWidth="10" defaultRowHeight="16" x14ac:dyDescent="0.2"/>
  <sheetData>
    <row r="1" spans="1:29" x14ac:dyDescent="0.2">
      <c r="A1" t="s">
        <v>0</v>
      </c>
      <c r="B1" t="s">
        <v>1</v>
      </c>
      <c r="C1" t="s">
        <v>3</v>
      </c>
      <c r="D1" t="s">
        <v>0</v>
      </c>
      <c r="E1" t="s">
        <v>1</v>
      </c>
      <c r="F1" t="s">
        <v>3</v>
      </c>
      <c r="G1" t="s">
        <v>0</v>
      </c>
      <c r="H1" t="s">
        <v>1</v>
      </c>
      <c r="I1" t="s">
        <v>3</v>
      </c>
      <c r="J1" t="s">
        <v>0</v>
      </c>
      <c r="K1" t="s">
        <v>1</v>
      </c>
      <c r="L1" t="s">
        <v>3</v>
      </c>
      <c r="M1" t="s">
        <v>0</v>
      </c>
      <c r="N1" t="s">
        <v>1</v>
      </c>
      <c r="O1" t="s">
        <v>2</v>
      </c>
      <c r="P1" t="s">
        <v>3</v>
      </c>
      <c r="Q1" t="s">
        <v>0</v>
      </c>
      <c r="R1" t="s">
        <v>1</v>
      </c>
      <c r="S1" t="s">
        <v>2</v>
      </c>
      <c r="T1" t="s">
        <v>3</v>
      </c>
      <c r="U1" t="s">
        <v>0</v>
      </c>
      <c r="V1" t="s">
        <v>1</v>
      </c>
      <c r="W1" t="s">
        <v>2</v>
      </c>
      <c r="X1" t="s">
        <v>3</v>
      </c>
      <c r="Y1" t="s">
        <v>0</v>
      </c>
      <c r="Z1" t="s">
        <v>1</v>
      </c>
      <c r="AA1" t="s">
        <v>2</v>
      </c>
      <c r="AB1" t="s">
        <v>3</v>
      </c>
    </row>
    <row r="2" spans="1:29" x14ac:dyDescent="0.2">
      <c r="A2">
        <v>989.3</v>
      </c>
      <c r="B2" s="1">
        <v>36.609684999999999</v>
      </c>
      <c r="C2" s="3">
        <f>((26384*(1/48000000))*1000000)/1000</f>
        <v>0.54966666666666675</v>
      </c>
      <c r="D2">
        <v>1964.5</v>
      </c>
      <c r="E2" s="1">
        <v>14.875475</v>
      </c>
      <c r="F2" s="3">
        <f>((44043*(1/48000000))*1000000)/1000</f>
        <v>0.91756250000000006</v>
      </c>
      <c r="G2" s="1">
        <v>5059</v>
      </c>
      <c r="H2" s="1">
        <v>2.6578400000000002</v>
      </c>
      <c r="I2">
        <f>(103904*(1/48000000))*1000</f>
        <v>2.1646666666666667</v>
      </c>
      <c r="J2" s="1">
        <v>8081</v>
      </c>
      <c r="K2" s="1">
        <v>1.8839490000000001</v>
      </c>
      <c r="L2">
        <f>(161971*(1/48000000))*1000</f>
        <v>3.3743958333333333</v>
      </c>
      <c r="M2" s="1">
        <v>9958</v>
      </c>
      <c r="N2" s="1">
        <f>ABS(1.208027)</f>
        <v>1.208027</v>
      </c>
      <c r="O2" s="1">
        <f>ABS(N2)</f>
        <v>1.208027</v>
      </c>
      <c r="P2" s="3">
        <f>(196749*(1/48000000))*1000</f>
        <v>4.0989374999999999</v>
      </c>
      <c r="Q2" s="1">
        <v>19786</v>
      </c>
      <c r="R2" s="1">
        <v>-1.2524630000000001</v>
      </c>
      <c r="S2" s="1">
        <f>ABS(R2)</f>
        <v>1.2524630000000001</v>
      </c>
      <c r="T2">
        <f>(384848*(1/48000000))*1000</f>
        <v>8.0176666666666669</v>
      </c>
      <c r="U2" s="1">
        <v>80506</v>
      </c>
      <c r="V2" s="1">
        <v>-0.97475699999999998</v>
      </c>
      <c r="W2" s="1">
        <f>ABS(V2:V50)</f>
        <v>0.97475699999999998</v>
      </c>
      <c r="X2">
        <f>(1555491*(1/48000000))*1000</f>
        <v>32.406062499999997</v>
      </c>
      <c r="Y2" s="1">
        <v>99668</v>
      </c>
      <c r="Z2" s="1">
        <v>-1.5268550000000001</v>
      </c>
      <c r="AA2" s="1">
        <f>ABS(Z2)</f>
        <v>1.5268550000000001</v>
      </c>
      <c r="AB2" s="1">
        <f>(1930982*(1/48000000))*1000</f>
        <v>40.228791666666666</v>
      </c>
    </row>
    <row r="3" spans="1:29" x14ac:dyDescent="0.2">
      <c r="A3">
        <v>989.3</v>
      </c>
      <c r="B3" s="1">
        <v>37.419162</v>
      </c>
      <c r="C3" s="3">
        <f>((26918*(1/48000000))*1000000)/1000</f>
        <v>0.56079166666666669</v>
      </c>
      <c r="D3">
        <v>1964.5</v>
      </c>
      <c r="E3" s="1">
        <v>16.529737000000001</v>
      </c>
      <c r="F3" s="3">
        <f>((44709*(1/48000000))*1000000)/1000</f>
        <v>0.93143750000000014</v>
      </c>
      <c r="H3" s="1">
        <v>2.833612</v>
      </c>
      <c r="I3">
        <f>(103914*(1/48000000))*1000</f>
        <v>2.1648750000000003</v>
      </c>
      <c r="J3" s="1">
        <v>8081</v>
      </c>
      <c r="K3" s="1">
        <v>2.0433720000000002</v>
      </c>
      <c r="L3">
        <f>(162283*(1/48000000))*1000</f>
        <v>3.3808958333333332</v>
      </c>
      <c r="M3" s="1">
        <v>9958</v>
      </c>
      <c r="N3" s="1">
        <v>1.0178670000000001</v>
      </c>
      <c r="O3" s="1">
        <f t="shared" ref="O3:O50" si="0">ABS(N3)</f>
        <v>1.0178670000000001</v>
      </c>
      <c r="P3" s="3">
        <f>(198334*(1/48000000))*1000</f>
        <v>4.1319583333333334</v>
      </c>
      <c r="Q3" s="1">
        <v>19786</v>
      </c>
      <c r="R3" s="1">
        <v>-0.65444400000000003</v>
      </c>
      <c r="S3" s="1">
        <f t="shared" ref="S3:S43" si="1">ABS(R3)</f>
        <v>0.65444400000000003</v>
      </c>
      <c r="T3">
        <f>(386946*(1/48000000))*1000</f>
        <v>8.061375</v>
      </c>
      <c r="U3" s="1">
        <v>80506</v>
      </c>
      <c r="V3" s="1">
        <v>-0.97475699999999998</v>
      </c>
      <c r="W3" s="1">
        <f t="shared" ref="W3:W50" si="2">ABS(V3:V51)</f>
        <v>0.97475699999999998</v>
      </c>
      <c r="X3">
        <f>(1549252*(1/48000000))*1000</f>
        <v>32.276083333333339</v>
      </c>
      <c r="Y3" s="1">
        <v>99668</v>
      </c>
      <c r="Z3" s="1">
        <v>-0.69695600000000002</v>
      </c>
      <c r="AA3" s="1">
        <f t="shared" ref="AA3:AA43" si="3">ABS(Z3)</f>
        <v>0.69695600000000002</v>
      </c>
      <c r="AB3" s="1">
        <f>(1927502*(1/48000000))*1000</f>
        <v>40.156291666666668</v>
      </c>
      <c r="AC3" s="1"/>
    </row>
    <row r="4" spans="1:29" x14ac:dyDescent="0.2">
      <c r="A4">
        <v>989.3</v>
      </c>
      <c r="B4" s="1">
        <v>38.579228999999998</v>
      </c>
      <c r="C4" s="3">
        <f>((27115*(1/48000000))*1000000)/1000</f>
        <v>0.56489583333333337</v>
      </c>
      <c r="D4">
        <v>1964.5</v>
      </c>
      <c r="E4" s="1">
        <v>13.534278</v>
      </c>
      <c r="F4" s="3">
        <f>((44179*(1/48000000))*1000000)/1000</f>
        <v>0.92039583333333341</v>
      </c>
      <c r="H4" s="1">
        <v>3.6597620000000002</v>
      </c>
      <c r="I4">
        <f>(105080*(1/48000000))*1000</f>
        <v>2.1891666666666669</v>
      </c>
      <c r="J4" s="1">
        <v>8081</v>
      </c>
      <c r="K4" s="1">
        <v>1.517395</v>
      </c>
      <c r="L4">
        <f>(158826*(1/48000000))*1000</f>
        <v>3.308875</v>
      </c>
      <c r="M4" s="1">
        <v>9958</v>
      </c>
      <c r="N4" s="1">
        <v>1.6176269999999999</v>
      </c>
      <c r="O4" s="1">
        <f t="shared" si="0"/>
        <v>1.6176269999999999</v>
      </c>
      <c r="P4" s="3">
        <f>(198710*(1/48000000))*1000</f>
        <v>4.1397916666666665</v>
      </c>
      <c r="Q4" s="1">
        <v>19786</v>
      </c>
      <c r="R4" s="1">
        <v>-1.6471359999999999</v>
      </c>
      <c r="S4" s="1">
        <f t="shared" si="1"/>
        <v>1.6471359999999999</v>
      </c>
      <c r="T4">
        <f>(382398*(1/48000000))*1000</f>
        <v>7.9666249999999996</v>
      </c>
      <c r="U4" s="1">
        <v>80506</v>
      </c>
      <c r="V4" s="1">
        <v>-1.053315</v>
      </c>
      <c r="W4" s="1">
        <f t="shared" si="2"/>
        <v>1.053315</v>
      </c>
      <c r="X4">
        <f>(1560075*(1/48000000))*1000</f>
        <v>32.501562500000006</v>
      </c>
      <c r="Y4" s="1">
        <v>99668</v>
      </c>
      <c r="Z4" s="1">
        <v>-1.227517</v>
      </c>
      <c r="AA4" s="1">
        <f t="shared" si="3"/>
        <v>1.227517</v>
      </c>
      <c r="AB4" s="1">
        <f>(1936243*(1/48000000))*1000</f>
        <v>40.338395833333337</v>
      </c>
    </row>
    <row r="5" spans="1:29" x14ac:dyDescent="0.2">
      <c r="A5">
        <v>989.3</v>
      </c>
      <c r="B5" s="1">
        <v>35.259974999999997</v>
      </c>
      <c r="C5" s="3">
        <f>((27492*(1/48000000))*1000000)/1000</f>
        <v>0.57274999999999998</v>
      </c>
      <c r="D5">
        <v>1964.5</v>
      </c>
      <c r="E5" s="1">
        <v>14.265739</v>
      </c>
      <c r="F5" s="3">
        <f>((45372*(1/48000000))*1000000)/1000</f>
        <v>0.94525000000000003</v>
      </c>
      <c r="H5" s="1">
        <v>2.2569859999999999</v>
      </c>
      <c r="I5">
        <f>(103684*(1/48000000))*1000</f>
        <v>2.1600833333333331</v>
      </c>
      <c r="J5" s="1">
        <v>8081</v>
      </c>
      <c r="K5" s="1">
        <v>1.787296</v>
      </c>
      <c r="L5">
        <f>(162532*(1/48000000))*1000</f>
        <v>3.3860833333333336</v>
      </c>
      <c r="M5" s="1">
        <v>9958</v>
      </c>
      <c r="N5" s="1">
        <v>1.812956</v>
      </c>
      <c r="O5" s="1">
        <f t="shared" si="0"/>
        <v>1.812956</v>
      </c>
      <c r="P5" s="3">
        <f>(196202*(1/48000000))*1000</f>
        <v>4.0875416666666675</v>
      </c>
      <c r="Q5" s="1">
        <v>19786</v>
      </c>
      <c r="R5" s="1">
        <v>-0.39159300000000002</v>
      </c>
      <c r="S5" s="1">
        <f t="shared" si="1"/>
        <v>0.39159300000000002</v>
      </c>
      <c r="T5">
        <f>(386386*(1/48000000))*1000</f>
        <v>8.0497083333333332</v>
      </c>
      <c r="U5" s="1">
        <v>80506</v>
      </c>
      <c r="V5" s="1">
        <v>-1.365189</v>
      </c>
      <c r="W5" s="1">
        <f t="shared" si="2"/>
        <v>1.365189</v>
      </c>
      <c r="X5">
        <f>(1559528*(1/48000000))*1000</f>
        <v>32.490166666666667</v>
      </c>
      <c r="Y5" s="1">
        <v>99668</v>
      </c>
      <c r="Z5" s="1">
        <v>-1.0078590000000001</v>
      </c>
      <c r="AA5" s="1">
        <f t="shared" si="3"/>
        <v>1.0078590000000001</v>
      </c>
      <c r="AB5" s="1">
        <f>(1935269*(1/48000000))*1000</f>
        <v>40.318104166666664</v>
      </c>
    </row>
    <row r="6" spans="1:29" x14ac:dyDescent="0.2">
      <c r="A6">
        <v>989.3</v>
      </c>
      <c r="B6" s="1">
        <v>36.056567000000001</v>
      </c>
      <c r="C6" s="3">
        <f>((26654*(1/48000000))*1000000)/1000</f>
        <v>0.55529166666666674</v>
      </c>
      <c r="D6">
        <v>1964.5</v>
      </c>
      <c r="E6" s="1">
        <v>13.737254</v>
      </c>
      <c r="F6" s="3">
        <f>((45324*(1/48000000))*1000000)/1000</f>
        <v>0.94425000000000014</v>
      </c>
      <c r="H6" s="1">
        <v>3.2994590000000001</v>
      </c>
      <c r="I6">
        <f>(103005*(1/48000000))*1000</f>
        <v>2.1459375000000005</v>
      </c>
      <c r="J6" s="1">
        <v>8081</v>
      </c>
      <c r="K6" s="1">
        <v>1.4290780000000001</v>
      </c>
      <c r="L6">
        <f>(161192*(1/48000000))*1000</f>
        <v>3.358166666666667</v>
      </c>
      <c r="M6" s="1">
        <v>9958</v>
      </c>
      <c r="N6" s="1">
        <v>1.224197</v>
      </c>
      <c r="O6" s="1">
        <f t="shared" si="0"/>
        <v>1.224197</v>
      </c>
      <c r="P6" s="3">
        <f>(196960*(1/48000000))*1000</f>
        <v>4.1033333333333335</v>
      </c>
      <c r="Q6" s="1">
        <v>19786</v>
      </c>
      <c r="R6" s="1">
        <v>-1.036386</v>
      </c>
      <c r="S6" s="1">
        <f t="shared" si="1"/>
        <v>1.036386</v>
      </c>
      <c r="T6">
        <f>(387119*(1/48000000))*1000</f>
        <v>8.0649791666666673</v>
      </c>
      <c r="U6" s="1">
        <v>80506</v>
      </c>
      <c r="V6" s="1">
        <v>-1.5134810000000001</v>
      </c>
      <c r="W6" s="1">
        <f t="shared" si="2"/>
        <v>1.5134810000000001</v>
      </c>
      <c r="X6">
        <f>(1564695*(1/48000000))*1000</f>
        <v>32.597812500000003</v>
      </c>
      <c r="Y6" s="1">
        <v>99668</v>
      </c>
      <c r="Z6" s="1">
        <v>-1.1948920000000001</v>
      </c>
      <c r="AA6" s="1">
        <f t="shared" si="3"/>
        <v>1.1948920000000001</v>
      </c>
      <c r="AB6" s="1">
        <f>(1927241*(1/48000000))*1000</f>
        <v>40.150854166666669</v>
      </c>
    </row>
    <row r="7" spans="1:29" x14ac:dyDescent="0.2">
      <c r="A7">
        <v>989.3</v>
      </c>
      <c r="B7" s="1">
        <v>41.432467000000003</v>
      </c>
      <c r="C7" s="3">
        <f>((26690*(1/48000000))*1000000)/1000</f>
        <v>0.55604166666666677</v>
      </c>
      <c r="D7">
        <v>1964.5</v>
      </c>
      <c r="E7" s="1">
        <v>15.766800999999999</v>
      </c>
      <c r="F7" s="3">
        <f>((44042*(1/48000000))*1000000)/1000</f>
        <v>0.9175416666666667</v>
      </c>
      <c r="H7" s="1">
        <v>2.6444179999999999</v>
      </c>
      <c r="I7">
        <f>(104336*(1/48000000))*1000</f>
        <v>2.1736666666666666</v>
      </c>
      <c r="J7" s="1">
        <v>8081</v>
      </c>
      <c r="K7" s="1">
        <v>2.0001340000000001</v>
      </c>
      <c r="L7">
        <f>(160691*(1/48000000))*1000</f>
        <v>3.3477291666666669</v>
      </c>
      <c r="M7" s="1">
        <v>9958</v>
      </c>
      <c r="N7" s="1">
        <v>0.86930499999999999</v>
      </c>
      <c r="O7" s="1">
        <f t="shared" si="0"/>
        <v>0.86930499999999999</v>
      </c>
      <c r="P7" s="3">
        <f>(197934*(1/48000000))*1000</f>
        <v>4.1236250000000005</v>
      </c>
      <c r="Q7" s="1">
        <v>19786</v>
      </c>
      <c r="R7" s="1">
        <v>-0.68991800000000003</v>
      </c>
      <c r="S7" s="1">
        <f t="shared" si="1"/>
        <v>0.68991800000000003</v>
      </c>
      <c r="T7">
        <f>(385280*(1/48000000))*1000</f>
        <v>8.0266666666666655</v>
      </c>
      <c r="U7" s="1">
        <v>80506</v>
      </c>
      <c r="V7" s="1">
        <v>-1.1667289999999999</v>
      </c>
      <c r="W7" s="1">
        <f t="shared" si="2"/>
        <v>1.1667289999999999</v>
      </c>
      <c r="X7">
        <f>(1567770*(1/48000000))*1000</f>
        <v>32.661875000000002</v>
      </c>
      <c r="Y7" s="1">
        <v>99668</v>
      </c>
      <c r="Z7" s="1">
        <v>-0.65664500000000003</v>
      </c>
      <c r="AA7" s="1">
        <f t="shared" si="3"/>
        <v>0.65664500000000003</v>
      </c>
      <c r="AB7" s="1">
        <f>(1933280*(1/48000000))*1000</f>
        <v>40.276666666666671</v>
      </c>
    </row>
    <row r="8" spans="1:29" x14ac:dyDescent="0.2">
      <c r="A8">
        <v>989.3</v>
      </c>
      <c r="B8" s="1">
        <v>33.019807999999998</v>
      </c>
      <c r="C8" s="3">
        <f>((27200*(1/48000000))*1000000)/1000</f>
        <v>0.56666666666666676</v>
      </c>
      <c r="D8">
        <v>1964.5</v>
      </c>
      <c r="E8" s="1">
        <v>16.826293</v>
      </c>
      <c r="F8" s="3">
        <f>((44263*(1/48000000))*1000000)/1000</f>
        <v>0.92214583333333333</v>
      </c>
      <c r="H8" s="1">
        <v>2.9594450000000001</v>
      </c>
      <c r="I8">
        <f>(101890*(1/48000000))*1000</f>
        <v>2.1227083333333336</v>
      </c>
      <c r="J8" s="1">
        <v>8081</v>
      </c>
      <c r="K8" s="1">
        <v>1.841591</v>
      </c>
      <c r="L8">
        <f>(161799*(1/48000000))*1000</f>
        <v>3.3708125</v>
      </c>
      <c r="M8" s="1">
        <v>9958</v>
      </c>
      <c r="N8" s="1">
        <v>1.8004439999999999</v>
      </c>
      <c r="O8" s="1">
        <f t="shared" si="0"/>
        <v>1.8004439999999999</v>
      </c>
      <c r="P8" s="3">
        <f>(198518*(1/48000000))*1000</f>
        <v>4.135791666666667</v>
      </c>
      <c r="Q8" s="1">
        <v>19786</v>
      </c>
      <c r="R8" s="1">
        <v>-1.5618540000000001</v>
      </c>
      <c r="S8" s="1">
        <f t="shared" si="1"/>
        <v>1.5618540000000001</v>
      </c>
      <c r="T8">
        <f>(386569*(1/48000000))*1000</f>
        <v>8.0535208333333337</v>
      </c>
      <c r="U8" s="1">
        <v>80506</v>
      </c>
      <c r="V8" s="1">
        <v>-1.3962950000000001</v>
      </c>
      <c r="W8" s="1">
        <f t="shared" si="2"/>
        <v>1.3962950000000001</v>
      </c>
      <c r="X8">
        <f>(1554473*(1/48000000))*1000</f>
        <v>32.38485416666667</v>
      </c>
      <c r="Y8" s="1">
        <v>99668</v>
      </c>
      <c r="Z8" s="1">
        <v>-1.6145350000000001</v>
      </c>
      <c r="AA8" s="1">
        <f t="shared" si="3"/>
        <v>1.6145350000000001</v>
      </c>
      <c r="AB8" s="1">
        <f>(1932339*(1/48000000))*1000</f>
        <v>40.257062500000004</v>
      </c>
    </row>
    <row r="9" spans="1:29" x14ac:dyDescent="0.2">
      <c r="A9">
        <v>989.3</v>
      </c>
      <c r="B9" s="1">
        <v>36.858283999999998</v>
      </c>
      <c r="C9" s="3">
        <f>((26046*(1/48000000))*1000000)/1000</f>
        <v>0.54262500000000002</v>
      </c>
      <c r="D9">
        <v>1964.5</v>
      </c>
      <c r="E9" s="1">
        <v>15.474888999999999</v>
      </c>
      <c r="F9" s="3">
        <f>((43723*(1/48000000))*1000000)/1000</f>
        <v>0.91089583333333346</v>
      </c>
      <c r="H9" s="1">
        <v>3.0048249999999999</v>
      </c>
      <c r="I9">
        <f>(102894*(1/48000000))*1000</f>
        <v>2.1436250000000001</v>
      </c>
      <c r="J9" s="1">
        <v>8081</v>
      </c>
      <c r="K9" s="1">
        <v>2.5105879999999998</v>
      </c>
      <c r="L9">
        <f>(160763*(1/48000000))*1000</f>
        <v>3.3492291666666669</v>
      </c>
      <c r="M9" s="1">
        <v>9958</v>
      </c>
      <c r="N9" s="1">
        <v>0.78074399999999999</v>
      </c>
      <c r="O9" s="1">
        <f t="shared" si="0"/>
        <v>0.78074399999999999</v>
      </c>
      <c r="P9" s="3">
        <f>(197747*(1/48000000))*1000</f>
        <v>4.1197291666666667</v>
      </c>
      <c r="Q9" s="1">
        <v>19786</v>
      </c>
      <c r="R9" s="1">
        <v>-0.61178200000000005</v>
      </c>
      <c r="S9" s="1">
        <f t="shared" si="1"/>
        <v>0.61178200000000005</v>
      </c>
      <c r="T9">
        <f>(387182*(1/48000000))*1000</f>
        <v>8.0662916666666682</v>
      </c>
      <c r="U9" s="1">
        <v>80506</v>
      </c>
      <c r="V9" s="1">
        <v>-0.69399599999999995</v>
      </c>
      <c r="W9" s="1">
        <f t="shared" si="2"/>
        <v>0.69399599999999995</v>
      </c>
      <c r="X9">
        <f>(1561289*(1/48000000))*1000</f>
        <v>32.526854166666666</v>
      </c>
      <c r="Y9" s="1">
        <v>99668</v>
      </c>
      <c r="Z9" s="1">
        <v>-1.5894870000000001</v>
      </c>
      <c r="AA9" s="1">
        <f t="shared" si="3"/>
        <v>1.5894870000000001</v>
      </c>
      <c r="AB9" s="1">
        <f>(1938820*(1/48000000))*1000</f>
        <v>40.392083333333332</v>
      </c>
    </row>
    <row r="10" spans="1:29" x14ac:dyDescent="0.2">
      <c r="A10">
        <v>989.3</v>
      </c>
      <c r="B10" s="1">
        <v>40.200938000000001</v>
      </c>
      <c r="C10" s="3">
        <f>((26692*(1/48000000))*1000000)/1000</f>
        <v>0.55608333333333337</v>
      </c>
      <c r="D10">
        <v>1964.5</v>
      </c>
      <c r="E10" s="1">
        <v>14.415552999999999</v>
      </c>
      <c r="F10" s="3">
        <f>((44517*(1/48000000))*1000000)/1000</f>
        <v>0.92743750000000014</v>
      </c>
      <c r="H10" s="1">
        <v>3.154242</v>
      </c>
      <c r="I10">
        <f>(104014*(1/48000000))*1000</f>
        <v>2.1669583333333335</v>
      </c>
      <c r="J10" s="1">
        <v>8081</v>
      </c>
      <c r="K10" s="1">
        <v>1.8332729999999999</v>
      </c>
      <c r="L10">
        <f>(161699*(1/48000000))*1000</f>
        <v>3.3687291666666672</v>
      </c>
      <c r="M10" s="1">
        <v>9958</v>
      </c>
      <c r="N10" s="1">
        <v>1.9351830000000001</v>
      </c>
      <c r="O10" s="1">
        <f t="shared" si="0"/>
        <v>1.9351830000000001</v>
      </c>
      <c r="P10" s="3">
        <f>(197073*(1/48000000))*1000</f>
        <v>4.1056875000000002</v>
      </c>
      <c r="Q10" s="1">
        <v>19786</v>
      </c>
      <c r="R10" s="1">
        <v>-0.10756</v>
      </c>
      <c r="S10" s="1">
        <f t="shared" si="1"/>
        <v>0.10756</v>
      </c>
      <c r="T10">
        <f>(386299*(1/48000000))*1000</f>
        <v>8.0478958333333335</v>
      </c>
      <c r="U10" s="1">
        <v>80506</v>
      </c>
      <c r="V10" s="1">
        <v>-0.88709300000000002</v>
      </c>
      <c r="W10" s="1">
        <f t="shared" si="2"/>
        <v>0.88709300000000002</v>
      </c>
      <c r="X10">
        <f>(1574114*(1/48000000))*1000</f>
        <v>32.794041666666672</v>
      </c>
      <c r="Y10" s="1">
        <v>99668</v>
      </c>
      <c r="Z10" s="1">
        <v>-1.2660530000000001</v>
      </c>
      <c r="AA10" s="1">
        <f t="shared" si="3"/>
        <v>1.2660530000000001</v>
      </c>
      <c r="AB10" s="1">
        <f>(1934286*(1/48000000))*1000</f>
        <v>40.297625000000004</v>
      </c>
    </row>
    <row r="11" spans="1:29" x14ac:dyDescent="0.2">
      <c r="A11">
        <v>989.3</v>
      </c>
      <c r="B11" s="1">
        <v>34.716529000000001</v>
      </c>
      <c r="C11" s="3">
        <f>((26566*(1/48000000))*1000000)/1000</f>
        <v>0.55345833333333339</v>
      </c>
      <c r="D11">
        <v>1964.5</v>
      </c>
      <c r="E11" s="1">
        <v>14.042813000000001</v>
      </c>
      <c r="F11" s="3">
        <f>((44566*(1/48000000))*1000000)/1000</f>
        <v>0.9284583333333335</v>
      </c>
      <c r="H11" s="1">
        <v>2.2782249999999999</v>
      </c>
      <c r="I11">
        <f>(102830*(1/48000000))*1000</f>
        <v>2.1422916666666669</v>
      </c>
      <c r="J11" s="1">
        <v>8081</v>
      </c>
      <c r="K11" s="1">
        <v>1.492156</v>
      </c>
      <c r="L11">
        <f>(160737*(1/48000000))*1000</f>
        <v>3.3486875</v>
      </c>
      <c r="M11" s="1">
        <v>9958</v>
      </c>
      <c r="N11" s="1">
        <v>1.099305</v>
      </c>
      <c r="O11" s="1">
        <f t="shared" si="0"/>
        <v>1.099305</v>
      </c>
      <c r="P11" s="3">
        <f>(196522*(1/48000000))*1000</f>
        <v>4.0942083333333334</v>
      </c>
      <c r="Q11" s="1">
        <v>19786</v>
      </c>
      <c r="R11" s="1">
        <v>-0.74001799999999995</v>
      </c>
      <c r="S11" s="1">
        <f t="shared" si="1"/>
        <v>0.74001799999999995</v>
      </c>
      <c r="T11">
        <f>(382541*(1/48000000))*1000</f>
        <v>7.9696041666666666</v>
      </c>
      <c r="U11" s="1">
        <v>80506</v>
      </c>
      <c r="V11" s="1">
        <v>-0.51179600000000003</v>
      </c>
      <c r="W11" s="1">
        <f t="shared" si="2"/>
        <v>0.51179600000000003</v>
      </c>
      <c r="X11">
        <f>(1564852*(1/48000000))*1000</f>
        <v>32.601083333333335</v>
      </c>
      <c r="Y11" s="1">
        <v>99668</v>
      </c>
      <c r="Z11" s="1">
        <v>-1.9660120000000001</v>
      </c>
      <c r="AA11" s="1">
        <f t="shared" si="3"/>
        <v>1.9660120000000001</v>
      </c>
      <c r="AB11" s="1">
        <f>(1934425*(1/48000000))*1000</f>
        <v>40.300520833333337</v>
      </c>
    </row>
    <row r="12" spans="1:29" x14ac:dyDescent="0.2">
      <c r="A12">
        <v>989.3</v>
      </c>
      <c r="B12" s="1">
        <v>36.685527</v>
      </c>
      <c r="C12" s="3">
        <f>((26182*(1/48000000))*1000000)/1000</f>
        <v>0.54545833333333338</v>
      </c>
      <c r="D12">
        <v>1964.5</v>
      </c>
      <c r="E12" s="1">
        <v>16.629522999999999</v>
      </c>
      <c r="F12" s="3">
        <f>((45583*(1/48000000))*1000000)/1000</f>
        <v>0.94964583333333341</v>
      </c>
      <c r="H12" s="1">
        <v>2.1508989999999999</v>
      </c>
      <c r="I12">
        <f>(103767*(1/48000000))*1000</f>
        <v>2.1618124999999999</v>
      </c>
      <c r="J12" s="1">
        <v>8081</v>
      </c>
      <c r="K12" s="1">
        <v>1.4187380000000001</v>
      </c>
      <c r="L12">
        <f>(161618*(1/48000000))*1000</f>
        <v>3.3670416666666672</v>
      </c>
      <c r="M12" s="1">
        <v>9958</v>
      </c>
      <c r="N12" s="1">
        <v>1.836022</v>
      </c>
      <c r="O12" s="1">
        <f t="shared" si="0"/>
        <v>1.836022</v>
      </c>
      <c r="P12" s="3">
        <f>(196048*(1/48000000))*1000</f>
        <v>4.0843333333333343</v>
      </c>
      <c r="Q12" s="1">
        <v>19786</v>
      </c>
      <c r="R12" s="1">
        <v>-0.18318400000000001</v>
      </c>
      <c r="S12" s="1">
        <f t="shared" si="1"/>
        <v>0.18318400000000001</v>
      </c>
      <c r="T12">
        <f>(384513*(1/48000000))*1000</f>
        <v>8.0106875000000013</v>
      </c>
      <c r="U12" s="1">
        <v>80506</v>
      </c>
      <c r="V12" s="1">
        <v>-1.5127250000000001</v>
      </c>
      <c r="W12" s="1">
        <f t="shared" si="2"/>
        <v>1.5127250000000001</v>
      </c>
      <c r="X12">
        <f>(1567682*(1/48000000))*1000</f>
        <v>32.660041666666665</v>
      </c>
      <c r="Y12" s="1">
        <v>99668</v>
      </c>
      <c r="Z12" s="1">
        <v>-0.93520599999999998</v>
      </c>
      <c r="AA12" s="1">
        <f t="shared" si="3"/>
        <v>0.93520599999999998</v>
      </c>
      <c r="AB12" s="1">
        <f>(1926372*(1/48000000))*1000</f>
        <v>40.132750000000001</v>
      </c>
    </row>
    <row r="13" spans="1:29" x14ac:dyDescent="0.2">
      <c r="A13">
        <v>989.3</v>
      </c>
      <c r="B13" s="1">
        <v>43.674166</v>
      </c>
      <c r="C13" s="3">
        <f>((27299*(1/48000000))*1000000)/1000</f>
        <v>0.56872916666666673</v>
      </c>
      <c r="D13">
        <v>1964.5</v>
      </c>
      <c r="E13" s="1">
        <v>13.773379</v>
      </c>
      <c r="F13" s="3">
        <f>((44598*(1/48000000))*1000000)/1000</f>
        <v>0.92912499999999998</v>
      </c>
      <c r="H13" s="1">
        <v>3.1567289999999999</v>
      </c>
      <c r="I13">
        <f>(103984*(1/48000000))*1000</f>
        <v>2.1663333333333337</v>
      </c>
      <c r="J13" s="1">
        <v>8081</v>
      </c>
      <c r="K13" s="1">
        <v>0.89357600000000004</v>
      </c>
      <c r="L13">
        <f>(161540*(1/48000000))*1000</f>
        <v>3.3654166666666669</v>
      </c>
      <c r="M13" s="1">
        <v>9958</v>
      </c>
      <c r="N13" s="1">
        <v>1.22299</v>
      </c>
      <c r="O13" s="1">
        <f t="shared" si="0"/>
        <v>1.22299</v>
      </c>
      <c r="P13" s="3">
        <f>(196826*(1/48000000))*1000</f>
        <v>4.1005416666666674</v>
      </c>
      <c r="Q13" s="1">
        <v>19786</v>
      </c>
      <c r="R13" s="1">
        <v>-0.68596500000000005</v>
      </c>
      <c r="S13" s="1">
        <f t="shared" si="1"/>
        <v>0.68596500000000005</v>
      </c>
      <c r="T13">
        <f>(383111*(1/48000000))*1000</f>
        <v>7.9814791666666682</v>
      </c>
      <c r="U13" s="1">
        <v>80506</v>
      </c>
      <c r="V13" s="1">
        <v>-0.65824800000000006</v>
      </c>
      <c r="W13" s="1">
        <f t="shared" si="2"/>
        <v>0.65824800000000006</v>
      </c>
      <c r="X13">
        <f>(1562627*(1/48000000))*1000</f>
        <v>32.554729166666668</v>
      </c>
      <c r="Y13" s="1">
        <v>99668</v>
      </c>
      <c r="Z13" s="1">
        <v>-0.71357000000000004</v>
      </c>
      <c r="AA13" s="1">
        <f t="shared" si="3"/>
        <v>0.71357000000000004</v>
      </c>
      <c r="AB13" s="1">
        <f>(1903380*(1/48000000))*1000</f>
        <v>39.653750000000002</v>
      </c>
    </row>
    <row r="14" spans="1:29" x14ac:dyDescent="0.2">
      <c r="A14">
        <v>989.3</v>
      </c>
      <c r="B14" s="1">
        <v>32.985365000000002</v>
      </c>
      <c r="C14" s="3">
        <f>((27306*(1/48000000))*1000000)/1000</f>
        <v>0.56887500000000002</v>
      </c>
      <c r="D14">
        <v>1964.5</v>
      </c>
      <c r="E14" s="1">
        <v>15.695593000000001</v>
      </c>
      <c r="F14" s="3">
        <f>((44796*(1/48000000))*1000000)/1000</f>
        <v>0.93325000000000002</v>
      </c>
      <c r="H14" s="1">
        <v>4.1605420000000004</v>
      </c>
      <c r="I14">
        <f>(103512*(1/48000000))*1000</f>
        <v>2.1564999999999999</v>
      </c>
      <c r="J14" s="1">
        <v>8081</v>
      </c>
      <c r="K14" s="1">
        <v>1.85548</v>
      </c>
      <c r="L14">
        <f>(162328*(1/48000000))*1000</f>
        <v>3.3818333333333337</v>
      </c>
      <c r="M14" s="1">
        <v>9958</v>
      </c>
      <c r="N14" s="1">
        <v>1.347024</v>
      </c>
      <c r="O14" s="1">
        <f t="shared" si="0"/>
        <v>1.347024</v>
      </c>
      <c r="P14" s="3">
        <f>(196847*(1/48000000))*1000</f>
        <v>4.1009791666666668</v>
      </c>
      <c r="Q14" s="1">
        <v>19786</v>
      </c>
      <c r="R14" s="1">
        <v>-0.69537800000000005</v>
      </c>
      <c r="S14" s="1">
        <f t="shared" si="1"/>
        <v>0.69537800000000005</v>
      </c>
      <c r="T14">
        <f>(384885*(1/48000000))*1000</f>
        <v>8.018437500000001</v>
      </c>
      <c r="U14" s="1">
        <v>80506</v>
      </c>
      <c r="V14" s="1">
        <v>-0.69112700000000005</v>
      </c>
      <c r="W14" s="1">
        <f t="shared" si="2"/>
        <v>0.69112700000000005</v>
      </c>
      <c r="X14">
        <f>(1552514*(1/48000000))*1000</f>
        <v>32.344041666666669</v>
      </c>
      <c r="Y14" s="1">
        <v>99668</v>
      </c>
      <c r="Z14" s="1">
        <v>-1.090344</v>
      </c>
      <c r="AA14" s="1">
        <f t="shared" si="3"/>
        <v>1.090344</v>
      </c>
      <c r="AB14" s="1">
        <f>(1934847*(1/48000000))*1000</f>
        <v>40.309312499999997</v>
      </c>
    </row>
    <row r="15" spans="1:29" x14ac:dyDescent="0.2">
      <c r="A15">
        <v>989.3</v>
      </c>
      <c r="B15" s="1">
        <v>36.903362999999999</v>
      </c>
      <c r="C15" s="3">
        <f>((27190*(1/48000000))*1000000)/1000</f>
        <v>0.5664583333333334</v>
      </c>
      <c r="D15">
        <v>1964.5</v>
      </c>
      <c r="E15" s="1">
        <v>14.531255</v>
      </c>
      <c r="F15" s="3">
        <f>((43871*(1/48000000))*1000000)/1000</f>
        <v>0.91397916666666668</v>
      </c>
      <c r="H15" s="1">
        <v>2.524305</v>
      </c>
      <c r="I15">
        <f>(104181*(1/48000000))*1000</f>
        <v>2.1704375000000002</v>
      </c>
      <c r="J15" s="1">
        <v>8081</v>
      </c>
      <c r="K15" s="1">
        <v>1.279012</v>
      </c>
      <c r="L15">
        <f>(160969*(1/48000000))*1000</f>
        <v>3.3535208333333335</v>
      </c>
      <c r="M15" s="1">
        <v>9958</v>
      </c>
      <c r="N15" s="1">
        <v>-0.238008</v>
      </c>
      <c r="O15" s="1">
        <f t="shared" si="0"/>
        <v>0.238008</v>
      </c>
      <c r="P15" s="3">
        <f>(196874*(1/48000000))*1000</f>
        <v>4.1015416666666669</v>
      </c>
      <c r="Q15" s="1">
        <v>19786</v>
      </c>
      <c r="R15" s="1">
        <v>-1.334714</v>
      </c>
      <c r="S15" s="1">
        <f t="shared" si="1"/>
        <v>1.334714</v>
      </c>
      <c r="T15">
        <f>(385554*(1/48000000))*1000</f>
        <v>8.0323750000000018</v>
      </c>
      <c r="U15" s="1">
        <v>80506</v>
      </c>
      <c r="V15" s="1">
        <v>-0.30132900000000001</v>
      </c>
      <c r="W15" s="1">
        <f t="shared" si="2"/>
        <v>0.30132900000000001</v>
      </c>
      <c r="X15">
        <f>(1563998*(1/48000000))*1000</f>
        <v>32.583291666666668</v>
      </c>
      <c r="Y15" s="1">
        <v>99668</v>
      </c>
      <c r="Z15" s="1">
        <v>-1.297283</v>
      </c>
      <c r="AA15" s="1">
        <f t="shared" si="3"/>
        <v>1.297283</v>
      </c>
      <c r="AB15" s="1">
        <f>(1936327*(1/48000000))*1000</f>
        <v>40.340145833333331</v>
      </c>
    </row>
    <row r="16" spans="1:29" x14ac:dyDescent="0.2">
      <c r="A16">
        <v>989.3</v>
      </c>
      <c r="B16" s="1">
        <v>42.480521000000003</v>
      </c>
      <c r="C16" s="3">
        <f>((27017*(1/48000000))*1000000)/1000</f>
        <v>0.56285416666666677</v>
      </c>
      <c r="D16">
        <v>1964.5</v>
      </c>
      <c r="E16" s="1">
        <v>16.635465</v>
      </c>
      <c r="F16" s="3">
        <f>((44920*(1/48000000))*1000000)/1000</f>
        <v>0.93583333333333352</v>
      </c>
      <c r="H16" s="1">
        <v>2.8371740000000001</v>
      </c>
      <c r="I16">
        <f>(103121*(1/48000000))*1000</f>
        <v>2.148354166666667</v>
      </c>
      <c r="J16" s="1">
        <v>8081</v>
      </c>
      <c r="K16" s="1">
        <v>0.71208700000000003</v>
      </c>
      <c r="L16">
        <f>(161776*(1/48000000))*1000</f>
        <v>3.3703333333333338</v>
      </c>
      <c r="M16" s="1">
        <v>9958</v>
      </c>
      <c r="N16" s="1">
        <v>0.169153</v>
      </c>
      <c r="O16" s="1">
        <f t="shared" si="0"/>
        <v>0.169153</v>
      </c>
      <c r="P16" s="3">
        <f>(199966*(1/48000000))*1000</f>
        <v>4.1659583333333341</v>
      </c>
      <c r="Q16" s="1">
        <v>19786</v>
      </c>
      <c r="R16" s="1">
        <v>-1.195764</v>
      </c>
      <c r="S16" s="1">
        <f t="shared" si="1"/>
        <v>1.195764</v>
      </c>
      <c r="T16">
        <f>(380239*(1/48000000))*1000</f>
        <v>7.9216458333333346</v>
      </c>
      <c r="U16" s="1">
        <v>80506</v>
      </c>
      <c r="V16" s="1">
        <v>-0.90979500000000002</v>
      </c>
      <c r="W16" s="1">
        <f t="shared" si="2"/>
        <v>0.90979500000000002</v>
      </c>
      <c r="X16">
        <f>(1565257*(1/48000000))*1000</f>
        <v>32.609520833333335</v>
      </c>
      <c r="Y16" s="1">
        <v>99668</v>
      </c>
      <c r="Z16" s="1">
        <v>-1.6367210000000001</v>
      </c>
      <c r="AA16" s="1">
        <f t="shared" si="3"/>
        <v>1.6367210000000001</v>
      </c>
      <c r="AB16" s="1">
        <f>(1922922*(1/48000000))*1000</f>
        <v>40.060875000000003</v>
      </c>
    </row>
    <row r="17" spans="1:28" x14ac:dyDescent="0.2">
      <c r="A17">
        <v>989.3</v>
      </c>
      <c r="B17" s="1">
        <v>35.469974999999998</v>
      </c>
      <c r="C17" s="3">
        <f>((26425*(1/48000000))*1000000)/1000</f>
        <v>0.55052083333333335</v>
      </c>
      <c r="D17">
        <v>1964.5</v>
      </c>
      <c r="E17" s="1">
        <v>16.769604000000001</v>
      </c>
      <c r="F17" s="3">
        <f>((44190*(1/48000000))*1000000)/1000</f>
        <v>0.92062500000000003</v>
      </c>
      <c r="H17" s="1">
        <v>2.23373</v>
      </c>
      <c r="I17">
        <f>(104145*(1/48000000))*1000</f>
        <v>2.1696875000000002</v>
      </c>
      <c r="J17" s="1">
        <v>8081</v>
      </c>
      <c r="K17" s="1">
        <v>2.7989120000000001</v>
      </c>
      <c r="L17">
        <f>(162706*(1/48000000))*1000</f>
        <v>3.3897083333333335</v>
      </c>
      <c r="M17" s="1">
        <v>9958</v>
      </c>
      <c r="N17" s="1">
        <v>1.8532599999999999</v>
      </c>
      <c r="O17" s="1">
        <f t="shared" si="0"/>
        <v>1.8532599999999999</v>
      </c>
      <c r="P17" s="3">
        <f>(196992*(1/48000000))*1000</f>
        <v>4.1040000000000001</v>
      </c>
      <c r="Q17" s="1">
        <v>19786</v>
      </c>
      <c r="R17" s="1">
        <v>-1.5980669999999999</v>
      </c>
      <c r="S17" s="1">
        <f t="shared" si="1"/>
        <v>1.5980669999999999</v>
      </c>
      <c r="T17">
        <f>(384071*(1/48000000))*1000</f>
        <v>8.0014791666666678</v>
      </c>
      <c r="U17" s="1">
        <v>80506</v>
      </c>
      <c r="V17" s="1">
        <v>-0.85593300000000005</v>
      </c>
      <c r="W17" s="1">
        <f t="shared" si="2"/>
        <v>0.85593300000000005</v>
      </c>
      <c r="X17">
        <f>(1574580*(1/48000000))*1000</f>
        <v>32.803750000000001</v>
      </c>
      <c r="Y17" s="1">
        <v>99668</v>
      </c>
      <c r="Z17" s="1">
        <v>-0.96988399999999997</v>
      </c>
      <c r="AA17" s="1">
        <f t="shared" si="3"/>
        <v>0.96988399999999997</v>
      </c>
      <c r="AB17" s="1">
        <f>(1931771*(1/48000000))*1000</f>
        <v>40.245229166666668</v>
      </c>
    </row>
    <row r="18" spans="1:28" x14ac:dyDescent="0.2">
      <c r="A18">
        <v>989.3</v>
      </c>
      <c r="B18" s="1">
        <v>42.849223000000002</v>
      </c>
      <c r="C18" s="3">
        <f>((27092*(1/48000000))*1000000)/1000</f>
        <v>0.56441666666666679</v>
      </c>
      <c r="D18">
        <v>1964.5</v>
      </c>
      <c r="E18" s="1">
        <v>17.054383000000001</v>
      </c>
      <c r="F18" s="3">
        <f>((44935*(1/48000000))*1000000)/1000</f>
        <v>0.93614583333333334</v>
      </c>
      <c r="H18" s="1">
        <v>3.5053649999999998</v>
      </c>
      <c r="I18">
        <f>(104316*(1/48000000))*1000</f>
        <v>2.1732500000000003</v>
      </c>
      <c r="J18" s="1">
        <v>8081</v>
      </c>
      <c r="K18" s="1">
        <v>1.5733680000000001</v>
      </c>
      <c r="L18">
        <f>(160925*(1/48000000))*1000</f>
        <v>3.3526041666666671</v>
      </c>
      <c r="M18" s="1">
        <v>9958</v>
      </c>
      <c r="N18" s="1">
        <v>6.6928000000000001E-2</v>
      </c>
      <c r="O18" s="1">
        <f t="shared" si="0"/>
        <v>6.6928000000000001E-2</v>
      </c>
      <c r="P18" s="3">
        <f>(197652*(1/48000000))*1000</f>
        <v>4.11775</v>
      </c>
      <c r="Q18" s="1">
        <v>19786</v>
      </c>
      <c r="R18" s="1">
        <v>-0.57127499999999998</v>
      </c>
      <c r="S18" s="1">
        <f t="shared" si="1"/>
        <v>0.57127499999999998</v>
      </c>
      <c r="T18">
        <f>(383768*(1/48000000))*1000</f>
        <v>7.9951666666666679</v>
      </c>
      <c r="U18" s="1">
        <v>80506</v>
      </c>
      <c r="V18" s="1">
        <v>-1.2888390000000001</v>
      </c>
      <c r="W18" s="1">
        <f t="shared" si="2"/>
        <v>1.2888390000000001</v>
      </c>
      <c r="X18">
        <f>(1554651*(1/48000000))*1000</f>
        <v>32.388562499999999</v>
      </c>
      <c r="Y18" s="1">
        <v>99668</v>
      </c>
      <c r="Z18" s="1">
        <v>-1.3403910000000001</v>
      </c>
      <c r="AA18" s="1">
        <f t="shared" si="3"/>
        <v>1.3403910000000001</v>
      </c>
      <c r="AB18" s="1">
        <f>(1925642*(1/48000000))*1000</f>
        <v>40.117541666666668</v>
      </c>
    </row>
    <row r="19" spans="1:28" x14ac:dyDescent="0.2">
      <c r="A19">
        <v>989.3</v>
      </c>
      <c r="B19" s="1">
        <v>39.470638000000001</v>
      </c>
      <c r="C19" s="3">
        <f>((26521*(1/48000000))*1000000)/1000</f>
        <v>0.55252083333333335</v>
      </c>
      <c r="D19">
        <v>1964.5</v>
      </c>
      <c r="E19" s="1">
        <v>14.920966999999999</v>
      </c>
      <c r="F19" s="3">
        <f>((44321*(1/48000000))*1000000)/1000</f>
        <v>0.9233541666666667</v>
      </c>
      <c r="H19" s="1">
        <v>2.8873530000000001</v>
      </c>
      <c r="I19">
        <f>(103553*(1/48000000))*1000</f>
        <v>2.1573541666666669</v>
      </c>
      <c r="J19" s="1">
        <v>8081</v>
      </c>
      <c r="K19" s="1">
        <v>1.883446</v>
      </c>
      <c r="L19">
        <f>(161109*(1/48000000))*1000</f>
        <v>3.3564375000000002</v>
      </c>
      <c r="M19" s="1">
        <v>9958</v>
      </c>
      <c r="N19" s="1">
        <v>0.49543599999999999</v>
      </c>
      <c r="O19" s="1">
        <f t="shared" si="0"/>
        <v>0.49543599999999999</v>
      </c>
      <c r="P19" s="3">
        <f>(195780*(1/48000000))*1000</f>
        <v>4.0787500000000003</v>
      </c>
      <c r="Q19" s="1">
        <v>19786</v>
      </c>
      <c r="R19" s="1">
        <v>-1.547464</v>
      </c>
      <c r="S19" s="1">
        <f t="shared" si="1"/>
        <v>1.547464</v>
      </c>
      <c r="T19">
        <f>(383882*(1/48000000))*1000</f>
        <v>7.9975416666666668</v>
      </c>
      <c r="U19" s="1">
        <v>80506</v>
      </c>
      <c r="V19" s="1">
        <v>-1.461965</v>
      </c>
      <c r="W19" s="1">
        <f t="shared" si="2"/>
        <v>1.461965</v>
      </c>
      <c r="X19">
        <f>(1563002*(1/48000000))*1000</f>
        <v>32.562541666666668</v>
      </c>
      <c r="Y19" s="1">
        <v>99668</v>
      </c>
      <c r="Z19" s="1">
        <v>-1.2989889999999999</v>
      </c>
      <c r="AA19" s="1">
        <f t="shared" si="3"/>
        <v>1.2989889999999999</v>
      </c>
      <c r="AB19" s="1">
        <f>(1936844*(1/48000000))*1000</f>
        <v>40.35091666666667</v>
      </c>
    </row>
    <row r="20" spans="1:28" x14ac:dyDescent="0.2">
      <c r="A20">
        <v>989.3</v>
      </c>
      <c r="B20" s="1">
        <v>36.419438999999997</v>
      </c>
      <c r="C20" s="3">
        <f>((27138*(1/48000000))*1000000)/1000</f>
        <v>0.56537499999999996</v>
      </c>
      <c r="D20">
        <v>1964.5</v>
      </c>
      <c r="E20" s="1">
        <v>17.470877000000002</v>
      </c>
      <c r="F20" s="3">
        <f>((44127*(1/48000000))*1000000)/1000</f>
        <v>0.91931250000000009</v>
      </c>
      <c r="H20" s="1">
        <v>4.1649079999999996</v>
      </c>
      <c r="I20">
        <f>(104238*(1/48000000))*1000</f>
        <v>2.1716250000000001</v>
      </c>
      <c r="J20" s="1">
        <v>8081</v>
      </c>
      <c r="K20" s="1">
        <v>0.57560199999999995</v>
      </c>
      <c r="L20">
        <f>(161093*(1/48000000))*1000</f>
        <v>3.3561041666666669</v>
      </c>
      <c r="M20" s="1">
        <v>9958</v>
      </c>
      <c r="N20" s="1">
        <v>1.0762179999999999</v>
      </c>
      <c r="O20" s="1">
        <f t="shared" si="0"/>
        <v>1.0762179999999999</v>
      </c>
      <c r="P20" s="3">
        <f>(196830*(1/48000000))*1000</f>
        <v>4.100625</v>
      </c>
      <c r="Q20" s="1">
        <v>19786</v>
      </c>
      <c r="R20" s="1">
        <v>-1.3213269999999999</v>
      </c>
      <c r="S20" s="1">
        <f t="shared" si="1"/>
        <v>1.3213269999999999</v>
      </c>
      <c r="T20">
        <f>(384150*(1/48000000))*1000</f>
        <v>8.0031250000000007</v>
      </c>
      <c r="U20" s="1">
        <v>80506</v>
      </c>
      <c r="V20" s="1">
        <v>-0.48577999999999999</v>
      </c>
      <c r="W20" s="1">
        <f t="shared" si="2"/>
        <v>0.48577999999999999</v>
      </c>
      <c r="X20">
        <f>(1562853*(1/48000000))*1000</f>
        <v>32.559437500000001</v>
      </c>
      <c r="Y20" s="1">
        <v>99668</v>
      </c>
      <c r="Z20" s="1">
        <v>-0.82786099999999996</v>
      </c>
      <c r="AA20" s="1">
        <f t="shared" si="3"/>
        <v>0.82786099999999996</v>
      </c>
      <c r="AB20" s="1">
        <f>(1938031*(1/48000000))*1000</f>
        <v>40.375645833333337</v>
      </c>
    </row>
    <row r="21" spans="1:28" x14ac:dyDescent="0.2">
      <c r="A21">
        <v>989.3</v>
      </c>
      <c r="B21" s="1">
        <v>32.614832</v>
      </c>
      <c r="C21" s="3">
        <f>((27210*(1/48000000))*1000000)/1000</f>
        <v>0.56687500000000002</v>
      </c>
      <c r="D21">
        <v>1964.5</v>
      </c>
      <c r="E21" s="1">
        <v>13.806518000000001</v>
      </c>
      <c r="F21" s="3">
        <f>((44986*(1/48000000))*1000000)/1000</f>
        <v>0.93720833333333342</v>
      </c>
      <c r="H21" s="1">
        <v>3.5794419999999998</v>
      </c>
      <c r="I21">
        <f>(103521*(1/48000000))*1000</f>
        <v>2.1566875000000003</v>
      </c>
      <c r="J21" s="1">
        <v>8081</v>
      </c>
      <c r="K21" s="1">
        <v>0.73864700000000005</v>
      </c>
      <c r="L21">
        <f>(161453*(1/48000000))*1000</f>
        <v>3.3636041666666672</v>
      </c>
      <c r="M21" s="1">
        <v>9958</v>
      </c>
      <c r="N21" s="1">
        <v>-0.46959200000000001</v>
      </c>
      <c r="O21" s="1">
        <f t="shared" si="0"/>
        <v>0.46959200000000001</v>
      </c>
      <c r="P21" s="3">
        <f>(197664*(1/48000000))*1000</f>
        <v>4.1180000000000003</v>
      </c>
      <c r="Q21" s="1">
        <v>19786</v>
      </c>
      <c r="R21" s="1">
        <v>-0.70639099999999999</v>
      </c>
      <c r="S21" s="1">
        <f t="shared" si="1"/>
        <v>0.70639099999999999</v>
      </c>
      <c r="T21">
        <f>(384782*(1/48000000))*1000</f>
        <v>8.0162916666666657</v>
      </c>
      <c r="U21" s="1">
        <v>80506</v>
      </c>
      <c r="V21" s="1">
        <v>-1.6241779999999999</v>
      </c>
      <c r="W21" s="1">
        <f t="shared" si="2"/>
        <v>1.6241779999999999</v>
      </c>
      <c r="X21">
        <f>(1569136*(1/48000000))*1000</f>
        <v>32.690333333333335</v>
      </c>
      <c r="Y21" s="1">
        <v>99668</v>
      </c>
      <c r="Z21" s="1">
        <v>-1.3522350000000001</v>
      </c>
      <c r="AA21" s="1">
        <f t="shared" si="3"/>
        <v>1.3522350000000001</v>
      </c>
      <c r="AB21" s="1">
        <f>(1924174*(1/48000000))*1000</f>
        <v>40.086958333333342</v>
      </c>
    </row>
    <row r="22" spans="1:28" x14ac:dyDescent="0.2">
      <c r="A22">
        <v>989.3</v>
      </c>
      <c r="B22" s="1">
        <v>41.076267999999999</v>
      </c>
      <c r="C22" s="3">
        <f>((26813*(1/48000000))*1000000)/1000</f>
        <v>0.55860416666666668</v>
      </c>
      <c r="D22">
        <v>1964.5</v>
      </c>
      <c r="E22" s="1">
        <v>18.271094999999999</v>
      </c>
      <c r="F22" s="3">
        <f>((43982*(1/48000000))*1000000)/1000</f>
        <v>0.91629166666666673</v>
      </c>
      <c r="H22" s="1">
        <v>3.8208389999999999</v>
      </c>
      <c r="I22">
        <f>(103667*(1/48000000))*1000</f>
        <v>2.1597291666666671</v>
      </c>
      <c r="J22" s="1">
        <v>8081</v>
      </c>
      <c r="K22" s="1">
        <v>2.8574679999999999</v>
      </c>
      <c r="L22">
        <f>(160785*(1/48000000))*1000</f>
        <v>3.3496875000000004</v>
      </c>
      <c r="M22" s="1">
        <v>9958</v>
      </c>
      <c r="N22" s="1">
        <v>1.567563</v>
      </c>
      <c r="O22" s="1">
        <f t="shared" si="0"/>
        <v>1.567563</v>
      </c>
      <c r="P22" s="3">
        <f>(197585*(1/48000000))*1000</f>
        <v>4.1163541666666665</v>
      </c>
      <c r="Q22" s="1">
        <v>19786</v>
      </c>
      <c r="R22" s="1">
        <v>-1.9378759999999999</v>
      </c>
      <c r="S22" s="1">
        <f t="shared" si="1"/>
        <v>1.9378759999999999</v>
      </c>
      <c r="T22">
        <f>(385178*(1/48000000))*1000</f>
        <v>8.0245416666666678</v>
      </c>
      <c r="U22" s="1">
        <v>80506</v>
      </c>
      <c r="V22" s="1">
        <v>-0.71769899999999998</v>
      </c>
      <c r="W22" s="1">
        <f t="shared" si="2"/>
        <v>0.71769899999999998</v>
      </c>
      <c r="X22">
        <f>(1569415*(1/48000000))*1000</f>
        <v>32.696145833333333</v>
      </c>
      <c r="Y22" s="1">
        <v>99668</v>
      </c>
      <c r="Z22" s="1">
        <v>-1.038108</v>
      </c>
      <c r="AA22" s="1">
        <f t="shared" si="3"/>
        <v>1.038108</v>
      </c>
      <c r="AB22" s="1">
        <f>(1935596*(1/48000000))*1000</f>
        <v>40.324916666666667</v>
      </c>
    </row>
    <row r="23" spans="1:28" x14ac:dyDescent="0.2">
      <c r="A23">
        <v>989.3</v>
      </c>
      <c r="B23" s="1">
        <v>38.156787999999999</v>
      </c>
      <c r="C23" s="3">
        <f>((26479*(1/48000000))*1000000)/1000</f>
        <v>0.55164583333333339</v>
      </c>
      <c r="D23">
        <v>1964.5</v>
      </c>
      <c r="E23" s="1">
        <v>14.663819</v>
      </c>
      <c r="F23" s="3">
        <f>((45238*(1/48000000))*1000000)/1000</f>
        <v>0.9424583333333334</v>
      </c>
      <c r="H23" s="1">
        <v>2.3244609999999999</v>
      </c>
      <c r="I23">
        <f>(103684*(1/48000000))*1000</f>
        <v>2.1600833333333331</v>
      </c>
      <c r="J23" s="1">
        <v>8081</v>
      </c>
      <c r="K23" s="1">
        <v>1.4952190000000001</v>
      </c>
      <c r="L23">
        <f>(161587*(1/48000000))*1000</f>
        <v>3.3663958333333337</v>
      </c>
      <c r="M23" s="1">
        <v>9958</v>
      </c>
      <c r="N23" s="1">
        <v>1.6807179999999999</v>
      </c>
      <c r="O23" s="1">
        <f t="shared" si="0"/>
        <v>1.6807179999999999</v>
      </c>
      <c r="P23" s="3">
        <f>(198041*(1/48000000))*1000</f>
        <v>4.1258541666666666</v>
      </c>
      <c r="Q23" s="1">
        <v>19786</v>
      </c>
      <c r="R23" s="1">
        <v>-1.383966</v>
      </c>
      <c r="S23" s="1">
        <f t="shared" si="1"/>
        <v>1.383966</v>
      </c>
      <c r="T23">
        <f>(383486*(1/48000000))*1000</f>
        <v>7.9892916666666673</v>
      </c>
      <c r="U23" s="1">
        <v>80506</v>
      </c>
      <c r="V23" s="1">
        <v>-0.153535</v>
      </c>
      <c r="W23" s="1">
        <f t="shared" si="2"/>
        <v>0.153535</v>
      </c>
      <c r="X23">
        <f>(1565786*(1/48000000))*1000</f>
        <v>32.620541666666668</v>
      </c>
      <c r="Y23" s="1">
        <v>99668</v>
      </c>
      <c r="Z23" s="1">
        <v>-1.372414</v>
      </c>
      <c r="AA23" s="1">
        <f t="shared" si="3"/>
        <v>1.372414</v>
      </c>
      <c r="AB23" s="1">
        <f>(1935189*(1/48000000))*1000</f>
        <v>40.316437500000006</v>
      </c>
    </row>
    <row r="24" spans="1:28" x14ac:dyDescent="0.2">
      <c r="A24">
        <v>989.3</v>
      </c>
      <c r="B24" s="1">
        <v>37.114154999999997</v>
      </c>
      <c r="C24" s="3">
        <f>((27359*(1/48000000))*1000000)/1000</f>
        <v>0.56997916666666659</v>
      </c>
      <c r="D24">
        <v>1964.5</v>
      </c>
      <c r="E24" s="1">
        <v>15.599563</v>
      </c>
      <c r="F24" s="3">
        <f>((45005*(1/48000000))*1000000)/1000</f>
        <v>0.93760416666666679</v>
      </c>
      <c r="H24" s="1">
        <v>3.3099919999999998</v>
      </c>
      <c r="I24">
        <f>(102629*(1/48000000))*1000</f>
        <v>2.1381041666666665</v>
      </c>
      <c r="J24" s="1">
        <v>8081</v>
      </c>
      <c r="K24" s="1">
        <v>2.993312</v>
      </c>
      <c r="L24">
        <f>(162413*(1/48000000))*1000</f>
        <v>3.3836041666666667</v>
      </c>
      <c r="M24" s="1">
        <v>9958</v>
      </c>
      <c r="N24" s="1">
        <v>-0.25718000000000002</v>
      </c>
      <c r="O24" s="1">
        <f t="shared" si="0"/>
        <v>0.25718000000000002</v>
      </c>
      <c r="P24" s="3">
        <f>(196791*(1/48000000))*1000</f>
        <v>4.0998125000000005</v>
      </c>
      <c r="Q24" s="1">
        <v>19786</v>
      </c>
      <c r="R24" s="1">
        <v>-1.598797</v>
      </c>
      <c r="S24" s="1">
        <f t="shared" si="1"/>
        <v>1.598797</v>
      </c>
      <c r="T24">
        <f>(383883*(1/48000000))*1000</f>
        <v>7.9975625000000008</v>
      </c>
      <c r="U24" s="1">
        <v>80506</v>
      </c>
      <c r="V24" s="1">
        <v>-0.88414700000000002</v>
      </c>
      <c r="W24" s="1">
        <f t="shared" si="2"/>
        <v>0.88414700000000002</v>
      </c>
      <c r="X24">
        <f>(1566179*(1/48000000))*1000</f>
        <v>32.628729166666666</v>
      </c>
      <c r="Y24" s="1">
        <v>99668</v>
      </c>
      <c r="Z24" s="1">
        <v>-0.65226799999999996</v>
      </c>
      <c r="AA24" s="1">
        <f t="shared" si="3"/>
        <v>0.65226799999999996</v>
      </c>
      <c r="AB24" s="1">
        <f>(1923017*(1/48000000))*1000</f>
        <v>40.062854166666668</v>
      </c>
    </row>
    <row r="25" spans="1:28" x14ac:dyDescent="0.2">
      <c r="A25">
        <v>989.3</v>
      </c>
      <c r="B25" s="1">
        <v>35.477158000000003</v>
      </c>
      <c r="C25" s="3">
        <f>((27310*(1/48000000))*1000000)/1000</f>
        <v>0.56895833333333334</v>
      </c>
      <c r="D25">
        <v>1964.5</v>
      </c>
      <c r="E25" s="1">
        <v>14.653130000000001</v>
      </c>
      <c r="F25" s="3">
        <f>((45552*(1/48000000))*1000000)/1000</f>
        <v>0.94900000000000007</v>
      </c>
      <c r="H25" s="1">
        <v>3.1517620000000002</v>
      </c>
      <c r="I25">
        <f>(104612*(1/48000000))*1000</f>
        <v>2.1794166666666666</v>
      </c>
      <c r="J25" s="1">
        <v>8081</v>
      </c>
      <c r="K25" s="1">
        <v>2.3231410000000001</v>
      </c>
      <c r="L25">
        <f>(160888*(1/48000000))*1000</f>
        <v>3.3518333333333334</v>
      </c>
      <c r="M25" s="1">
        <v>9958</v>
      </c>
      <c r="N25" s="1">
        <v>2.0165980000000001</v>
      </c>
      <c r="O25" s="1">
        <f t="shared" si="0"/>
        <v>2.0165980000000001</v>
      </c>
      <c r="P25" s="3">
        <f>(197701*(1/48000000))*1000</f>
        <v>4.1187708333333335</v>
      </c>
      <c r="Q25" s="1">
        <v>19786</v>
      </c>
      <c r="R25" s="1">
        <v>-0.85907900000000004</v>
      </c>
      <c r="S25" s="1">
        <f t="shared" si="1"/>
        <v>0.85907900000000004</v>
      </c>
      <c r="T25">
        <f>(383490*(1/48000000))*1000</f>
        <v>7.9893749999999999</v>
      </c>
      <c r="U25" s="1">
        <v>80506</v>
      </c>
      <c r="V25" s="1">
        <v>-0.96577800000000003</v>
      </c>
      <c r="W25" s="1">
        <f t="shared" si="2"/>
        <v>0.96577800000000003</v>
      </c>
      <c r="X25">
        <f>(1570589*(1/48000000))*1000</f>
        <v>32.720604166666668</v>
      </c>
      <c r="Y25" s="1">
        <v>99668</v>
      </c>
      <c r="Z25" s="1">
        <v>-1.5101329999999999</v>
      </c>
      <c r="AA25" s="1">
        <f t="shared" si="3"/>
        <v>1.5101329999999999</v>
      </c>
      <c r="AB25" s="1">
        <f>(1936922*(1/48000000))*1000</f>
        <v>40.352541666666674</v>
      </c>
    </row>
    <row r="26" spans="1:28" x14ac:dyDescent="0.2">
      <c r="A26">
        <v>989.3</v>
      </c>
      <c r="B26" s="1">
        <v>38.327033</v>
      </c>
      <c r="C26" s="3">
        <f>((27325*(1/48000000))*1000000)/1000</f>
        <v>0.56927083333333339</v>
      </c>
      <c r="D26">
        <v>1964.5</v>
      </c>
      <c r="E26" s="1">
        <v>14.034749</v>
      </c>
      <c r="F26" s="3">
        <f>((44489*(1/48000000))*1000000)/1000</f>
        <v>0.92685416666666676</v>
      </c>
      <c r="H26" s="1">
        <v>2.7002730000000001</v>
      </c>
      <c r="I26">
        <f>(103506*(1/48000000))*1000</f>
        <v>2.1563750000000002</v>
      </c>
      <c r="J26" s="1">
        <v>8081</v>
      </c>
      <c r="K26" s="1">
        <v>2.4736910000000001</v>
      </c>
      <c r="L26">
        <f>(160214*(1/48000000))*1000</f>
        <v>3.3377916666666669</v>
      </c>
      <c r="M26" s="1">
        <v>9958</v>
      </c>
      <c r="N26" s="1">
        <v>2.2936190000000001</v>
      </c>
      <c r="O26" s="1">
        <f t="shared" si="0"/>
        <v>2.2936190000000001</v>
      </c>
      <c r="P26" s="3">
        <f>(197100*(1/48000000))*1000</f>
        <v>4.1062500000000002</v>
      </c>
      <c r="Q26" s="1">
        <v>19786</v>
      </c>
      <c r="R26" s="1">
        <v>-0.436587</v>
      </c>
      <c r="S26" s="1">
        <f t="shared" si="1"/>
        <v>0.436587</v>
      </c>
      <c r="T26">
        <f>(387125*(1/48000000))*1000</f>
        <v>8.0651041666666661</v>
      </c>
      <c r="U26" s="1">
        <v>80506</v>
      </c>
      <c r="V26" s="1">
        <v>-0.70409299999999997</v>
      </c>
      <c r="W26" s="1">
        <f t="shared" si="2"/>
        <v>0.70409299999999997</v>
      </c>
      <c r="X26">
        <f>(1564228*(1/48000000))*1000</f>
        <v>32.588083333333337</v>
      </c>
      <c r="Y26" s="1">
        <v>99668</v>
      </c>
      <c r="Z26" s="1">
        <v>-2.1521569999999999</v>
      </c>
      <c r="AA26" s="1">
        <f t="shared" si="3"/>
        <v>2.1521569999999999</v>
      </c>
      <c r="AB26" s="1">
        <f>(1938579*(1/48000000))*1000</f>
        <v>40.387062499999999</v>
      </c>
    </row>
    <row r="27" spans="1:28" x14ac:dyDescent="0.2">
      <c r="A27">
        <v>989.3</v>
      </c>
      <c r="B27" s="1">
        <v>38.356974000000001</v>
      </c>
      <c r="C27" s="3">
        <f>((26475*(1/48000000))*1000000)/1000</f>
        <v>0.55156250000000007</v>
      </c>
      <c r="D27">
        <v>1964.5</v>
      </c>
      <c r="E27" s="1">
        <v>14.988246</v>
      </c>
      <c r="F27" s="3">
        <f>((44744*(1/48000000))*1000000)/1000</f>
        <v>0.9321666666666667</v>
      </c>
      <c r="H27" s="1">
        <v>3.3400840000000001</v>
      </c>
      <c r="I27">
        <f>(102959*(1/48000000))*1000</f>
        <v>2.1449791666666669</v>
      </c>
      <c r="J27" s="1">
        <v>8081</v>
      </c>
      <c r="K27" s="1">
        <v>2.2968760000000001</v>
      </c>
      <c r="L27">
        <f>(161222*(1/48000000))*1000</f>
        <v>3.3587916666666668</v>
      </c>
      <c r="M27" s="1">
        <v>9958</v>
      </c>
      <c r="N27" s="1">
        <v>1.3993420000000001</v>
      </c>
      <c r="O27" s="1">
        <f t="shared" si="0"/>
        <v>1.3993420000000001</v>
      </c>
      <c r="P27" s="3">
        <f>(196946*(1/48000000))*1000</f>
        <v>4.1030416666666669</v>
      </c>
      <c r="Q27" s="1">
        <v>19786</v>
      </c>
      <c r="R27" s="1">
        <v>-0.60926400000000003</v>
      </c>
      <c r="S27" s="1">
        <f t="shared" si="1"/>
        <v>0.60926400000000003</v>
      </c>
      <c r="T27">
        <f>(384572*(1/48000000))*1000</f>
        <v>8.0119166666666679</v>
      </c>
      <c r="U27" s="1">
        <v>80506</v>
      </c>
      <c r="V27" s="1">
        <v>-0.29211900000000002</v>
      </c>
      <c r="W27" s="1">
        <f t="shared" si="2"/>
        <v>0.29211900000000002</v>
      </c>
      <c r="X27">
        <f>(1567438*(1/48000000))*1000</f>
        <v>32.65495833333334</v>
      </c>
      <c r="Y27" s="1">
        <v>99668</v>
      </c>
      <c r="Z27" s="1">
        <v>-1.1015109999999999</v>
      </c>
      <c r="AA27" s="1">
        <f t="shared" si="3"/>
        <v>1.1015109999999999</v>
      </c>
      <c r="AB27" s="1">
        <f>(1934224*(1/48000000))*1000</f>
        <v>40.296333333333337</v>
      </c>
    </row>
    <row r="28" spans="1:28" x14ac:dyDescent="0.2">
      <c r="A28">
        <v>989.3</v>
      </c>
      <c r="B28" s="1">
        <v>40.192635000000003</v>
      </c>
      <c r="C28" s="3">
        <f>((27139*(1/48000000))*1000000)/1000</f>
        <v>0.56539583333333332</v>
      </c>
      <c r="D28">
        <v>1964.5</v>
      </c>
      <c r="E28" s="1">
        <v>12.362231</v>
      </c>
      <c r="F28" s="3">
        <f>((44501*(1/48000000))*1000000)/1000</f>
        <v>0.92710416666666662</v>
      </c>
      <c r="H28" s="1">
        <v>2.5888909999999998</v>
      </c>
      <c r="I28">
        <f>(103560*(1/48000000))*1000</f>
        <v>2.1575000000000002</v>
      </c>
      <c r="J28" s="1">
        <v>8081</v>
      </c>
      <c r="K28" s="1">
        <v>0.80874599999999996</v>
      </c>
      <c r="L28">
        <f>(161753*(1/48000000))*1000</f>
        <v>3.3698541666666668</v>
      </c>
      <c r="M28" s="1">
        <v>9958</v>
      </c>
      <c r="N28" s="1">
        <v>1.3918790000000001</v>
      </c>
      <c r="O28" s="1">
        <f t="shared" si="0"/>
        <v>1.3918790000000001</v>
      </c>
      <c r="P28" s="3">
        <f>(197180*(1/48000000))*1000</f>
        <v>4.1079166666666671</v>
      </c>
      <c r="Q28" s="1">
        <v>19786</v>
      </c>
      <c r="R28" s="1">
        <v>-2.1143529999999999</v>
      </c>
      <c r="S28" s="1">
        <f t="shared" si="1"/>
        <v>2.1143529999999999</v>
      </c>
      <c r="T28">
        <f>(385645*(1/48000000))*1000</f>
        <v>8.0342708333333341</v>
      </c>
      <c r="U28" s="1">
        <v>80506</v>
      </c>
      <c r="V28" s="1">
        <v>-0.96048299999999998</v>
      </c>
      <c r="W28" s="1">
        <f t="shared" si="2"/>
        <v>0.96048299999999998</v>
      </c>
      <c r="X28">
        <f>(1565135*(1/48000000))*1000</f>
        <v>32.606979166666669</v>
      </c>
      <c r="Y28" s="1">
        <v>99668</v>
      </c>
      <c r="Z28" s="1">
        <v>-1.0500100000000001</v>
      </c>
      <c r="AA28" s="1">
        <f t="shared" si="3"/>
        <v>1.0500100000000001</v>
      </c>
      <c r="AB28" s="1">
        <f>(1935168*(1/48000000))*1000</f>
        <v>40.316000000000003</v>
      </c>
    </row>
    <row r="29" spans="1:28" x14ac:dyDescent="0.2">
      <c r="A29">
        <v>989.3</v>
      </c>
      <c r="B29" s="1">
        <v>43.415053</v>
      </c>
      <c r="C29" s="3">
        <f>((26750*(1/48000000))*1000000)/1000</f>
        <v>0.55729166666666663</v>
      </c>
      <c r="D29">
        <v>1964.5</v>
      </c>
      <c r="E29" s="1">
        <v>16.030539000000001</v>
      </c>
      <c r="F29" s="3">
        <f>((44679*(1/48000000))*1000000)/1000</f>
        <v>0.93081250000000015</v>
      </c>
      <c r="H29" s="1">
        <v>3.7382819999999999</v>
      </c>
      <c r="I29">
        <f>(102821*(1/48000000))*1000</f>
        <v>2.1421041666666669</v>
      </c>
      <c r="J29" s="1">
        <v>8081</v>
      </c>
      <c r="K29" s="1">
        <v>2.7084649999999999</v>
      </c>
      <c r="L29">
        <f>(161259*(1/48000000))*1000</f>
        <v>3.3595625</v>
      </c>
      <c r="M29" s="1">
        <v>9958</v>
      </c>
      <c r="N29" s="1">
        <v>1.1416139999999999</v>
      </c>
      <c r="O29" s="1">
        <f t="shared" si="0"/>
        <v>1.1416139999999999</v>
      </c>
      <c r="P29" s="3">
        <f>(196873*(1/48000000))*1000</f>
        <v>4.1015208333333337</v>
      </c>
      <c r="Q29" s="1">
        <v>19786</v>
      </c>
      <c r="R29" s="1">
        <v>2.5239999999999999E-2</v>
      </c>
      <c r="S29" s="1">
        <f t="shared" si="1"/>
        <v>2.5239999999999999E-2</v>
      </c>
      <c r="T29">
        <f>(385875*(1/48000000))*1000</f>
        <v>8.0390625000000018</v>
      </c>
      <c r="U29" s="1">
        <v>80506</v>
      </c>
      <c r="V29" s="1">
        <v>-0.93113299999999999</v>
      </c>
      <c r="W29" s="1">
        <f t="shared" si="2"/>
        <v>0.93113299999999999</v>
      </c>
      <c r="X29">
        <f>(1568078*(1/48000000))*1000</f>
        <v>32.668291666666669</v>
      </c>
      <c r="Y29" s="1">
        <v>99668</v>
      </c>
      <c r="Z29" s="1">
        <v>-1.832468</v>
      </c>
      <c r="AA29" s="1">
        <f t="shared" si="3"/>
        <v>1.832468</v>
      </c>
      <c r="AB29" s="1">
        <f>(1938576*(1/48000000))*1000</f>
        <v>40.387</v>
      </c>
    </row>
    <row r="30" spans="1:28" x14ac:dyDescent="0.2">
      <c r="A30">
        <v>989.3</v>
      </c>
      <c r="B30" s="1">
        <v>39.394216999999998</v>
      </c>
      <c r="C30" s="3">
        <f>((26016*(1/48000000))*1000000)/1000</f>
        <v>0.54200000000000004</v>
      </c>
      <c r="D30">
        <v>1964.5</v>
      </c>
      <c r="E30" s="1">
        <v>13.963647</v>
      </c>
      <c r="F30" s="3">
        <f>((43981*(1/48000000))*1000000)/1000</f>
        <v>0.91627083333333337</v>
      </c>
      <c r="H30" s="1">
        <v>4.4139600000000003</v>
      </c>
      <c r="I30">
        <f>(102924*(1/48000000))*1000</f>
        <v>2.1442500000000004</v>
      </c>
      <c r="J30" s="1">
        <v>8081</v>
      </c>
      <c r="K30" s="1">
        <v>1.769541</v>
      </c>
      <c r="L30">
        <f>(163143*(1/48000000))*1000</f>
        <v>3.3988125000000005</v>
      </c>
      <c r="M30" s="1">
        <v>9958</v>
      </c>
      <c r="N30" s="1">
        <v>1.8052980000000001</v>
      </c>
      <c r="O30" s="1">
        <f t="shared" si="0"/>
        <v>1.8052980000000001</v>
      </c>
      <c r="P30" s="3">
        <f>(197358*(1/48000000))*1000</f>
        <v>4.1116250000000001</v>
      </c>
      <c r="Q30" s="1">
        <v>19786</v>
      </c>
      <c r="R30" s="1">
        <v>-1.1634059999999999</v>
      </c>
      <c r="S30" s="1">
        <f t="shared" si="1"/>
        <v>1.1634059999999999</v>
      </c>
      <c r="T30">
        <f>(385528*(1/48000000))*1000</f>
        <v>8.0318333333333332</v>
      </c>
      <c r="U30" s="1">
        <v>80506</v>
      </c>
      <c r="V30" s="1">
        <v>-1.398919</v>
      </c>
      <c r="W30" s="1">
        <f t="shared" si="2"/>
        <v>1.398919</v>
      </c>
      <c r="X30">
        <f>(1556722*(1/48000000))*1000</f>
        <v>32.43170833333334</v>
      </c>
      <c r="Y30" s="1">
        <v>99668</v>
      </c>
      <c r="Z30" s="1">
        <v>-0.94902500000000001</v>
      </c>
      <c r="AA30" s="1">
        <f t="shared" si="3"/>
        <v>0.94902500000000001</v>
      </c>
      <c r="AB30" s="1">
        <f>(1933652*(1/48000000))*1000</f>
        <v>40.284416666666672</v>
      </c>
    </row>
    <row r="31" spans="1:28" x14ac:dyDescent="0.2">
      <c r="A31">
        <v>989.3</v>
      </c>
      <c r="B31" s="1">
        <v>34.045985999999999</v>
      </c>
      <c r="C31" s="3">
        <f>((26765*(1/48000000))*1000000)/1000</f>
        <v>0.55760416666666679</v>
      </c>
      <c r="D31">
        <v>1964.5</v>
      </c>
      <c r="E31" s="1">
        <v>16.174206999999999</v>
      </c>
      <c r="F31" s="3">
        <f>((45265*(1/48000000))*1000000)/1000</f>
        <v>0.94302083333333342</v>
      </c>
      <c r="H31" s="1">
        <v>4.0427809999999997</v>
      </c>
      <c r="I31">
        <f>(102376*(1/48000000))*1000</f>
        <v>2.1328333333333336</v>
      </c>
      <c r="J31" s="1">
        <v>8081</v>
      </c>
      <c r="K31" s="1">
        <v>1.5593490000000001</v>
      </c>
      <c r="L31">
        <f>(162127*(1/48000000))*1000</f>
        <v>3.3776458333333337</v>
      </c>
      <c r="M31" s="1">
        <v>9958</v>
      </c>
      <c r="N31" s="1">
        <v>-6.4549999999999996E-2</v>
      </c>
      <c r="O31" s="1">
        <f t="shared" si="0"/>
        <v>6.4549999999999996E-2</v>
      </c>
      <c r="P31" s="3">
        <f>(196274*(1/48000000))*1000</f>
        <v>4.0890416666666667</v>
      </c>
      <c r="Q31" s="1">
        <v>19786</v>
      </c>
      <c r="R31" s="1">
        <v>-1.60626</v>
      </c>
      <c r="S31" s="1">
        <f t="shared" si="1"/>
        <v>1.60626</v>
      </c>
      <c r="T31">
        <f>(384576*(1/48000000))*1000</f>
        <v>8.0120000000000005</v>
      </c>
      <c r="U31" s="1">
        <v>80506</v>
      </c>
      <c r="V31" s="1">
        <v>-1.156847</v>
      </c>
      <c r="W31" s="1">
        <f t="shared" si="2"/>
        <v>1.156847</v>
      </c>
      <c r="X31">
        <f>(1562052*(1/48000000))*1000</f>
        <v>32.542750000000005</v>
      </c>
      <c r="Y31" s="1">
        <v>99668</v>
      </c>
      <c r="Z31" s="1">
        <v>-1.0497050000000001</v>
      </c>
      <c r="AA31" s="1">
        <f t="shared" si="3"/>
        <v>1.0497050000000001</v>
      </c>
      <c r="AB31" s="1">
        <f>(1934144*(1/48000000))*1000</f>
        <v>40.294666666666664</v>
      </c>
    </row>
    <row r="32" spans="1:28" x14ac:dyDescent="0.2">
      <c r="A32">
        <v>989.3</v>
      </c>
      <c r="B32" s="1">
        <v>36.248401000000001</v>
      </c>
      <c r="C32" s="3">
        <f>((26156*(1/48000000))*1000000)/1000</f>
        <v>0.54491666666666672</v>
      </c>
      <c r="D32">
        <v>1964.5</v>
      </c>
      <c r="E32" s="1">
        <v>15.472517</v>
      </c>
      <c r="F32" s="3">
        <f>((45631*(1/48000000))*1000000)/1000</f>
        <v>0.95064583333333341</v>
      </c>
      <c r="H32" s="1">
        <v>3.2957550000000002</v>
      </c>
      <c r="I32">
        <f>(103038*(1/48000000))*1000</f>
        <v>2.1466250000000002</v>
      </c>
      <c r="J32" s="1">
        <v>8081</v>
      </c>
      <c r="K32" s="1">
        <v>2.0010590000000001</v>
      </c>
      <c r="L32">
        <f>(161047*(1/48000000))*1000</f>
        <v>3.3551458333333337</v>
      </c>
      <c r="M32" s="1">
        <v>9958</v>
      </c>
      <c r="N32" s="1">
        <v>1.7667379999999999</v>
      </c>
      <c r="O32" s="1">
        <f t="shared" si="0"/>
        <v>1.7667379999999999</v>
      </c>
      <c r="P32" s="3">
        <f>(195841*(1/48000000))*1000</f>
        <v>4.0800208333333341</v>
      </c>
      <c r="Q32" s="1">
        <v>19786</v>
      </c>
      <c r="R32" s="1">
        <v>-0.67227999999999999</v>
      </c>
      <c r="S32" s="1">
        <f t="shared" si="1"/>
        <v>0.67227999999999999</v>
      </c>
      <c r="T32">
        <f>(385547*(1/48000000))*1000</f>
        <v>8.0322291666666672</v>
      </c>
      <c r="U32" s="1">
        <v>80506</v>
      </c>
      <c r="V32" s="1">
        <v>-1.5743640000000001</v>
      </c>
      <c r="W32" s="1">
        <f t="shared" si="2"/>
        <v>1.5743640000000001</v>
      </c>
      <c r="X32">
        <f>(1561878*(1/48000000))*1000</f>
        <v>32.539124999999999</v>
      </c>
      <c r="Y32" s="1">
        <v>99668</v>
      </c>
      <c r="Z32" s="1">
        <v>-1.1939010000000001</v>
      </c>
      <c r="AA32" s="1">
        <f t="shared" si="3"/>
        <v>1.1939010000000001</v>
      </c>
      <c r="AB32" s="1">
        <f>(1938068*(1/48000000))*1000</f>
        <v>40.376416666666671</v>
      </c>
    </row>
    <row r="33" spans="1:28" x14ac:dyDescent="0.2">
      <c r="A33">
        <v>989.3</v>
      </c>
      <c r="B33" s="1">
        <v>42.027433000000002</v>
      </c>
      <c r="C33" s="3">
        <f>((27035*(1/48000000))*1000000)/1000</f>
        <v>0.56322916666666678</v>
      </c>
      <c r="D33">
        <v>1964.5</v>
      </c>
      <c r="E33" s="1">
        <v>15.995305999999999</v>
      </c>
      <c r="F33" s="3">
        <f>((44609*(1/48000000))*1000000)/1000</f>
        <v>0.9293541666666667</v>
      </c>
      <c r="H33" s="1">
        <v>3.5978829999999999</v>
      </c>
      <c r="I33">
        <f>(104051*(1/48000000))*1000</f>
        <v>2.1677291666666667</v>
      </c>
      <c r="J33" s="1">
        <v>8081</v>
      </c>
      <c r="K33" s="1">
        <v>2.527301</v>
      </c>
      <c r="L33">
        <f>(160260*(1/48000000))*1000</f>
        <v>3.3387500000000001</v>
      </c>
      <c r="M33" s="1">
        <v>9958</v>
      </c>
      <c r="N33" s="1">
        <v>1.3271660000000001</v>
      </c>
      <c r="O33" s="1">
        <f t="shared" si="0"/>
        <v>1.3271660000000001</v>
      </c>
      <c r="P33" s="3">
        <f>(197259*(1/48000000))*1000</f>
        <v>4.1095625</v>
      </c>
      <c r="Q33" s="1">
        <v>19786</v>
      </c>
      <c r="R33" s="1">
        <v>-0.24990100000000001</v>
      </c>
      <c r="S33" s="1">
        <f t="shared" si="1"/>
        <v>0.24990100000000001</v>
      </c>
      <c r="T33">
        <f>(384965*(1/48000000))*1000</f>
        <v>8.0201041666666661</v>
      </c>
      <c r="U33" s="1">
        <v>80506</v>
      </c>
      <c r="V33" s="1">
        <v>-1.9294929999999999</v>
      </c>
      <c r="W33" s="1">
        <f t="shared" si="2"/>
        <v>1.9294929999999999</v>
      </c>
      <c r="X33">
        <f>(1566732*(1/48000000))*1000</f>
        <v>32.640250000000002</v>
      </c>
      <c r="Y33" s="1">
        <v>99668</v>
      </c>
      <c r="Z33" s="1">
        <v>-1.1619299999999999</v>
      </c>
      <c r="AA33" s="1">
        <f t="shared" si="3"/>
        <v>1.1619299999999999</v>
      </c>
      <c r="AB33" s="1">
        <f>(1936533*(1/48000000))*1000</f>
        <v>40.344437500000005</v>
      </c>
    </row>
    <row r="34" spans="1:28" x14ac:dyDescent="0.2">
      <c r="A34">
        <v>989.3</v>
      </c>
      <c r="B34" s="1">
        <v>36.357497000000002</v>
      </c>
      <c r="C34" s="3">
        <f>((27248*(1/48000000))*1000000)/1000</f>
        <v>0.56766666666666676</v>
      </c>
      <c r="D34">
        <v>1964.5</v>
      </c>
      <c r="E34" s="1">
        <v>14.447368000000001</v>
      </c>
      <c r="F34" s="3">
        <f>((45246*(1/48000000))*1000000)/1000</f>
        <v>0.94262500000000016</v>
      </c>
      <c r="H34" s="1">
        <v>4.7034950000000002</v>
      </c>
      <c r="I34">
        <f>(103517*(1/48000000))*1000</f>
        <v>2.1566041666666669</v>
      </c>
      <c r="J34" s="1">
        <v>8081</v>
      </c>
      <c r="K34" s="1">
        <v>1.189613</v>
      </c>
      <c r="L34">
        <f>(161432*(1/48000000))*1000</f>
        <v>3.3631666666666673</v>
      </c>
      <c r="M34" s="1">
        <v>9958</v>
      </c>
      <c r="N34" s="1">
        <v>0.29865000000000003</v>
      </c>
      <c r="O34" s="1">
        <f t="shared" si="0"/>
        <v>0.29865000000000003</v>
      </c>
      <c r="P34" s="3">
        <f>(196645*(1/48000000))*1000</f>
        <v>4.0967708333333333</v>
      </c>
      <c r="Q34" s="1">
        <v>19786</v>
      </c>
      <c r="R34" s="1">
        <v>-1.577555</v>
      </c>
      <c r="S34" s="1">
        <f t="shared" si="1"/>
        <v>1.577555</v>
      </c>
      <c r="T34">
        <f>(384060*(1/48000000))*1000</f>
        <v>8.0012499999999989</v>
      </c>
      <c r="U34" s="1">
        <v>80506</v>
      </c>
      <c r="V34" s="1">
        <v>-1.0193080000000001</v>
      </c>
      <c r="W34" s="1">
        <f t="shared" si="2"/>
        <v>1.0193080000000001</v>
      </c>
      <c r="X34">
        <f>(1566047*(1/48000000))*1000</f>
        <v>32.625979166666667</v>
      </c>
      <c r="Y34" s="1">
        <v>99668</v>
      </c>
      <c r="Z34" s="1">
        <v>-1.203997</v>
      </c>
      <c r="AA34" s="1">
        <f t="shared" si="3"/>
        <v>1.203997</v>
      </c>
      <c r="AB34" s="1">
        <f>(1925960*(1/48000000))*1000</f>
        <v>40.124166666666667</v>
      </c>
    </row>
    <row r="35" spans="1:28" x14ac:dyDescent="0.2">
      <c r="A35">
        <v>989.3</v>
      </c>
      <c r="B35" s="1">
        <v>37.850895999999999</v>
      </c>
      <c r="C35" s="3">
        <f>((25981*(1/48000000))*1000000)/1000</f>
        <v>0.54127083333333337</v>
      </c>
      <c r="D35">
        <v>1964.5</v>
      </c>
      <c r="E35" s="1">
        <v>14.641356</v>
      </c>
      <c r="F35" s="3">
        <f>((43858*(1/48000000))*1000000)/1000</f>
        <v>0.91370833333333346</v>
      </c>
      <c r="H35" s="1">
        <v>2.749126</v>
      </c>
      <c r="I35">
        <f>(103165*(1/48000000))*1000</f>
        <v>2.1492708333333335</v>
      </c>
      <c r="J35" s="1">
        <v>8081</v>
      </c>
      <c r="K35" s="1">
        <v>1.310913</v>
      </c>
      <c r="L35">
        <f>(160814*(1/48000000))*1000</f>
        <v>3.3502916666666667</v>
      </c>
      <c r="M35" s="1">
        <v>9958</v>
      </c>
      <c r="N35" s="1">
        <v>1.7601309999999999</v>
      </c>
      <c r="O35" s="1">
        <f t="shared" si="0"/>
        <v>1.7601309999999999</v>
      </c>
      <c r="P35" s="3">
        <f>(197762*(1/48000000))*1000</f>
        <v>4.1200416666666664</v>
      </c>
      <c r="Q35" s="1">
        <v>19786</v>
      </c>
      <c r="R35" s="1">
        <v>-1.6030610000000001</v>
      </c>
      <c r="S35" s="1">
        <f t="shared" si="1"/>
        <v>1.6030610000000001</v>
      </c>
      <c r="T35">
        <f>(383539*(1/48000000))*1000</f>
        <v>7.9903958333333334</v>
      </c>
      <c r="U35" s="1">
        <v>80506</v>
      </c>
      <c r="V35" s="1">
        <v>-0.81501199999999996</v>
      </c>
      <c r="W35" s="1">
        <f t="shared" si="2"/>
        <v>0.81501199999999996</v>
      </c>
      <c r="X35">
        <f>(1563863*(1/48000000))*1000</f>
        <v>32.58047916666667</v>
      </c>
      <c r="Y35" s="1">
        <v>99668</v>
      </c>
      <c r="Z35" s="1">
        <v>-1.8276669999999999</v>
      </c>
      <c r="AA35" s="1">
        <f t="shared" si="3"/>
        <v>1.8276669999999999</v>
      </c>
      <c r="AB35" s="1">
        <f>(1931477*(1/48000000))*1000</f>
        <v>40.239104166666671</v>
      </c>
    </row>
    <row r="36" spans="1:28" x14ac:dyDescent="0.2">
      <c r="A36">
        <v>989.3</v>
      </c>
      <c r="B36" s="1">
        <v>39.600315999999999</v>
      </c>
      <c r="C36" s="3">
        <f>((26110*(1/48000000))*1000000)/1000</f>
        <v>0.54395833333333332</v>
      </c>
      <c r="D36">
        <v>1964.5</v>
      </c>
      <c r="E36" s="1">
        <v>14.639340000000001</v>
      </c>
      <c r="F36" s="3">
        <f>((44943*(1/48000000))*1000000)/1000</f>
        <v>0.9363125000000001</v>
      </c>
      <c r="H36" s="1">
        <v>2.673114</v>
      </c>
      <c r="I36">
        <f>(103376*(1/48000000))*1000</f>
        <v>2.1536666666666671</v>
      </c>
      <c r="J36" s="1">
        <v>8081</v>
      </c>
      <c r="K36" s="1">
        <v>3.0289540000000001</v>
      </c>
      <c r="L36">
        <f>(161791*(1/48000000))*1000</f>
        <v>3.3706458333333336</v>
      </c>
      <c r="M36" s="1">
        <v>9958</v>
      </c>
      <c r="N36" s="1">
        <v>0.49567</v>
      </c>
      <c r="O36" s="1">
        <f t="shared" si="0"/>
        <v>0.49567</v>
      </c>
      <c r="P36" s="3">
        <f>(196961*(1/48000000))*1000</f>
        <v>4.1033541666666666</v>
      </c>
      <c r="Q36" s="1">
        <v>19786</v>
      </c>
      <c r="R36" s="1">
        <v>-0.46237099999999998</v>
      </c>
      <c r="S36" s="1">
        <f t="shared" si="1"/>
        <v>0.46237099999999998</v>
      </c>
      <c r="T36">
        <f>(389014*(1/48000000))*1000</f>
        <v>8.1044583333333335</v>
      </c>
      <c r="U36" s="1">
        <v>80506</v>
      </c>
      <c r="V36" s="1">
        <v>-1.873259</v>
      </c>
      <c r="W36" s="1">
        <f t="shared" si="2"/>
        <v>1.873259</v>
      </c>
      <c r="X36">
        <f>(1563572*(1/48000000))*1000</f>
        <v>32.574416666666671</v>
      </c>
      <c r="Y36" s="1">
        <v>99668</v>
      </c>
      <c r="Z36" s="1">
        <v>-1.8272139999999999</v>
      </c>
      <c r="AA36" s="1">
        <f t="shared" si="3"/>
        <v>1.8272139999999999</v>
      </c>
      <c r="AB36" s="1">
        <f>(1935358*(1/48000000))*1000</f>
        <v>40.319958333333339</v>
      </c>
    </row>
    <row r="37" spans="1:28" x14ac:dyDescent="0.2">
      <c r="A37">
        <v>989.3</v>
      </c>
      <c r="B37" s="1">
        <v>43.574382999999997</v>
      </c>
      <c r="C37" s="3">
        <f>((26727*(1/48000000))*1000000)/1000</f>
        <v>0.55681250000000004</v>
      </c>
      <c r="D37">
        <v>1964.5</v>
      </c>
      <c r="E37" s="1">
        <v>14.737577</v>
      </c>
      <c r="F37" s="3">
        <f>((43621*(1/48000000))*1000000)/1000</f>
        <v>0.90877083333333342</v>
      </c>
      <c r="H37" s="1">
        <v>2.7654390000000002</v>
      </c>
      <c r="I37">
        <f>(103779*(1/48000000))*1000</f>
        <v>2.1620624999999998</v>
      </c>
      <c r="J37" s="1">
        <v>8081</v>
      </c>
      <c r="K37" s="1">
        <v>2.5545010000000001</v>
      </c>
      <c r="L37">
        <f>(160465*(1/48000000))*1000</f>
        <v>3.3430208333333336</v>
      </c>
      <c r="M37" s="1">
        <v>9958</v>
      </c>
      <c r="N37" s="1">
        <v>0.414302</v>
      </c>
      <c r="O37" s="1">
        <f t="shared" si="0"/>
        <v>0.414302</v>
      </c>
      <c r="P37" s="3">
        <f>(197832*(1/48000000))*1000</f>
        <v>4.1215000000000002</v>
      </c>
      <c r="Q37" s="1">
        <v>19786</v>
      </c>
      <c r="R37" s="1">
        <v>-0.54243699999999995</v>
      </c>
      <c r="S37" s="1">
        <f t="shared" si="1"/>
        <v>0.54243699999999995</v>
      </c>
      <c r="T37">
        <f>(386579*(1/48000000))*1000</f>
        <v>8.0537291666666668</v>
      </c>
      <c r="U37" s="1">
        <v>80506</v>
      </c>
      <c r="V37" s="1">
        <v>-0.87161999999999995</v>
      </c>
      <c r="W37" s="1">
        <f t="shared" si="2"/>
        <v>0.87161999999999995</v>
      </c>
      <c r="X37">
        <f>(1564870*(1/48000000))*1000</f>
        <v>32.601458333333333</v>
      </c>
      <c r="Y37" s="1">
        <v>99668</v>
      </c>
      <c r="Z37" s="1">
        <v>-1.4617929999999999</v>
      </c>
      <c r="AA37" s="1">
        <f t="shared" si="3"/>
        <v>1.4617929999999999</v>
      </c>
      <c r="AB37" s="1">
        <f>(1935036*(1/48000000))*1000</f>
        <v>40.313250000000004</v>
      </c>
    </row>
    <row r="38" spans="1:28" x14ac:dyDescent="0.2">
      <c r="A38">
        <v>989.3</v>
      </c>
      <c r="B38" s="1">
        <v>36.561062</v>
      </c>
      <c r="C38" s="3">
        <f>((26723*(1/48000000))*1000000)/1000</f>
        <v>0.55672916666666672</v>
      </c>
      <c r="D38">
        <v>1964.5</v>
      </c>
      <c r="E38" s="1">
        <v>14.229946999999999</v>
      </c>
      <c r="F38" s="3">
        <f>((44115*(1/48000000))*1000000)/1000</f>
        <v>0.91906250000000012</v>
      </c>
      <c r="H38" s="1">
        <v>3.2752460000000001</v>
      </c>
      <c r="I38">
        <f>(102571*(1/48000000))*1000</f>
        <v>2.1368958333333334</v>
      </c>
      <c r="J38" s="1">
        <v>8081</v>
      </c>
      <c r="K38" s="1">
        <v>0.51229000000000002</v>
      </c>
      <c r="L38">
        <f>(162252*(1/48000000))*1000</f>
        <v>3.3802500000000002</v>
      </c>
      <c r="M38" s="1">
        <v>9958</v>
      </c>
      <c r="N38" s="1">
        <v>0.65798400000000001</v>
      </c>
      <c r="O38" s="1">
        <f t="shared" si="0"/>
        <v>0.65798400000000001</v>
      </c>
      <c r="P38" s="3">
        <f>(199345*(1/48000000))*1000</f>
        <v>4.1530208333333336</v>
      </c>
      <c r="Q38" s="1">
        <v>19786</v>
      </c>
      <c r="R38" s="1">
        <v>-0.68846300000000005</v>
      </c>
      <c r="S38" s="1">
        <f t="shared" si="1"/>
        <v>0.68846300000000005</v>
      </c>
      <c r="T38">
        <f>(385821*(1/48000000))*1000</f>
        <v>8.0379375</v>
      </c>
      <c r="U38" s="1">
        <v>80506</v>
      </c>
      <c r="V38" s="1">
        <v>-1.510861</v>
      </c>
      <c r="W38" s="1">
        <f t="shared" si="2"/>
        <v>1.510861</v>
      </c>
      <c r="X38">
        <f>(1566512*(1/48000000))*1000</f>
        <v>32.635666666666665</v>
      </c>
      <c r="Y38" s="1">
        <v>99668</v>
      </c>
      <c r="Z38" s="1">
        <v>-0.71264799999999995</v>
      </c>
      <c r="AA38" s="1">
        <f t="shared" si="3"/>
        <v>0.71264799999999995</v>
      </c>
      <c r="AB38" s="1">
        <f>(1934275*(1/48000000))*1000</f>
        <v>40.297395833333333</v>
      </c>
    </row>
    <row r="39" spans="1:28" x14ac:dyDescent="0.2">
      <c r="A39">
        <v>989.3</v>
      </c>
      <c r="B39" s="1">
        <v>38.589255000000001</v>
      </c>
      <c r="C39" s="3">
        <f>((26150*(1/48000000))*1000000)/1000</f>
        <v>0.54479166666666679</v>
      </c>
      <c r="D39">
        <v>1964.5</v>
      </c>
      <c r="E39" s="1">
        <v>15.955648999999999</v>
      </c>
      <c r="F39" s="3">
        <f>((44706*(1/48000000))*1000000)/1000</f>
        <v>0.93137499999999995</v>
      </c>
      <c r="H39" s="1">
        <v>4.8110780000000002</v>
      </c>
      <c r="I39">
        <f>(103369*(1/48000000))*1000</f>
        <v>2.1535208333333338</v>
      </c>
      <c r="J39" s="1">
        <v>8081</v>
      </c>
      <c r="K39" s="1">
        <v>1.275836</v>
      </c>
      <c r="L39">
        <f>(163950*(1/48000000))*1000</f>
        <v>3.4156250000000004</v>
      </c>
      <c r="M39" s="1">
        <v>9958</v>
      </c>
      <c r="N39" s="1">
        <v>1.1235409999999999</v>
      </c>
      <c r="O39" s="1">
        <f t="shared" si="0"/>
        <v>1.1235409999999999</v>
      </c>
      <c r="P39" s="3">
        <f>(198836*(1/48000000))*1000</f>
        <v>4.1424166666666666</v>
      </c>
      <c r="Q39" s="1">
        <v>19786</v>
      </c>
      <c r="R39" s="1">
        <v>-1.2086699999999999</v>
      </c>
      <c r="S39" s="1">
        <f t="shared" si="1"/>
        <v>1.2086699999999999</v>
      </c>
      <c r="T39">
        <f>(384528*(1/48000000))*1000</f>
        <v>8.011000000000001</v>
      </c>
      <c r="U39" s="1">
        <v>80506</v>
      </c>
      <c r="V39" s="1">
        <v>-0.49135899999999999</v>
      </c>
      <c r="W39" s="1">
        <f t="shared" si="2"/>
        <v>0.49135899999999999</v>
      </c>
      <c r="X39">
        <f>(1567288*(1/48000000))*1000</f>
        <v>32.651833333333336</v>
      </c>
      <c r="Y39" s="1">
        <v>99668</v>
      </c>
      <c r="Z39" s="1">
        <v>-1.828687</v>
      </c>
      <c r="AA39" s="1">
        <f t="shared" si="3"/>
        <v>1.828687</v>
      </c>
      <c r="AB39" s="1">
        <f>(1931277*(1/48000000))*1000</f>
        <v>40.234937500000008</v>
      </c>
    </row>
    <row r="40" spans="1:28" x14ac:dyDescent="0.2">
      <c r="A40">
        <v>989.3</v>
      </c>
      <c r="B40" s="1">
        <v>38.12482</v>
      </c>
      <c r="C40" s="3">
        <f>((27193*(1/48000000))*1000000)/1000</f>
        <v>0.56652083333333336</v>
      </c>
      <c r="D40">
        <v>1964.5</v>
      </c>
      <c r="E40" s="1">
        <v>14.072400999999999</v>
      </c>
      <c r="F40" s="3">
        <f>((44224*(1/48000000))*1000000)/1000</f>
        <v>0.92133333333333334</v>
      </c>
      <c r="H40" s="1">
        <v>2.3636430000000002</v>
      </c>
      <c r="I40">
        <f>(103555*(1/48000000))*1000</f>
        <v>2.1573958333333336</v>
      </c>
      <c r="J40" s="1">
        <v>8081</v>
      </c>
      <c r="K40" s="1">
        <v>1.856549</v>
      </c>
      <c r="L40">
        <f>(162259*(1/48000000))*1000</f>
        <v>3.3803958333333335</v>
      </c>
      <c r="M40" s="1">
        <v>9958</v>
      </c>
      <c r="N40" s="1">
        <v>0.46453699999999998</v>
      </c>
      <c r="O40" s="1">
        <f t="shared" si="0"/>
        <v>0.46453699999999998</v>
      </c>
      <c r="P40" s="3">
        <f>(197315*(1/48000000))*1000</f>
        <v>4.1107291666666672</v>
      </c>
      <c r="Q40" s="1">
        <v>19786</v>
      </c>
      <c r="R40" s="1">
        <v>-0.36755399999999999</v>
      </c>
      <c r="S40" s="1">
        <f t="shared" si="1"/>
        <v>0.36755399999999999</v>
      </c>
      <c r="T40">
        <f>(383516*(1/48000000))*1000</f>
        <v>7.9899166666666677</v>
      </c>
      <c r="U40" s="1">
        <v>80506</v>
      </c>
      <c r="V40" s="1">
        <v>-1.3142389999999999</v>
      </c>
      <c r="W40" s="1">
        <f t="shared" si="2"/>
        <v>1.3142389999999999</v>
      </c>
      <c r="X40">
        <f>(1569399*(1/48000000))*1000</f>
        <v>32.695812500000002</v>
      </c>
      <c r="Y40" s="1">
        <v>99668</v>
      </c>
      <c r="Z40" s="1">
        <v>-1.6084579999999999</v>
      </c>
      <c r="AA40" s="1">
        <f t="shared" si="3"/>
        <v>1.6084579999999999</v>
      </c>
      <c r="AB40" s="1">
        <f>(1938361*(1/48000000))*1000</f>
        <v>40.382520833333338</v>
      </c>
    </row>
    <row r="41" spans="1:28" x14ac:dyDescent="0.2">
      <c r="A41">
        <v>989.3</v>
      </c>
      <c r="B41" s="1">
        <v>37.839815999999999</v>
      </c>
      <c r="C41" s="3">
        <f>((27199*(1/48000000))*1000000)/1000</f>
        <v>0.5666458333333334</v>
      </c>
      <c r="D41">
        <v>1964.5</v>
      </c>
      <c r="E41" s="1">
        <v>14.086985</v>
      </c>
      <c r="F41" s="3">
        <f>((43802*(1/48000000))*1000000)/1000</f>
        <v>0.9125416666666667</v>
      </c>
      <c r="H41" s="1">
        <v>3.4514130000000001</v>
      </c>
      <c r="I41">
        <f>(103159*(1/48000000))*1000</f>
        <v>2.1491458333333338</v>
      </c>
      <c r="J41" s="1">
        <v>8081</v>
      </c>
      <c r="K41" s="1">
        <v>2.9737499999999999</v>
      </c>
      <c r="L41">
        <f>(164927*(1/48000000))*1000</f>
        <v>3.4359791666666673</v>
      </c>
      <c r="M41" s="1">
        <v>9958</v>
      </c>
      <c r="N41" s="1">
        <v>1.4910460000000001</v>
      </c>
      <c r="O41" s="1">
        <f t="shared" si="0"/>
        <v>1.4910460000000001</v>
      </c>
      <c r="P41" s="3">
        <f>(197155*(1/48000000))*1000</f>
        <v>4.1073958333333334</v>
      </c>
      <c r="Q41" s="1">
        <v>19786</v>
      </c>
      <c r="R41" s="1">
        <v>-1.485771</v>
      </c>
      <c r="S41" s="1">
        <f t="shared" si="1"/>
        <v>1.485771</v>
      </c>
      <c r="T41">
        <f>(382789*(1/48000000))*1000</f>
        <v>7.9747708333333334</v>
      </c>
      <c r="U41" s="1">
        <v>80506</v>
      </c>
      <c r="V41" s="1">
        <v>-0.92000800000000005</v>
      </c>
      <c r="W41" s="1">
        <f t="shared" si="2"/>
        <v>0.92000800000000005</v>
      </c>
      <c r="X41">
        <f>(1566467*(1/48000000))*1000</f>
        <v>32.634729166666666</v>
      </c>
      <c r="Y41" s="1">
        <v>99668</v>
      </c>
      <c r="Z41" s="1">
        <v>-1.2245349999999999</v>
      </c>
      <c r="AA41" s="1">
        <f t="shared" si="3"/>
        <v>1.2245349999999999</v>
      </c>
      <c r="AB41" s="1">
        <f>(1936571*(1/48000000))*1000</f>
        <v>40.34522916666667</v>
      </c>
    </row>
    <row r="42" spans="1:28" x14ac:dyDescent="0.2">
      <c r="A42">
        <v>989.3</v>
      </c>
      <c r="B42" s="1">
        <v>40.251005999999997</v>
      </c>
      <c r="C42" s="3">
        <f>((27052*(1/48000000))*1000000)/1000</f>
        <v>0.56358333333333333</v>
      </c>
      <c r="D42">
        <v>1964.5</v>
      </c>
      <c r="E42" s="1">
        <v>16.555465999999999</v>
      </c>
      <c r="F42" s="3">
        <f>((43707*(1/48000000))*1000000)/1000</f>
        <v>0.91056250000000005</v>
      </c>
      <c r="H42" s="1">
        <v>2.9205930000000002</v>
      </c>
      <c r="I42">
        <f>(103851*(1/48000000))*1000</f>
        <v>2.1635625000000003</v>
      </c>
      <c r="J42" s="1">
        <v>8081</v>
      </c>
      <c r="K42" s="1">
        <v>2.2901889999999998</v>
      </c>
      <c r="L42">
        <f>(162041*(1/48000000))*1000</f>
        <v>3.3758541666666666</v>
      </c>
      <c r="M42" s="1">
        <v>9958</v>
      </c>
      <c r="N42" s="1">
        <v>0.68802200000000002</v>
      </c>
      <c r="O42" s="1">
        <f t="shared" si="0"/>
        <v>0.68802200000000002</v>
      </c>
      <c r="P42" s="3">
        <f>(197329*(1/48000000))*1000</f>
        <v>4.1110208333333338</v>
      </c>
      <c r="Q42" s="1">
        <v>19786</v>
      </c>
      <c r="R42" s="1">
        <v>-1.5534669999999999</v>
      </c>
      <c r="S42" s="1">
        <f t="shared" si="1"/>
        <v>1.5534669999999999</v>
      </c>
      <c r="T42">
        <f>(382992*(1/48000000))*1000</f>
        <v>7.9790000000000001</v>
      </c>
      <c r="U42" s="1">
        <v>80506</v>
      </c>
      <c r="V42" s="1">
        <v>-0.70633699999999999</v>
      </c>
      <c r="W42" s="1">
        <f t="shared" si="2"/>
        <v>0.70633699999999999</v>
      </c>
      <c r="X42">
        <f>(1563097*(1/48000000))*1000</f>
        <v>32.564520833333333</v>
      </c>
      <c r="Y42" s="1">
        <v>99668</v>
      </c>
      <c r="Z42" s="1">
        <v>-1.1895070000000001</v>
      </c>
      <c r="AA42" s="1">
        <f t="shared" si="3"/>
        <v>1.1895070000000001</v>
      </c>
      <c r="AB42" s="1">
        <f>(1934598*(1/48000000))*1000</f>
        <v>40.304125000000006</v>
      </c>
    </row>
    <row r="43" spans="1:28" x14ac:dyDescent="0.2">
      <c r="A43">
        <v>989.3</v>
      </c>
      <c r="B43" s="1">
        <v>38.998660000000001</v>
      </c>
      <c r="C43" s="3">
        <f>((26534*(1/48000000))*1000000)/1000</f>
        <v>0.55279166666666679</v>
      </c>
      <c r="D43">
        <v>1964.5</v>
      </c>
      <c r="E43" s="1">
        <v>14.878786</v>
      </c>
      <c r="F43" s="3">
        <f>((45257*(1/48000000))*1000000)/1000</f>
        <v>0.94285416666666677</v>
      </c>
      <c r="H43" s="1">
        <v>5.0582469999999997</v>
      </c>
      <c r="I43">
        <f>(102879*(1/48000000))*1000</f>
        <v>2.1433125000000004</v>
      </c>
      <c r="J43" s="1">
        <v>8081</v>
      </c>
      <c r="K43" s="1">
        <v>2.186445</v>
      </c>
      <c r="L43">
        <f>(161522*(1/48000000))*1000</f>
        <v>3.3650416666666669</v>
      </c>
      <c r="M43" s="1">
        <v>9958</v>
      </c>
      <c r="N43" s="1">
        <v>1.033461</v>
      </c>
      <c r="O43" s="1">
        <f t="shared" si="0"/>
        <v>1.033461</v>
      </c>
      <c r="P43" s="3">
        <f>(196451*(1/48000000))*1000</f>
        <v>4.0927291666666674</v>
      </c>
      <c r="Q43" s="1">
        <v>19786</v>
      </c>
      <c r="R43" s="1">
        <v>-0.890324</v>
      </c>
      <c r="S43" s="1">
        <f t="shared" si="1"/>
        <v>0.890324</v>
      </c>
      <c r="T43">
        <f>(384684*(1/48000000))*1000</f>
        <v>8.0142500000000005</v>
      </c>
      <c r="U43" s="1">
        <v>80506</v>
      </c>
      <c r="V43" s="1">
        <v>-0.32929599999999998</v>
      </c>
      <c r="W43" s="1">
        <f t="shared" si="2"/>
        <v>0.32929599999999998</v>
      </c>
      <c r="X43">
        <f>(1563672*(1/48000000))*1000</f>
        <v>32.576500000000003</v>
      </c>
      <c r="Y43" s="1">
        <v>99668</v>
      </c>
      <c r="Z43" s="1">
        <v>-2.3099780000000001</v>
      </c>
      <c r="AA43" s="1">
        <f t="shared" si="3"/>
        <v>2.3099780000000001</v>
      </c>
      <c r="AB43" s="1">
        <f>(1934740*(1/48000000))*1000</f>
        <v>40.307083333333331</v>
      </c>
    </row>
    <row r="44" spans="1:28" x14ac:dyDescent="0.2">
      <c r="A44">
        <v>989.3</v>
      </c>
      <c r="B44" s="1">
        <v>39.200892000000003</v>
      </c>
      <c r="C44" s="3">
        <f>((26779*(1/48000000))*1000000)/1000</f>
        <v>0.55789583333333337</v>
      </c>
      <c r="D44">
        <v>1964.5</v>
      </c>
      <c r="E44" s="1">
        <v>17.499040999999998</v>
      </c>
      <c r="F44" s="3">
        <f>((43796*(1/48000000))*1000000)/1000</f>
        <v>0.91241666666666676</v>
      </c>
      <c r="H44" s="1">
        <v>3.0280649999999998</v>
      </c>
      <c r="I44">
        <f>(103199*(1/48000000))*1000</f>
        <v>2.1499791666666668</v>
      </c>
      <c r="J44" s="1">
        <v>8081</v>
      </c>
      <c r="K44" s="1">
        <v>1.83022</v>
      </c>
      <c r="L44">
        <f>(161340*(1/48000000))*1000</f>
        <v>3.3612500000000001</v>
      </c>
      <c r="M44" s="1">
        <v>9958</v>
      </c>
      <c r="N44" s="1">
        <v>1.3093520000000001</v>
      </c>
      <c r="O44" s="1">
        <f t="shared" si="0"/>
        <v>1.3093520000000001</v>
      </c>
      <c r="P44" s="3">
        <f>(196387*(1/48000000))*1000</f>
        <v>4.0913958333333333</v>
      </c>
      <c r="Q44" s="1">
        <v>19786</v>
      </c>
      <c r="S44" s="1">
        <v>0</v>
      </c>
      <c r="T44">
        <f>(383445*(1/48000000))*1000</f>
        <v>7.9884375000000007</v>
      </c>
      <c r="U44" s="1">
        <v>80506</v>
      </c>
      <c r="V44" s="1">
        <v>-0.51506200000000002</v>
      </c>
      <c r="W44" s="1">
        <f t="shared" si="2"/>
        <v>0.51506200000000002</v>
      </c>
      <c r="X44">
        <f>(1562511*(1/48000000))*1000</f>
        <v>32.552312499999999</v>
      </c>
      <c r="Y44" s="1">
        <v>99668</v>
      </c>
      <c r="AA44">
        <v>0</v>
      </c>
      <c r="AB44" s="1">
        <f>(1933280*(1/48000000))*1000</f>
        <v>40.276666666666671</v>
      </c>
    </row>
    <row r="45" spans="1:28" x14ac:dyDescent="0.2">
      <c r="A45">
        <v>989.3</v>
      </c>
      <c r="B45" s="1">
        <v>38.017814999999999</v>
      </c>
      <c r="C45" s="3">
        <f>((26417*(1/48000000))*1000000)/1000</f>
        <v>0.55035416666666659</v>
      </c>
      <c r="D45">
        <v>1964.5</v>
      </c>
      <c r="E45" s="1">
        <v>14.424711</v>
      </c>
      <c r="F45" s="3">
        <f>((44834*(1/48000000))*1000000)/1000</f>
        <v>0.93404166666666666</v>
      </c>
      <c r="H45" s="1">
        <v>2.610881</v>
      </c>
      <c r="I45">
        <f>(102491*(1/48000000))*1000</f>
        <v>2.135229166666667</v>
      </c>
      <c r="J45" s="1">
        <v>8081</v>
      </c>
      <c r="K45" s="1">
        <v>2.1072259999999998</v>
      </c>
      <c r="L45">
        <f>(162046*(1/48000000))*1000</f>
        <v>3.3759583333333336</v>
      </c>
      <c r="M45" s="1">
        <v>9958</v>
      </c>
      <c r="N45" s="1">
        <v>0.59742600000000001</v>
      </c>
      <c r="O45" s="1">
        <f t="shared" si="0"/>
        <v>0.59742600000000001</v>
      </c>
      <c r="P45" s="3">
        <f>(197325*(1/48000000))*1000</f>
        <v>4.1109375000000004</v>
      </c>
      <c r="Q45" s="1">
        <v>19786</v>
      </c>
      <c r="S45" s="1">
        <v>0</v>
      </c>
      <c r="T45">
        <f>(385473*(1/48000000))*1000</f>
        <v>8.0306874999999991</v>
      </c>
      <c r="U45" s="1">
        <v>80506</v>
      </c>
      <c r="V45" s="1">
        <v>-1.511733</v>
      </c>
      <c r="W45" s="1">
        <f t="shared" si="2"/>
        <v>1.511733</v>
      </c>
      <c r="X45">
        <f>(1556492*(1/48000000))*1000</f>
        <v>32.426916666666664</v>
      </c>
      <c r="Y45" s="1">
        <v>99668</v>
      </c>
      <c r="AA45">
        <v>0</v>
      </c>
      <c r="AB45" s="1">
        <f>(1935149*(1/48000000))*1000</f>
        <v>40.315604166666674</v>
      </c>
    </row>
    <row r="46" spans="1:28" x14ac:dyDescent="0.2">
      <c r="A46">
        <v>989.3</v>
      </c>
      <c r="B46" s="1">
        <v>37.830362000000001</v>
      </c>
      <c r="C46" s="3">
        <f>((26137*(1/48000000))*1000000)/1000</f>
        <v>0.54452083333333334</v>
      </c>
      <c r="D46">
        <v>1964.5</v>
      </c>
      <c r="E46" s="1">
        <v>13.546172</v>
      </c>
      <c r="F46" s="3">
        <f>((44498*(1/48000000))*1000000)/1000</f>
        <v>0.92704166666666676</v>
      </c>
      <c r="H46" s="1">
        <v>2.3452730000000002</v>
      </c>
      <c r="I46">
        <f>(107458*(1/48000000))*1000</f>
        <v>2.2387083333333333</v>
      </c>
      <c r="J46" s="1">
        <v>8081</v>
      </c>
      <c r="K46" s="1">
        <v>1.9086399999999999</v>
      </c>
      <c r="L46">
        <f>(162151*(1/48000000))*1000</f>
        <v>3.3781458333333338</v>
      </c>
      <c r="M46" s="1">
        <v>9958</v>
      </c>
      <c r="N46" s="1">
        <v>1.519984</v>
      </c>
      <c r="O46" s="1">
        <f t="shared" si="0"/>
        <v>1.519984</v>
      </c>
      <c r="P46" s="3">
        <f>(197608*(1/48000000))*1000</f>
        <v>4.1168333333333331</v>
      </c>
      <c r="Q46" s="1">
        <v>19786</v>
      </c>
      <c r="S46" s="1">
        <v>0</v>
      </c>
      <c r="T46">
        <f>(386849*(1/48000000))*1000</f>
        <v>8.059354166666667</v>
      </c>
      <c r="U46" s="1">
        <v>80506</v>
      </c>
      <c r="V46" s="1">
        <v>-0.76510999999999996</v>
      </c>
      <c r="W46" s="1">
        <f t="shared" si="2"/>
        <v>0.76510999999999996</v>
      </c>
      <c r="X46">
        <f>(1560298*(1/48000000))*1000</f>
        <v>32.506208333333333</v>
      </c>
      <c r="Y46" s="1">
        <v>99668</v>
      </c>
      <c r="AA46">
        <v>0</v>
      </c>
      <c r="AB46" s="1">
        <f>(1935834*(1/48000000))*1000</f>
        <v>40.329875000000001</v>
      </c>
    </row>
    <row r="47" spans="1:28" x14ac:dyDescent="0.2">
      <c r="A47">
        <v>989.3</v>
      </c>
      <c r="B47" s="1">
        <v>39.788269999999997</v>
      </c>
      <c r="C47" s="3">
        <f>((27010*(1/48000000))*1000000)/1000</f>
        <v>0.56270833333333337</v>
      </c>
      <c r="D47">
        <v>1964.5</v>
      </c>
      <c r="E47" s="1">
        <v>14.010913</v>
      </c>
      <c r="F47" s="3">
        <f>((44125*(1/48000000))*1000000)/1000</f>
        <v>0.91927083333333337</v>
      </c>
      <c r="H47" s="1">
        <v>3.580546</v>
      </c>
      <c r="I47">
        <f>(104007*(1/48000000))*1000</f>
        <v>2.1668125000000003</v>
      </c>
      <c r="J47" s="1">
        <v>8081</v>
      </c>
      <c r="K47" s="1">
        <v>2.0699779999999999</v>
      </c>
      <c r="L47">
        <f>(161140*(1/48000000))*1000</f>
        <v>3.3570833333333336</v>
      </c>
      <c r="M47" s="1">
        <v>9958</v>
      </c>
      <c r="N47" s="1">
        <v>0.59093200000000001</v>
      </c>
      <c r="O47" s="1">
        <f t="shared" si="0"/>
        <v>0.59093200000000001</v>
      </c>
      <c r="P47" s="3">
        <f>(197446*(1/48000000))*1000</f>
        <v>4.1134583333333339</v>
      </c>
      <c r="Q47" s="1">
        <v>19786</v>
      </c>
      <c r="S47" s="1">
        <v>0</v>
      </c>
      <c r="T47">
        <f>(386495*(1/48000000))*1000</f>
        <v>8.0519791666666674</v>
      </c>
      <c r="U47" s="1">
        <v>80506</v>
      </c>
      <c r="V47" s="1">
        <v>-1.41442</v>
      </c>
      <c r="W47" s="1">
        <f t="shared" si="2"/>
        <v>1.41442</v>
      </c>
      <c r="X47">
        <f>(1564428*(1/48000000))*1000</f>
        <v>32.59225</v>
      </c>
      <c r="Y47" s="1">
        <v>99668</v>
      </c>
      <c r="AA47">
        <v>0</v>
      </c>
      <c r="AB47" s="1">
        <f>(1927445*(1/48000000))*1000</f>
        <v>40.155104166666668</v>
      </c>
    </row>
    <row r="48" spans="1:28" x14ac:dyDescent="0.2">
      <c r="A48">
        <v>989.3</v>
      </c>
      <c r="B48" s="1">
        <v>40.785139999999998</v>
      </c>
      <c r="C48" s="3">
        <f>((27021*(1/48000000))*1000000)/1000</f>
        <v>0.56293750000000009</v>
      </c>
      <c r="D48">
        <v>1964.5</v>
      </c>
      <c r="E48" s="1">
        <v>14.495870999999999</v>
      </c>
      <c r="F48" s="3">
        <f>((44365*(1/48000000))*1000000)/1000</f>
        <v>0.92427083333333337</v>
      </c>
      <c r="H48" s="1">
        <v>3.241832</v>
      </c>
      <c r="I48">
        <f>(103457*(1/48000000))*1000</f>
        <v>2.1553541666666671</v>
      </c>
      <c r="J48" s="1">
        <v>8081</v>
      </c>
      <c r="K48" s="1">
        <v>1.739072</v>
      </c>
      <c r="L48">
        <f>(160899*(1/48000000))*1000</f>
        <v>3.3520625000000002</v>
      </c>
      <c r="M48" s="1">
        <v>9958</v>
      </c>
      <c r="N48" s="1">
        <v>1.3429E-2</v>
      </c>
      <c r="O48" s="1">
        <f t="shared" si="0"/>
        <v>1.3429E-2</v>
      </c>
      <c r="P48" s="3">
        <f>(196983*(1/48000000))*1000</f>
        <v>4.1038125000000001</v>
      </c>
      <c r="Q48" s="1">
        <v>19786</v>
      </c>
      <c r="S48" s="1">
        <v>0</v>
      </c>
      <c r="T48">
        <f>(386092*(1/48000000))*1000</f>
        <v>8.0435833333333324</v>
      </c>
      <c r="U48" s="1">
        <v>80506</v>
      </c>
      <c r="V48" s="1">
        <v>-1.017531</v>
      </c>
      <c r="W48" s="1">
        <f t="shared" si="2"/>
        <v>1.017531</v>
      </c>
      <c r="X48">
        <f>(1564038*(1/48000000))*1000</f>
        <v>32.584125</v>
      </c>
      <c r="Y48" s="1">
        <v>99668</v>
      </c>
      <c r="AA48">
        <v>0</v>
      </c>
      <c r="AB48" s="1">
        <f>(1935070*(1/48000000))*1000</f>
        <v>40.313958333333339</v>
      </c>
    </row>
    <row r="49" spans="1:28" x14ac:dyDescent="0.2">
      <c r="A49">
        <v>989.3</v>
      </c>
      <c r="B49" s="1">
        <v>39.708024999999999</v>
      </c>
      <c r="C49" s="3">
        <f>((26090*(1/48000000))*1000000)/1000</f>
        <v>0.54354166666666659</v>
      </c>
      <c r="D49">
        <v>1964.5</v>
      </c>
      <c r="E49" s="1">
        <v>14.584754999999999</v>
      </c>
      <c r="F49" s="3">
        <f>((43693*(1/48000000))*1000000)/1000</f>
        <v>0.91027083333333336</v>
      </c>
      <c r="H49" s="1">
        <v>3.2980900000000002</v>
      </c>
      <c r="I49">
        <f>(102167*(1/48000000))*1000</f>
        <v>2.1284791666666671</v>
      </c>
      <c r="J49" s="1">
        <v>8081</v>
      </c>
      <c r="K49" s="1">
        <v>2.175557</v>
      </c>
      <c r="L49">
        <f>(162568*(1/48000000))*1000</f>
        <v>3.3868333333333336</v>
      </c>
      <c r="M49" s="1">
        <v>9958</v>
      </c>
      <c r="N49" s="1">
        <v>0.50834000000000001</v>
      </c>
      <c r="O49" s="1">
        <f t="shared" si="0"/>
        <v>0.50834000000000001</v>
      </c>
      <c r="P49" s="3">
        <f>(196738*(1/48000000))*1000</f>
        <v>4.0987083333333336</v>
      </c>
      <c r="Q49" s="1">
        <v>19786</v>
      </c>
      <c r="S49" s="1">
        <v>0</v>
      </c>
      <c r="T49">
        <f>(387974*(1/48000000))*1000</f>
        <v>8.082791666666667</v>
      </c>
      <c r="U49" s="1">
        <v>80506</v>
      </c>
      <c r="V49" s="1">
        <v>-0.78377600000000003</v>
      </c>
      <c r="W49" s="1">
        <f t="shared" si="2"/>
        <v>0.78377600000000003</v>
      </c>
      <c r="X49">
        <f>(1566235*(1/48000000))*1000</f>
        <v>32.629895833333329</v>
      </c>
      <c r="Y49" s="1">
        <v>99668</v>
      </c>
      <c r="AA49">
        <v>0</v>
      </c>
      <c r="AB49" s="1">
        <f t="shared" ref="AB49:AB50" si="4">(1935070*(1/48000000))*1000</f>
        <v>40.313958333333339</v>
      </c>
    </row>
    <row r="50" spans="1:28" x14ac:dyDescent="0.2">
      <c r="A50">
        <v>989.3</v>
      </c>
      <c r="B50" s="1">
        <v>38.248486999999997</v>
      </c>
      <c r="C50" s="3">
        <f>((27077*(1/48000000))*1000000)/1000</f>
        <v>0.56410416666666674</v>
      </c>
      <c r="D50">
        <v>1964.5</v>
      </c>
      <c r="E50" s="1">
        <v>14.842779</v>
      </c>
      <c r="F50" s="3">
        <f>((44664*(1/48000000))*1000000)/1000</f>
        <v>0.93049999999999999</v>
      </c>
      <c r="H50" s="1">
        <v>2.7580049999999998</v>
      </c>
      <c r="I50">
        <f>(102320*(1/48000000))*1000</f>
        <v>2.1316666666666668</v>
      </c>
      <c r="J50" s="1">
        <v>8081</v>
      </c>
      <c r="K50" s="1">
        <v>1.307445</v>
      </c>
      <c r="L50">
        <f>(161043*(1/48000000))*1000</f>
        <v>3.3550625000000003</v>
      </c>
      <c r="M50" s="1">
        <v>9958</v>
      </c>
      <c r="N50" s="1">
        <v>0.486757</v>
      </c>
      <c r="O50" s="1">
        <f t="shared" si="0"/>
        <v>0.486757</v>
      </c>
      <c r="P50" s="3">
        <f>(198908*(1/48000000))*1000</f>
        <v>4.1439166666666676</v>
      </c>
      <c r="Q50" s="1">
        <v>19786</v>
      </c>
      <c r="S50" s="1">
        <v>0</v>
      </c>
      <c r="T50">
        <f>(383543*(1/48000000))*1000</f>
        <v>7.9904791666666668</v>
      </c>
      <c r="U50" s="1">
        <v>80506</v>
      </c>
      <c r="V50" s="1">
        <v>-0.74131100000000005</v>
      </c>
      <c r="W50" s="1">
        <f t="shared" si="2"/>
        <v>0.74131100000000005</v>
      </c>
      <c r="X50">
        <f>(1562677*(1/48000000))*1000</f>
        <v>32.555770833333341</v>
      </c>
      <c r="Y50" s="1">
        <v>99668</v>
      </c>
      <c r="AA50">
        <v>0</v>
      </c>
      <c r="AB50" s="1">
        <f t="shared" si="4"/>
        <v>40.313958333333339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2"/>
  <sheetViews>
    <sheetView workbookViewId="0">
      <selection activeCell="T1" sqref="T1:W1048576"/>
    </sheetView>
  </sheetViews>
  <sheetFormatPr baseColWidth="10" defaultRowHeight="16" x14ac:dyDescent="0.2"/>
  <sheetData>
    <row r="1" spans="1:31" x14ac:dyDescent="0.2">
      <c r="A1" t="s">
        <v>0</v>
      </c>
      <c r="B1" t="s">
        <v>1</v>
      </c>
      <c r="C1" t="s">
        <v>3</v>
      </c>
      <c r="D1" t="s">
        <v>4</v>
      </c>
      <c r="E1" t="s">
        <v>1</v>
      </c>
      <c r="F1" t="s">
        <v>3</v>
      </c>
      <c r="G1" t="s">
        <v>0</v>
      </c>
      <c r="H1" t="s">
        <v>1</v>
      </c>
      <c r="I1" t="s">
        <v>3</v>
      </c>
      <c r="J1" t="s">
        <v>0</v>
      </c>
      <c r="K1" t="s">
        <v>1</v>
      </c>
      <c r="L1" t="s">
        <v>3</v>
      </c>
      <c r="M1" t="s">
        <v>0</v>
      </c>
      <c r="N1" t="s">
        <v>1</v>
      </c>
      <c r="O1" t="s">
        <v>3</v>
      </c>
      <c r="P1" t="s">
        <v>0</v>
      </c>
      <c r="Q1" t="s">
        <v>1</v>
      </c>
      <c r="R1" t="s">
        <v>2</v>
      </c>
      <c r="S1" t="s">
        <v>3</v>
      </c>
      <c r="T1" t="s">
        <v>0</v>
      </c>
      <c r="U1" t="s">
        <v>1</v>
      </c>
      <c r="V1" t="s">
        <v>2</v>
      </c>
      <c r="W1" t="s">
        <v>3</v>
      </c>
      <c r="X1" t="s">
        <v>0</v>
      </c>
      <c r="Y1" t="s">
        <v>1</v>
      </c>
      <c r="Z1" t="s">
        <v>2</v>
      </c>
      <c r="AA1" t="s">
        <v>3</v>
      </c>
      <c r="AB1" t="s">
        <v>0</v>
      </c>
      <c r="AC1" t="s">
        <v>1</v>
      </c>
      <c r="AD1" t="s">
        <v>2</v>
      </c>
      <c r="AE1" t="s">
        <v>3</v>
      </c>
    </row>
    <row r="2" spans="1:31" x14ac:dyDescent="0.2">
      <c r="A2">
        <v>989.3</v>
      </c>
      <c r="B2" s="1">
        <v>18.564458999999999</v>
      </c>
      <c r="C2">
        <f>99728000*(1/48000000)</f>
        <v>2.077666666666667</v>
      </c>
      <c r="D2">
        <v>1964.5</v>
      </c>
      <c r="E2" s="1">
        <v>7.4330090000000002</v>
      </c>
      <c r="F2" s="2">
        <f>182706000*(1/48000000)</f>
        <v>3.8063750000000001</v>
      </c>
      <c r="G2" s="1">
        <v>5059</v>
      </c>
      <c r="H2" s="1">
        <v>3.8967510000000001</v>
      </c>
      <c r="I2">
        <f>445837000*(1/48000000)</f>
        <v>9.2882708333333337</v>
      </c>
      <c r="J2" s="1">
        <v>8081</v>
      </c>
      <c r="K2" s="1">
        <v>0.88560499999999998</v>
      </c>
      <c r="L2">
        <f>704539000*(1/48000000)</f>
        <v>14.677895833333334</v>
      </c>
      <c r="M2" s="1">
        <v>9878</v>
      </c>
      <c r="N2" s="1">
        <v>0.304178</v>
      </c>
      <c r="O2">
        <f>826030000*(1/48000000)</f>
        <v>17.208958333333335</v>
      </c>
      <c r="P2" s="1">
        <v>19786</v>
      </c>
      <c r="Q2" s="1">
        <v>0.16064300000000001</v>
      </c>
      <c r="R2" s="1">
        <f>ABS(Q2:Q74)</f>
        <v>0.16064300000000001</v>
      </c>
      <c r="S2">
        <f>1703307000*(1/48000000)</f>
        <v>35.4855625</v>
      </c>
      <c r="T2">
        <v>50382</v>
      </c>
      <c r="U2" s="1">
        <v>-6.0193999999999998E-2</v>
      </c>
      <c r="V2">
        <f>ABS(U2)</f>
        <v>6.0193999999999998E-2</v>
      </c>
      <c r="W2">
        <f>(4302965*(1/48000000))*1000</f>
        <v>89.64510416666667</v>
      </c>
      <c r="X2" s="1">
        <v>80506</v>
      </c>
      <c r="Y2" s="1">
        <v>9.9777000000000005E-2</v>
      </c>
      <c r="Z2" s="1">
        <f>ABS(Y2)</f>
        <v>9.9777000000000005E-2</v>
      </c>
      <c r="AA2">
        <f>(6881187*(1/48000000))*1000</f>
        <v>143.35806250000002</v>
      </c>
      <c r="AB2" s="1">
        <v>99668</v>
      </c>
      <c r="AC2" s="1">
        <v>-0.40200200000000003</v>
      </c>
      <c r="AD2" s="1">
        <f>ABS(AC2)</f>
        <v>0.40200200000000003</v>
      </c>
      <c r="AE2">
        <f>(8523761*(1/48000000))*1000</f>
        <v>177.57835416666668</v>
      </c>
    </row>
    <row r="3" spans="1:31" x14ac:dyDescent="0.2">
      <c r="A3">
        <v>989.3</v>
      </c>
      <c r="B3" s="1">
        <v>17.980293</v>
      </c>
      <c r="C3">
        <f>99203000*(1/48000000)</f>
        <v>2.0667291666666667</v>
      </c>
      <c r="D3">
        <v>1964.5</v>
      </c>
      <c r="E3" s="1">
        <v>7.2518950000000002</v>
      </c>
      <c r="F3" s="2">
        <f>181055000*(1/48000000)</f>
        <v>3.7719791666666671</v>
      </c>
      <c r="G3" s="1">
        <v>5059</v>
      </c>
      <c r="H3" s="1">
        <v>3.9436019999999998</v>
      </c>
      <c r="I3">
        <f>447880000*(1/48000000)</f>
        <v>9.3308333333333344</v>
      </c>
      <c r="J3" s="1">
        <v>8081</v>
      </c>
      <c r="K3" s="1">
        <v>0.86059600000000003</v>
      </c>
      <c r="L3">
        <f>702187000*(1/48000000)</f>
        <v>14.628895833333335</v>
      </c>
      <c r="M3" s="1">
        <v>9878</v>
      </c>
      <c r="N3" s="1">
        <v>0.37962099999999999</v>
      </c>
      <c r="O3">
        <f>850088000*(1/48000000)</f>
        <v>17.710166666666669</v>
      </c>
      <c r="P3" s="1">
        <v>19786</v>
      </c>
      <c r="Q3" s="1">
        <v>0.24660099999999999</v>
      </c>
      <c r="R3" s="1">
        <f t="shared" ref="R3:R66" si="0">ABS(Q3:Q75)</f>
        <v>0.24660099999999999</v>
      </c>
      <c r="S3">
        <f>1699551000*(1/48000000)</f>
        <v>35.407312500000003</v>
      </c>
      <c r="T3">
        <v>50382</v>
      </c>
      <c r="U3" s="1">
        <v>-0.15606500000000001</v>
      </c>
      <c r="V3">
        <f t="shared" ref="V3:V66" si="1">ABS(U3)</f>
        <v>0.15606500000000001</v>
      </c>
      <c r="W3">
        <f>(4295502*(1/48000000))*1000</f>
        <v>89.489625000000004</v>
      </c>
      <c r="X3" s="1">
        <v>80506</v>
      </c>
      <c r="Y3" s="1">
        <v>-0.21842800000000001</v>
      </c>
      <c r="Z3" s="1">
        <f t="shared" ref="Z3:Z66" si="2">ABS(Y3)</f>
        <v>0.21842800000000001</v>
      </c>
      <c r="AA3">
        <f>(6887424*(1/48000000))*1000</f>
        <v>143.488</v>
      </c>
      <c r="AB3" s="1">
        <v>99668</v>
      </c>
      <c r="AC3" s="1">
        <v>-7.6523999999999995E-2</v>
      </c>
      <c r="AD3" s="1">
        <f t="shared" ref="AD3:AD66" si="3">ABS(AC3)</f>
        <v>7.6523999999999995E-2</v>
      </c>
      <c r="AE3">
        <f>(8529078*(1/48000000))*1000</f>
        <v>177.68912499999999</v>
      </c>
    </row>
    <row r="4" spans="1:31" x14ac:dyDescent="0.2">
      <c r="A4">
        <v>989.3</v>
      </c>
      <c r="B4" s="1">
        <v>17.359133</v>
      </c>
      <c r="C4">
        <f>99299000*(1/48000000)</f>
        <v>2.068729166666667</v>
      </c>
      <c r="D4">
        <v>1964.5</v>
      </c>
      <c r="E4" s="1">
        <v>6.8554449999999996</v>
      </c>
      <c r="F4" s="2">
        <f>180199000*(1/48000000)</f>
        <v>3.7541458333333337</v>
      </c>
      <c r="G4" s="1">
        <v>5059</v>
      </c>
      <c r="H4" s="1">
        <v>3.83622</v>
      </c>
      <c r="I4">
        <f>446785000*(1/48000000)</f>
        <v>9.3080208333333339</v>
      </c>
      <c r="J4" s="1">
        <v>8081</v>
      </c>
      <c r="K4" s="1">
        <v>0.68761000000000005</v>
      </c>
      <c r="L4">
        <f>701546000*(1/48000000)</f>
        <v>14.615541666666667</v>
      </c>
      <c r="M4" s="1">
        <v>9878</v>
      </c>
      <c r="N4" s="1">
        <v>1.211598</v>
      </c>
      <c r="O4">
        <f>852852000*(1/48000000)</f>
        <v>17.767749999999999</v>
      </c>
      <c r="P4" s="1">
        <v>19786</v>
      </c>
      <c r="Q4" s="1">
        <v>0.330901</v>
      </c>
      <c r="R4" s="1">
        <f t="shared" si="0"/>
        <v>0.330901</v>
      </c>
      <c r="S4">
        <f>1699982000*(1/48000000)</f>
        <v>35.416291666666666</v>
      </c>
      <c r="T4">
        <v>50382</v>
      </c>
      <c r="U4" s="1">
        <v>-0.325131</v>
      </c>
      <c r="V4">
        <f t="shared" si="1"/>
        <v>0.325131</v>
      </c>
      <c r="W4">
        <f>(4292491*(1/48000000))*1000</f>
        <v>89.426895833333333</v>
      </c>
      <c r="X4" s="1">
        <v>80506</v>
      </c>
      <c r="Y4" s="1">
        <v>-8.6301000000000003E-2</v>
      </c>
      <c r="Z4" s="1">
        <f t="shared" si="2"/>
        <v>8.6301000000000003E-2</v>
      </c>
      <c r="AA4">
        <f>(6887117*(1/48000000))*1000</f>
        <v>143.48160416666667</v>
      </c>
      <c r="AB4" s="1">
        <v>99668</v>
      </c>
      <c r="AC4" s="1">
        <v>-0.616124</v>
      </c>
      <c r="AD4" s="1">
        <f t="shared" si="3"/>
        <v>0.616124</v>
      </c>
      <c r="AE4">
        <f>(8502485*(1/48000000))*1000</f>
        <v>177.13510416666668</v>
      </c>
    </row>
    <row r="5" spans="1:31" x14ac:dyDescent="0.2">
      <c r="A5">
        <v>989.3</v>
      </c>
      <c r="B5" s="1">
        <v>17.031559000000001</v>
      </c>
      <c r="C5">
        <f>99519000*(1/48000000)</f>
        <v>2.0733125000000001</v>
      </c>
      <c r="D5">
        <v>1964.5</v>
      </c>
      <c r="E5" s="1">
        <v>7.185327</v>
      </c>
      <c r="F5" s="2">
        <f>182250000*(1/48000000)</f>
        <v>3.7968750000000004</v>
      </c>
      <c r="G5" s="1">
        <v>5059</v>
      </c>
      <c r="H5" s="1">
        <v>3.5937800000000002</v>
      </c>
      <c r="I5">
        <f>444924000*(1/48000000)</f>
        <v>9.2692500000000013</v>
      </c>
      <c r="J5" s="1">
        <v>8081</v>
      </c>
      <c r="K5" s="1">
        <v>0.887181</v>
      </c>
      <c r="L5">
        <f>704320000*(1/48000000)</f>
        <v>14.673333333333334</v>
      </c>
      <c r="M5" s="1">
        <v>9878</v>
      </c>
      <c r="N5" s="1">
        <v>8.3159999999999998E-2</v>
      </c>
      <c r="O5">
        <f>852119000*(1/48000000)</f>
        <v>17.752479166666667</v>
      </c>
      <c r="P5" s="1">
        <v>19786</v>
      </c>
      <c r="Q5" s="1">
        <v>0.30230299999999999</v>
      </c>
      <c r="R5" s="1">
        <f t="shared" si="0"/>
        <v>0.30230299999999999</v>
      </c>
      <c r="S5">
        <f>1701519000*(1/48000000)</f>
        <v>35.4483125</v>
      </c>
      <c r="T5">
        <v>50382</v>
      </c>
      <c r="U5" s="1">
        <v>-0.18482199999999999</v>
      </c>
      <c r="V5">
        <f t="shared" si="1"/>
        <v>0.18482199999999999</v>
      </c>
      <c r="W5">
        <f>(4307107*(1/48000000))*1000</f>
        <v>89.731395833333337</v>
      </c>
      <c r="X5" s="1">
        <v>80506</v>
      </c>
      <c r="Y5" s="1">
        <v>-1.6541E-2</v>
      </c>
      <c r="Z5" s="1">
        <f t="shared" si="2"/>
        <v>1.6541E-2</v>
      </c>
      <c r="AA5">
        <f>(6862566*(1/48000000))*1000</f>
        <v>142.970125</v>
      </c>
      <c r="AB5" s="1">
        <v>99668</v>
      </c>
      <c r="AC5" s="1">
        <v>-0.86037300000000005</v>
      </c>
      <c r="AD5" s="1">
        <f t="shared" si="3"/>
        <v>0.86037300000000005</v>
      </c>
      <c r="AE5">
        <f>(8532901*(1/48000000))*1000</f>
        <v>177.76877083333335</v>
      </c>
    </row>
    <row r="6" spans="1:31" x14ac:dyDescent="0.2">
      <c r="A6">
        <v>989.3</v>
      </c>
      <c r="B6" s="1">
        <v>18.455867000000001</v>
      </c>
      <c r="C6">
        <f>98129000*(1/48000000)</f>
        <v>2.0443541666666669</v>
      </c>
      <c r="D6">
        <v>1964.5</v>
      </c>
      <c r="E6" s="1">
        <v>7.355372</v>
      </c>
      <c r="F6" s="2">
        <f>181945000*(1/48000000)</f>
        <v>3.7905208333333338</v>
      </c>
      <c r="G6" s="1">
        <v>5059</v>
      </c>
      <c r="H6" s="1">
        <v>4.1512979999999997</v>
      </c>
      <c r="I6">
        <f>447066000*(1/48000000)</f>
        <v>9.3138750000000012</v>
      </c>
      <c r="J6" s="1">
        <v>8081</v>
      </c>
      <c r="K6" s="1">
        <v>1.1676580000000001</v>
      </c>
      <c r="L6">
        <f>705476000*(1/48000000)</f>
        <v>14.697416666666667</v>
      </c>
      <c r="M6" s="1">
        <v>9878</v>
      </c>
      <c r="N6" s="1">
        <v>1.1122749999999999</v>
      </c>
      <c r="O6">
        <f>850906000*(1/48000000)</f>
        <v>17.727208333333333</v>
      </c>
      <c r="P6" s="1">
        <v>19786</v>
      </c>
      <c r="Q6" s="1">
        <v>0.24548600000000001</v>
      </c>
      <c r="R6" s="1">
        <f t="shared" si="0"/>
        <v>0.24548600000000001</v>
      </c>
      <c r="S6">
        <f>1706100000*(1/48000000)</f>
        <v>35.543750000000003</v>
      </c>
      <c r="T6">
        <v>50382</v>
      </c>
      <c r="U6" s="1">
        <v>-0.29689399999999999</v>
      </c>
      <c r="V6">
        <f t="shared" si="1"/>
        <v>0.29689399999999999</v>
      </c>
      <c r="W6">
        <f>(4302469*(1/48000000))*1000</f>
        <v>89.634770833333334</v>
      </c>
      <c r="X6" s="1">
        <v>80506</v>
      </c>
      <c r="Y6" s="1">
        <v>-0.25971699999999998</v>
      </c>
      <c r="Z6" s="1">
        <f t="shared" si="2"/>
        <v>0.25971699999999998</v>
      </c>
      <c r="AA6">
        <f>(6885341*(1/48000000))*1000</f>
        <v>143.44460416666669</v>
      </c>
      <c r="AB6" s="1">
        <v>99668</v>
      </c>
      <c r="AC6" s="1">
        <v>0.11680400000000001</v>
      </c>
      <c r="AD6" s="1">
        <f t="shared" si="3"/>
        <v>0.11680400000000001</v>
      </c>
      <c r="AE6">
        <f>(8540430*(1/48000000))*1000</f>
        <v>177.925625</v>
      </c>
    </row>
    <row r="7" spans="1:31" x14ac:dyDescent="0.2">
      <c r="A7">
        <v>989.3</v>
      </c>
      <c r="B7" s="1">
        <v>17.367084999999999</v>
      </c>
      <c r="C7">
        <f>98872000*(1/48000000)</f>
        <v>2.0598333333333336</v>
      </c>
      <c r="D7">
        <v>1964.5</v>
      </c>
      <c r="E7" s="1">
        <v>7.0859990000000002</v>
      </c>
      <c r="F7" s="2">
        <f>182220000*(1/48000000)</f>
        <v>3.7962500000000001</v>
      </c>
      <c r="G7" s="1">
        <v>5059</v>
      </c>
      <c r="H7" s="1">
        <v>3.388334</v>
      </c>
      <c r="I7">
        <f>447518000*(1/48000000)</f>
        <v>9.3232916666666679</v>
      </c>
      <c r="J7" s="1">
        <v>8081</v>
      </c>
      <c r="K7" s="1">
        <v>1.041574</v>
      </c>
      <c r="L7">
        <f>702475000*(1/48000000)</f>
        <v>14.634895833333335</v>
      </c>
      <c r="M7" s="1">
        <v>9878</v>
      </c>
      <c r="N7" s="1">
        <v>0.79823699999999997</v>
      </c>
      <c r="O7">
        <f>850782000*(1/48000000)</f>
        <v>17.724625</v>
      </c>
      <c r="P7" s="1">
        <v>19786</v>
      </c>
      <c r="Q7" s="1">
        <v>0.16295499999999999</v>
      </c>
      <c r="R7" s="1">
        <f>ABS(Q7:Q79)</f>
        <v>0.16295499999999999</v>
      </c>
      <c r="S7">
        <f>1699802000*(1/48000000)</f>
        <v>35.412541666666669</v>
      </c>
      <c r="T7">
        <v>50382</v>
      </c>
      <c r="U7" s="1">
        <v>-0.33833800000000003</v>
      </c>
      <c r="V7">
        <f t="shared" si="1"/>
        <v>0.33833800000000003</v>
      </c>
      <c r="W7">
        <f>(4304296*(1/48000000))*1000</f>
        <v>89.672833333333344</v>
      </c>
      <c r="X7" s="1">
        <v>80506</v>
      </c>
      <c r="Y7" s="1">
        <v>-1.2087000000000001E-2</v>
      </c>
      <c r="Z7" s="1">
        <f t="shared" si="2"/>
        <v>1.2087000000000001E-2</v>
      </c>
      <c r="AA7">
        <f>(6882894*(1/48000000))*1000</f>
        <v>143.39362499999999</v>
      </c>
      <c r="AB7" s="1">
        <v>99668</v>
      </c>
      <c r="AC7" s="1">
        <v>-6.8778000000000006E-2</v>
      </c>
      <c r="AD7" s="1">
        <f t="shared" si="3"/>
        <v>6.8778000000000006E-2</v>
      </c>
      <c r="AE7">
        <f>(8548795*(1/48000000))*1000</f>
        <v>178.09989583333336</v>
      </c>
    </row>
    <row r="8" spans="1:31" x14ac:dyDescent="0.2">
      <c r="A8">
        <v>989.3</v>
      </c>
      <c r="B8" s="1">
        <v>17.595856000000001</v>
      </c>
      <c r="C8">
        <f>98408000*(1/48000000)</f>
        <v>2.0501666666666667</v>
      </c>
      <c r="D8">
        <v>1964.5</v>
      </c>
      <c r="E8" s="1">
        <v>6.9757179999999996</v>
      </c>
      <c r="F8" s="2">
        <f>181856000*(1/48000000)</f>
        <v>3.7886666666666668</v>
      </c>
      <c r="G8" s="1">
        <v>5059</v>
      </c>
      <c r="H8" s="1">
        <v>4.1340019999999997</v>
      </c>
      <c r="I8">
        <f>447518000*(1/48000000)</f>
        <v>9.3232916666666679</v>
      </c>
      <c r="J8" s="1">
        <v>8081</v>
      </c>
      <c r="K8" s="1">
        <v>1.4044319999999999</v>
      </c>
      <c r="L8">
        <f>702099000*(1/48000000)</f>
        <v>14.627062500000001</v>
      </c>
      <c r="M8" s="1">
        <v>9878</v>
      </c>
      <c r="N8" s="1">
        <v>1.0335270000000001</v>
      </c>
      <c r="O8">
        <f>851554000*(1/48000000)</f>
        <v>17.740708333333334</v>
      </c>
      <c r="P8" s="1">
        <v>19786</v>
      </c>
      <c r="Q8" s="1">
        <v>-3.9108999999999998E-2</v>
      </c>
      <c r="R8" s="1">
        <f>ABS(Q8:Q80)</f>
        <v>3.9108999999999998E-2</v>
      </c>
      <c r="S8">
        <f>1700838000*(1/48000000)</f>
        <v>35.434125000000002</v>
      </c>
      <c r="T8">
        <v>50382</v>
      </c>
      <c r="U8" s="1">
        <v>-0.45371299999999998</v>
      </c>
      <c r="V8">
        <f t="shared" si="1"/>
        <v>0.45371299999999998</v>
      </c>
      <c r="W8">
        <f>(4300360*(1/48000000))*1000</f>
        <v>89.590833333333336</v>
      </c>
      <c r="X8" s="1">
        <v>80506</v>
      </c>
      <c r="Y8" s="1">
        <v>-0.29000599999999999</v>
      </c>
      <c r="Z8" s="1">
        <f t="shared" si="2"/>
        <v>0.29000599999999999</v>
      </c>
      <c r="AA8">
        <f>(6885937*(1/48000000))*1000</f>
        <v>143.45702083333333</v>
      </c>
      <c r="AB8" s="1">
        <v>99668</v>
      </c>
      <c r="AC8" s="1">
        <v>-6.5448000000000006E-2</v>
      </c>
      <c r="AD8" s="1">
        <f t="shared" si="3"/>
        <v>6.5448000000000006E-2</v>
      </c>
      <c r="AE8">
        <f>(8538655*(1/48000000))*1000</f>
        <v>177.88864583333333</v>
      </c>
    </row>
    <row r="9" spans="1:31" x14ac:dyDescent="0.2">
      <c r="A9">
        <v>989.3</v>
      </c>
      <c r="B9" s="1">
        <v>16.293599</v>
      </c>
      <c r="C9">
        <f>99232000*(1/48000000)</f>
        <v>2.0673333333333335</v>
      </c>
      <c r="D9">
        <v>1964.5</v>
      </c>
      <c r="E9" s="1">
        <v>7.1831160000000001</v>
      </c>
      <c r="F9" s="2">
        <f>181983000*(1/48000000)</f>
        <v>3.7913125000000001</v>
      </c>
      <c r="G9" s="1">
        <v>5059</v>
      </c>
      <c r="H9" s="1">
        <v>3.5071439999999998</v>
      </c>
      <c r="I9">
        <f>447349000*(1/48000000)</f>
        <v>9.3197708333333331</v>
      </c>
      <c r="J9" s="1">
        <v>8081</v>
      </c>
      <c r="K9" s="1">
        <v>0.98038700000000001</v>
      </c>
      <c r="L9">
        <f>708389000*(1/48000000)</f>
        <v>14.758104166666667</v>
      </c>
      <c r="M9" s="1">
        <v>9878</v>
      </c>
      <c r="N9" s="1">
        <v>0.58301599999999998</v>
      </c>
      <c r="O9">
        <f>852971000*(1/48000000)</f>
        <v>17.770229166666667</v>
      </c>
      <c r="P9" s="1">
        <v>19786</v>
      </c>
      <c r="Q9" s="1">
        <v>6.4981999999999998E-2</v>
      </c>
      <c r="R9" s="1">
        <f>ABS(Q9:Q81)</f>
        <v>6.4981999999999998E-2</v>
      </c>
      <c r="S9">
        <f>1700172000*(1/48000000)</f>
        <v>35.420250000000003</v>
      </c>
      <c r="T9">
        <v>50382</v>
      </c>
      <c r="U9" s="1">
        <v>-6.3366000000000006E-2</v>
      </c>
      <c r="V9">
        <f t="shared" si="1"/>
        <v>6.3366000000000006E-2</v>
      </c>
      <c r="W9">
        <f>(4301146*(1/48000000))*1000</f>
        <v>89.607208333333347</v>
      </c>
      <c r="X9" s="1">
        <v>80506</v>
      </c>
      <c r="Y9" s="1">
        <v>-3.5189999999999999E-2</v>
      </c>
      <c r="Z9" s="1">
        <f t="shared" si="2"/>
        <v>3.5189999999999999E-2</v>
      </c>
      <c r="AA9">
        <f>(6887102*(1/48000000))*1000</f>
        <v>143.48129166666666</v>
      </c>
      <c r="AB9" s="1">
        <v>99668</v>
      </c>
      <c r="AC9" s="1">
        <v>-0.25367200000000001</v>
      </c>
      <c r="AD9" s="1">
        <f t="shared" si="3"/>
        <v>0.25367200000000001</v>
      </c>
      <c r="AE9">
        <f>(8537058*(1/48000000))*1000</f>
        <v>177.85537500000001</v>
      </c>
    </row>
    <row r="10" spans="1:31" x14ac:dyDescent="0.2">
      <c r="A10">
        <v>989.3</v>
      </c>
      <c r="B10" s="1">
        <v>17.297038000000001</v>
      </c>
      <c r="C10">
        <f>98287000*(1/48000000)</f>
        <v>2.0476458333333336</v>
      </c>
      <c r="D10">
        <v>1964.5</v>
      </c>
      <c r="E10" s="1">
        <v>6.7004380000000001</v>
      </c>
      <c r="F10" s="2">
        <f>182360000*(1/48000000)</f>
        <v>3.7991666666666668</v>
      </c>
      <c r="G10" s="1">
        <v>5059</v>
      </c>
      <c r="H10" s="1">
        <v>3.597534</v>
      </c>
      <c r="I10">
        <f>447776000*(1/48000000)</f>
        <v>9.3286666666666669</v>
      </c>
      <c r="J10" s="1">
        <v>8081</v>
      </c>
      <c r="K10" s="1">
        <v>1.4515130000000001</v>
      </c>
      <c r="L10">
        <f>702411000*(1/48000000)</f>
        <v>14.6335625</v>
      </c>
      <c r="M10" s="1">
        <v>9878</v>
      </c>
      <c r="N10" s="1">
        <v>1.2571870000000001</v>
      </c>
      <c r="O10">
        <f>850955000*(1/48000000)</f>
        <v>17.728229166666669</v>
      </c>
      <c r="P10" s="1">
        <v>19786</v>
      </c>
      <c r="Q10" s="1">
        <v>2.7764E-2</v>
      </c>
      <c r="R10" s="1">
        <f>ABS(Q10:Q82)</f>
        <v>2.7764E-2</v>
      </c>
      <c r="S10">
        <f>1692480000*(1/48000000)</f>
        <v>35.260000000000005</v>
      </c>
      <c r="T10">
        <v>50382</v>
      </c>
      <c r="U10" s="1">
        <v>-0.53311500000000001</v>
      </c>
      <c r="V10">
        <f t="shared" si="1"/>
        <v>0.53311500000000001</v>
      </c>
      <c r="W10">
        <f>(4309008*(1/48000000))*1000</f>
        <v>89.771000000000001</v>
      </c>
      <c r="X10" s="1">
        <v>80506</v>
      </c>
      <c r="Y10" s="1">
        <v>-0.64356100000000005</v>
      </c>
      <c r="Z10" s="1">
        <f t="shared" si="2"/>
        <v>0.64356100000000005</v>
      </c>
      <c r="AA10">
        <f>(6887673*(1/48000000))*1000</f>
        <v>143.4931875</v>
      </c>
      <c r="AB10" s="1">
        <v>99668</v>
      </c>
      <c r="AC10" s="1">
        <v>-0.41805500000000001</v>
      </c>
      <c r="AD10" s="1">
        <f t="shared" si="3"/>
        <v>0.41805500000000001</v>
      </c>
      <c r="AE10">
        <f>(8535004*(1/48000000))*1000</f>
        <v>177.81258333333335</v>
      </c>
    </row>
    <row r="11" spans="1:31" x14ac:dyDescent="0.2">
      <c r="A11">
        <v>989.3</v>
      </c>
      <c r="B11" s="1">
        <v>18.673853000000001</v>
      </c>
      <c r="C11">
        <f>98120000*(1/48000000)</f>
        <v>2.0441666666666669</v>
      </c>
      <c r="D11">
        <v>1964.5</v>
      </c>
      <c r="E11" s="1">
        <v>7.1873500000000003</v>
      </c>
      <c r="F11" s="2">
        <f>180912000*(1/48000000)</f>
        <v>3.7690000000000001</v>
      </c>
      <c r="G11" s="1">
        <v>5059</v>
      </c>
      <c r="H11" s="1">
        <v>3.442469</v>
      </c>
      <c r="I11">
        <f>447979000*(1/48000000)</f>
        <v>9.3328958333333336</v>
      </c>
      <c r="J11" s="1">
        <v>8081</v>
      </c>
      <c r="K11" s="1">
        <v>0.85484700000000002</v>
      </c>
      <c r="L11">
        <f>702616000*(1/48000000)</f>
        <v>14.637833333333335</v>
      </c>
      <c r="M11" s="1">
        <v>9878</v>
      </c>
      <c r="N11" s="1">
        <v>0.58534799999999998</v>
      </c>
      <c r="O11">
        <f>849634000*(1/48000000)</f>
        <v>17.700708333333335</v>
      </c>
      <c r="P11" s="1">
        <v>19786</v>
      </c>
      <c r="Q11" s="1">
        <v>-6.1557000000000001E-2</v>
      </c>
      <c r="R11" s="1">
        <f>ABS(Q11:Q83)</f>
        <v>6.1557000000000001E-2</v>
      </c>
      <c r="S11">
        <f>1697464000*(1/48000000)</f>
        <v>35.363833333333332</v>
      </c>
      <c r="T11">
        <v>50382</v>
      </c>
      <c r="U11" s="1">
        <v>-0.48123100000000002</v>
      </c>
      <c r="V11">
        <f t="shared" si="1"/>
        <v>0.48123100000000002</v>
      </c>
      <c r="W11">
        <f>(4305443*(1/48000000))*1000</f>
        <v>89.696729166666671</v>
      </c>
      <c r="X11" s="1">
        <v>80506</v>
      </c>
      <c r="Y11" s="1">
        <v>-0.14074700000000001</v>
      </c>
      <c r="Z11" s="1">
        <f t="shared" si="2"/>
        <v>0.14074700000000001</v>
      </c>
      <c r="AA11">
        <f>(6891052*(1/48000000))*1000</f>
        <v>143.56358333333336</v>
      </c>
      <c r="AB11" s="1">
        <v>99668</v>
      </c>
      <c r="AC11" s="1">
        <v>-0.26856799999999997</v>
      </c>
      <c r="AD11" s="1">
        <f t="shared" si="3"/>
        <v>0.26856799999999997</v>
      </c>
      <c r="AE11">
        <f>(8537120*(1/48000000))*1000</f>
        <v>177.85666666666668</v>
      </c>
    </row>
    <row r="12" spans="1:31" x14ac:dyDescent="0.2">
      <c r="A12">
        <v>989.3</v>
      </c>
      <c r="B12" s="1">
        <v>17.457253000000001</v>
      </c>
      <c r="C12">
        <f>99136000*(1/48000000)</f>
        <v>2.0653333333333332</v>
      </c>
      <c r="D12">
        <v>1964.5</v>
      </c>
      <c r="E12" s="1">
        <v>7.2270269999999996</v>
      </c>
      <c r="F12" s="2">
        <f>182682000*(1/48000000)</f>
        <v>3.8058750000000003</v>
      </c>
      <c r="G12" s="1">
        <v>5059</v>
      </c>
      <c r="H12" s="1">
        <v>3.559501</v>
      </c>
      <c r="I12">
        <f>447795000*(1/48000000)</f>
        <v>9.3290625000000009</v>
      </c>
      <c r="J12" s="1">
        <v>8081</v>
      </c>
      <c r="K12" s="1">
        <v>1.0622579999999999</v>
      </c>
      <c r="L12">
        <f>701310000*(1/48000000)</f>
        <v>14.610625000000001</v>
      </c>
      <c r="M12" s="1">
        <v>9878</v>
      </c>
      <c r="N12" s="1">
        <v>0.56412399999999996</v>
      </c>
      <c r="O12">
        <f>854689000*(1/48000000)</f>
        <v>17.806020833333335</v>
      </c>
      <c r="P12" s="1">
        <v>19786</v>
      </c>
      <c r="Q12" s="1">
        <v>-6.9138000000000005E-2</v>
      </c>
      <c r="R12" s="1">
        <f t="shared" si="0"/>
        <v>6.9138000000000005E-2</v>
      </c>
      <c r="S12">
        <f>1692614000*(1/48000000)</f>
        <v>35.262791666666672</v>
      </c>
      <c r="T12">
        <v>50382</v>
      </c>
      <c r="U12" s="1">
        <v>4.2969999999999996E-3</v>
      </c>
      <c r="V12">
        <f t="shared" si="1"/>
        <v>4.2969999999999996E-3</v>
      </c>
      <c r="W12">
        <f>(4309016*(1/48000000))*1000</f>
        <v>89.771166666666659</v>
      </c>
      <c r="X12" s="1">
        <v>80506</v>
      </c>
      <c r="Y12" s="1">
        <v>8.1128000000000006E-2</v>
      </c>
      <c r="Z12" s="1">
        <f t="shared" si="2"/>
        <v>8.1128000000000006E-2</v>
      </c>
      <c r="AA12">
        <f>(6889960*(1/48000000))*1000</f>
        <v>143.54083333333335</v>
      </c>
      <c r="AB12" s="1">
        <v>99668</v>
      </c>
      <c r="AC12" s="1">
        <v>-1.6472000000000001E-2</v>
      </c>
      <c r="AD12" s="1">
        <f t="shared" si="3"/>
        <v>1.6472000000000001E-2</v>
      </c>
      <c r="AE12">
        <f>(8507530*(1/48000000))*1000</f>
        <v>177.24020833333336</v>
      </c>
    </row>
    <row r="13" spans="1:31" x14ac:dyDescent="0.2">
      <c r="A13">
        <v>989.3</v>
      </c>
      <c r="B13" s="1">
        <v>17.561926</v>
      </c>
      <c r="C13">
        <f>97972000*(1/48000000)</f>
        <v>2.0410833333333334</v>
      </c>
      <c r="D13">
        <v>1964.5</v>
      </c>
      <c r="E13" s="1">
        <v>7.3433789999999997</v>
      </c>
      <c r="F13" s="2">
        <f>181395000*(1/48000000)</f>
        <v>3.7790625000000002</v>
      </c>
      <c r="G13" s="1">
        <v>5059</v>
      </c>
      <c r="H13" s="1">
        <v>3.6498050000000002</v>
      </c>
      <c r="I13">
        <f>446719000*(1/48000000)</f>
        <v>9.3066458333333344</v>
      </c>
      <c r="J13" s="1">
        <v>8081</v>
      </c>
      <c r="K13" s="1">
        <v>1.1784079999999999</v>
      </c>
      <c r="L13">
        <f>704031000*(1/48000000)</f>
        <v>14.667312500000001</v>
      </c>
      <c r="M13" s="1">
        <v>9878</v>
      </c>
      <c r="N13" s="1">
        <v>1.025811</v>
      </c>
      <c r="O13">
        <f>853381000*(1/48000000)</f>
        <v>17.778770833333333</v>
      </c>
      <c r="P13" s="1">
        <v>19786</v>
      </c>
      <c r="Q13" s="1">
        <v>0.18127299999999999</v>
      </c>
      <c r="R13" s="1">
        <f t="shared" si="0"/>
        <v>0.18127299999999999</v>
      </c>
      <c r="S13">
        <f>1702990000*(1/48000000)</f>
        <v>35.478958333333338</v>
      </c>
      <c r="T13">
        <v>50382</v>
      </c>
      <c r="U13" s="1">
        <v>-0.191853</v>
      </c>
      <c r="V13">
        <f t="shared" si="1"/>
        <v>0.191853</v>
      </c>
      <c r="W13">
        <f>(4310829*(1/48000000))*1000</f>
        <v>89.808937499999999</v>
      </c>
      <c r="X13" s="1">
        <v>80506</v>
      </c>
      <c r="Y13" s="1">
        <v>-0.705071</v>
      </c>
      <c r="Z13" s="1">
        <f t="shared" si="2"/>
        <v>0.705071</v>
      </c>
      <c r="AA13">
        <f>(6881916*(1/48000000))*1000</f>
        <v>143.37325000000001</v>
      </c>
      <c r="AB13" s="1">
        <v>99668</v>
      </c>
      <c r="AC13" s="1">
        <v>-4.0224999999999997E-2</v>
      </c>
      <c r="AD13" s="1">
        <f t="shared" si="3"/>
        <v>4.0224999999999997E-2</v>
      </c>
      <c r="AE13">
        <f>(8511970*(1/48000000))*1000</f>
        <v>177.33270833333333</v>
      </c>
    </row>
    <row r="14" spans="1:31" x14ac:dyDescent="0.2">
      <c r="A14">
        <v>989.3</v>
      </c>
      <c r="B14" s="1">
        <v>16.646747999999999</v>
      </c>
      <c r="C14">
        <f>98607000*(1/48000000)</f>
        <v>2.0543125</v>
      </c>
      <c r="D14">
        <v>1964.5</v>
      </c>
      <c r="E14" s="1">
        <v>7.0289390000000003</v>
      </c>
      <c r="F14" s="2">
        <f>181005000*(1/48000000)</f>
        <v>3.7709375000000001</v>
      </c>
      <c r="G14" s="1">
        <v>5059</v>
      </c>
      <c r="H14" s="1">
        <v>3.4214150000000001</v>
      </c>
      <c r="I14">
        <f>448571000*(1/48000000)</f>
        <v>9.3452291666666678</v>
      </c>
      <c r="J14" s="1">
        <v>8081</v>
      </c>
      <c r="K14" s="1">
        <v>0.98209000000000002</v>
      </c>
      <c r="L14">
        <f>702052000*(1/48000000)</f>
        <v>14.626083333333334</v>
      </c>
      <c r="M14" s="1">
        <v>9878</v>
      </c>
      <c r="N14" s="1">
        <v>0.80716500000000002</v>
      </c>
      <c r="O14">
        <f>851081000*(1/48000000)</f>
        <v>17.730854166666667</v>
      </c>
      <c r="P14" s="1">
        <v>19786</v>
      </c>
      <c r="Q14" s="1">
        <v>0.21909999999999999</v>
      </c>
      <c r="R14" s="1">
        <f t="shared" si="0"/>
        <v>0.21909999999999999</v>
      </c>
      <c r="S14">
        <f>1701154000*(1/48000000)</f>
        <v>35.440708333333333</v>
      </c>
      <c r="T14">
        <v>50382</v>
      </c>
      <c r="U14" s="1">
        <v>-8.0416000000000001E-2</v>
      </c>
      <c r="V14">
        <f t="shared" si="1"/>
        <v>8.0416000000000001E-2</v>
      </c>
      <c r="W14">
        <f>(4308467*(1/48000000))*1000</f>
        <v>89.759729166666673</v>
      </c>
      <c r="X14" s="1">
        <v>80506</v>
      </c>
      <c r="Y14" s="1">
        <v>-1.5939999999999999E-2</v>
      </c>
      <c r="Z14" s="1">
        <f t="shared" si="2"/>
        <v>1.5939999999999999E-2</v>
      </c>
      <c r="AA14">
        <f>(6888345*(1/48000000))*1000</f>
        <v>143.50718750000001</v>
      </c>
      <c r="AB14" s="1">
        <v>99668</v>
      </c>
      <c r="AC14" s="1">
        <v>-0.14202799999999999</v>
      </c>
      <c r="AD14" s="1">
        <f t="shared" si="3"/>
        <v>0.14202799999999999</v>
      </c>
      <c r="AE14">
        <f>(8519644*(1/48000000))*1000</f>
        <v>177.49258333333333</v>
      </c>
    </row>
    <row r="15" spans="1:31" x14ac:dyDescent="0.2">
      <c r="A15">
        <v>989.3</v>
      </c>
      <c r="B15" s="1">
        <v>17.444613</v>
      </c>
      <c r="C15">
        <f>98324000*(1/48000000)</f>
        <v>2.0484166666666668</v>
      </c>
      <c r="D15">
        <v>1964.5</v>
      </c>
      <c r="E15" s="1">
        <v>6.9948259999999998</v>
      </c>
      <c r="F15" s="2">
        <f>181829000*(1/48000000)</f>
        <v>3.7881041666666668</v>
      </c>
      <c r="G15" s="1">
        <v>5059</v>
      </c>
      <c r="H15" s="1">
        <v>3.3751220000000002</v>
      </c>
      <c r="I15">
        <f>449316000*(1/48000000)</f>
        <v>9.3607500000000012</v>
      </c>
      <c r="J15" s="1">
        <v>8081</v>
      </c>
      <c r="K15" s="1">
        <v>0.887799</v>
      </c>
      <c r="L15">
        <f>702570000*(1/48000000)</f>
        <v>14.636875000000002</v>
      </c>
      <c r="M15" s="1">
        <v>9878</v>
      </c>
      <c r="N15" s="1">
        <v>1.039312</v>
      </c>
      <c r="O15">
        <f>850928000*(1/48000000)</f>
        <v>17.727666666666668</v>
      </c>
      <c r="P15" s="1">
        <v>19786</v>
      </c>
      <c r="Q15" s="1">
        <v>4.241E-3</v>
      </c>
      <c r="R15" s="1">
        <f t="shared" si="0"/>
        <v>4.241E-3</v>
      </c>
      <c r="S15">
        <f>1700160000*(1/48000000)</f>
        <v>35.42</v>
      </c>
      <c r="T15">
        <v>50382</v>
      </c>
      <c r="U15" s="1">
        <v>-0.19652900000000001</v>
      </c>
      <c r="V15">
        <f t="shared" si="1"/>
        <v>0.19652900000000001</v>
      </c>
      <c r="W15">
        <f>(4304631*(1/48000000))*1000</f>
        <v>89.679812500000011</v>
      </c>
      <c r="X15" s="1">
        <v>80506</v>
      </c>
      <c r="Y15" s="1">
        <v>-0.24941099999999999</v>
      </c>
      <c r="Z15" s="1">
        <f t="shared" si="2"/>
        <v>0.24941099999999999</v>
      </c>
      <c r="AA15">
        <f>(6889136*(1/48000000))*1000</f>
        <v>143.52366666666668</v>
      </c>
      <c r="AB15" s="1">
        <v>99668</v>
      </c>
      <c r="AC15" s="1">
        <v>6.6942000000000002E-2</v>
      </c>
      <c r="AD15" s="1">
        <f t="shared" si="3"/>
        <v>6.6942000000000002E-2</v>
      </c>
      <c r="AE15">
        <f>(8534274*(1/48000000))*1000</f>
        <v>177.79737500000002</v>
      </c>
    </row>
    <row r="16" spans="1:31" x14ac:dyDescent="0.2">
      <c r="A16">
        <v>989.3</v>
      </c>
      <c r="B16" s="1">
        <v>18.618773000000001</v>
      </c>
      <c r="C16">
        <f>98645000*(1/48000000)</f>
        <v>2.0551041666666667</v>
      </c>
      <c r="D16">
        <v>1964.5</v>
      </c>
      <c r="E16" s="1">
        <v>7.3946209999999999</v>
      </c>
      <c r="F16" s="2">
        <f>181920000*(1/48000000)</f>
        <v>3.79</v>
      </c>
      <c r="G16" s="1">
        <v>5059</v>
      </c>
      <c r="H16" s="1">
        <v>3.3735580000000001</v>
      </c>
      <c r="I16">
        <f>446388000*(1/48000000)</f>
        <v>9.2997500000000013</v>
      </c>
      <c r="J16" s="1">
        <v>8081</v>
      </c>
      <c r="K16" s="1">
        <v>0.84895200000000004</v>
      </c>
      <c r="L16">
        <f>702081000*(1/48000000)</f>
        <v>14.626687500000001</v>
      </c>
      <c r="M16" s="1">
        <v>9878</v>
      </c>
      <c r="N16" s="1">
        <v>0.72115099999999999</v>
      </c>
      <c r="O16">
        <f>852746000*(1/48000000)</f>
        <v>17.765541666666667</v>
      </c>
      <c r="P16" s="1">
        <v>19786</v>
      </c>
      <c r="Q16" s="1">
        <v>0.45907399999999998</v>
      </c>
      <c r="R16" s="1">
        <f t="shared" si="0"/>
        <v>0.45907399999999998</v>
      </c>
      <c r="S16">
        <f>1689548000*(1/48000000)</f>
        <v>35.198916666666669</v>
      </c>
      <c r="T16">
        <v>50382</v>
      </c>
      <c r="U16" s="1">
        <v>-0.60782199999999997</v>
      </c>
      <c r="V16">
        <f t="shared" si="1"/>
        <v>0.60782199999999997</v>
      </c>
      <c r="W16">
        <f>(4308456*(1/48000000))*1000</f>
        <v>89.759500000000003</v>
      </c>
      <c r="X16" s="1">
        <v>80506</v>
      </c>
      <c r="Y16" s="1">
        <v>-0.27851500000000001</v>
      </c>
      <c r="Z16" s="1">
        <f t="shared" si="2"/>
        <v>0.27851500000000001</v>
      </c>
      <c r="AA16">
        <f>(6887716*(1/48000000))*1000</f>
        <v>143.49408333333335</v>
      </c>
      <c r="AB16" s="1">
        <v>99668</v>
      </c>
      <c r="AC16" s="1">
        <v>-0.57555900000000004</v>
      </c>
      <c r="AD16" s="1">
        <f t="shared" si="3"/>
        <v>0.57555900000000004</v>
      </c>
      <c r="AE16">
        <f>(8534524*(1/48000000))*1000</f>
        <v>177.80258333333336</v>
      </c>
    </row>
    <row r="17" spans="1:31" x14ac:dyDescent="0.2">
      <c r="A17">
        <v>989.3</v>
      </c>
      <c r="B17" s="1">
        <v>17.556885000000001</v>
      </c>
      <c r="C17">
        <f>98923000*(1/48000000)</f>
        <v>2.0608958333333334</v>
      </c>
      <c r="D17">
        <v>1964.5</v>
      </c>
      <c r="E17" s="1">
        <v>7.4260770000000003</v>
      </c>
      <c r="F17" s="2">
        <f>181559000*(1/48000000)</f>
        <v>3.7824791666666671</v>
      </c>
      <c r="G17" s="1">
        <v>5059</v>
      </c>
      <c r="H17" s="1">
        <v>3.981268</v>
      </c>
      <c r="I17">
        <f>450127000*(1/48000000)</f>
        <v>9.3776458333333341</v>
      </c>
      <c r="J17" s="1">
        <v>8081</v>
      </c>
      <c r="K17" s="1">
        <v>1.209103</v>
      </c>
      <c r="L17">
        <f>701258000*(1/48000000)</f>
        <v>14.609541666666667</v>
      </c>
      <c r="M17" s="1">
        <v>9878</v>
      </c>
      <c r="N17" s="1">
        <v>1.0882270000000001</v>
      </c>
      <c r="O17">
        <f>852090000*(1/48000000)</f>
        <v>17.751875000000002</v>
      </c>
      <c r="P17" s="1">
        <v>19786</v>
      </c>
      <c r="Q17" s="1">
        <v>1.9633999999999999E-2</v>
      </c>
      <c r="R17" s="1">
        <f t="shared" si="0"/>
        <v>1.9633999999999999E-2</v>
      </c>
      <c r="S17">
        <f>1700404000*(1/48000000)</f>
        <v>35.425083333333333</v>
      </c>
      <c r="T17">
        <v>50382</v>
      </c>
      <c r="U17" s="1">
        <v>0.15171599999999999</v>
      </c>
      <c r="V17">
        <f t="shared" si="1"/>
        <v>0.15171599999999999</v>
      </c>
      <c r="W17">
        <f>(4297814*(1/48000000))*1000</f>
        <v>89.537791666666678</v>
      </c>
      <c r="X17" s="1">
        <v>80506</v>
      </c>
      <c r="Y17" s="1">
        <v>-0.28168399999999999</v>
      </c>
      <c r="Z17" s="1">
        <f t="shared" si="2"/>
        <v>0.28168399999999999</v>
      </c>
      <c r="AA17">
        <f>(6884158*(1/48000000))*1000</f>
        <v>143.41995833333334</v>
      </c>
      <c r="AB17" s="1">
        <v>99668</v>
      </c>
      <c r="AC17" s="1">
        <v>-0.34130199999999999</v>
      </c>
      <c r="AD17" s="1">
        <f t="shared" si="3"/>
        <v>0.34130199999999999</v>
      </c>
      <c r="AE17">
        <f>(8542773*(1/48000000))*1000</f>
        <v>177.97443749999999</v>
      </c>
    </row>
    <row r="18" spans="1:31" x14ac:dyDescent="0.2">
      <c r="A18">
        <v>989.3</v>
      </c>
      <c r="B18" s="1">
        <v>16.930982</v>
      </c>
      <c r="C18">
        <f>98898000*(1/48000000)</f>
        <v>2.0603750000000001</v>
      </c>
      <c r="D18">
        <v>1964.5</v>
      </c>
      <c r="E18" s="1">
        <v>7.1431579999999997</v>
      </c>
      <c r="F18" s="2">
        <f>180612000*(1/48000000)</f>
        <v>3.76275</v>
      </c>
      <c r="G18" s="1">
        <v>5059</v>
      </c>
      <c r="H18" s="1">
        <v>3.390355</v>
      </c>
      <c r="I18">
        <f>447259000*(1/48000000)</f>
        <v>9.317895833333333</v>
      </c>
      <c r="J18" s="1">
        <v>8081</v>
      </c>
      <c r="K18" s="1">
        <v>0.94597500000000001</v>
      </c>
      <c r="L18">
        <f>700355000*(1/48000000)</f>
        <v>14.590729166666668</v>
      </c>
      <c r="M18" s="1">
        <v>9878</v>
      </c>
      <c r="N18" s="1">
        <v>0.49587300000000001</v>
      </c>
      <c r="O18">
        <f>850383000*(1/48000000)</f>
        <v>17.716312500000001</v>
      </c>
      <c r="P18" s="1">
        <v>19786</v>
      </c>
      <c r="Q18" s="1">
        <v>-0.23028499999999999</v>
      </c>
      <c r="R18" s="1">
        <f t="shared" si="0"/>
        <v>0.23028499999999999</v>
      </c>
      <c r="S18">
        <f>1700777000*(1/48000000)</f>
        <v>35.432854166666672</v>
      </c>
      <c r="T18">
        <v>50382</v>
      </c>
      <c r="U18" s="1">
        <v>-0.143154</v>
      </c>
      <c r="V18">
        <f t="shared" si="1"/>
        <v>0.143154</v>
      </c>
      <c r="W18">
        <f>(4301106*(1/48000000))*1000</f>
        <v>89.606375</v>
      </c>
      <c r="X18" s="1">
        <v>80506</v>
      </c>
      <c r="Y18" s="1">
        <v>0.10188999999999999</v>
      </c>
      <c r="Z18" s="1">
        <f t="shared" si="2"/>
        <v>0.10188999999999999</v>
      </c>
      <c r="AA18">
        <f>(6855625*(1/48000000))*1000</f>
        <v>142.82552083333334</v>
      </c>
      <c r="AB18" s="1">
        <v>99668</v>
      </c>
      <c r="AC18" s="1">
        <v>-7.4040999999999996E-2</v>
      </c>
      <c r="AD18" s="1">
        <f t="shared" si="3"/>
        <v>7.4040999999999996E-2</v>
      </c>
      <c r="AE18">
        <f>(8536002*(1/48000000))*1000</f>
        <v>177.83337500000002</v>
      </c>
    </row>
    <row r="19" spans="1:31" x14ac:dyDescent="0.2">
      <c r="A19">
        <v>989.3</v>
      </c>
      <c r="B19" s="1">
        <v>17.728876</v>
      </c>
      <c r="C19">
        <f>99301000*(1/48000000)</f>
        <v>2.0687708333333337</v>
      </c>
      <c r="D19">
        <v>1964.5</v>
      </c>
      <c r="E19" s="1">
        <v>6.5605070000000003</v>
      </c>
      <c r="F19" s="2">
        <f>181578000*(1/48000000)</f>
        <v>3.7828750000000002</v>
      </c>
      <c r="G19" s="1">
        <v>5059</v>
      </c>
      <c r="H19" s="1">
        <v>3.923381</v>
      </c>
      <c r="I19">
        <f>447907000*(1/48000000)</f>
        <v>9.3313958333333336</v>
      </c>
      <c r="J19" s="1">
        <v>8081</v>
      </c>
      <c r="K19" s="1">
        <v>1.674798</v>
      </c>
      <c r="L19">
        <f>705582000*(1/48000000)</f>
        <v>14.699625000000001</v>
      </c>
      <c r="M19" s="1">
        <v>9878</v>
      </c>
      <c r="N19" s="1">
        <v>0.99351</v>
      </c>
      <c r="O19">
        <f>851425000*(1/48000000)</f>
        <v>17.738020833333334</v>
      </c>
      <c r="P19" s="1">
        <v>19786</v>
      </c>
      <c r="Q19" s="1">
        <v>0.36715799999999998</v>
      </c>
      <c r="R19" s="1">
        <f t="shared" si="0"/>
        <v>0.36715799999999998</v>
      </c>
      <c r="S19">
        <f>1701196000*(1/48000000)</f>
        <v>35.441583333333334</v>
      </c>
      <c r="T19">
        <v>50382</v>
      </c>
      <c r="U19" s="1">
        <v>-0.10985399999999999</v>
      </c>
      <c r="V19">
        <f t="shared" si="1"/>
        <v>0.10985399999999999</v>
      </c>
      <c r="W19">
        <f>(4301673*(1/48000000))*1000</f>
        <v>89.618187500000005</v>
      </c>
      <c r="X19" s="1">
        <v>80506</v>
      </c>
      <c r="Y19" s="1">
        <v>-0.190356</v>
      </c>
      <c r="Z19" s="1">
        <f t="shared" si="2"/>
        <v>0.190356</v>
      </c>
      <c r="AA19">
        <f>(6889507*(1/48000000))*1000</f>
        <v>143.53139583333336</v>
      </c>
      <c r="AB19" s="1">
        <v>99668</v>
      </c>
      <c r="AC19" s="1">
        <v>-0.15661900000000001</v>
      </c>
      <c r="AD19" s="1">
        <f t="shared" si="3"/>
        <v>0.15661900000000001</v>
      </c>
      <c r="AE19">
        <f>(8537472*(1/48000000))*1000</f>
        <v>177.86400000000003</v>
      </c>
    </row>
    <row r="20" spans="1:31" x14ac:dyDescent="0.2">
      <c r="A20">
        <v>989.3</v>
      </c>
      <c r="B20" s="1">
        <v>17.521673</v>
      </c>
      <c r="C20">
        <f>98264000*(1/48000000)</f>
        <v>2.0471666666666666</v>
      </c>
      <c r="D20">
        <v>1964.5</v>
      </c>
      <c r="E20" s="1">
        <v>7.7333220000000003</v>
      </c>
      <c r="F20" s="2">
        <f>181878000*(1/48000000)</f>
        <v>3.7891250000000003</v>
      </c>
      <c r="G20" s="1">
        <v>5059</v>
      </c>
      <c r="H20" s="1">
        <v>3.0142699999999998</v>
      </c>
      <c r="I20">
        <f>448686000*(1/48000000)</f>
        <v>9.3476250000000007</v>
      </c>
      <c r="J20" s="1">
        <v>8081</v>
      </c>
      <c r="K20" s="1">
        <v>1.266238</v>
      </c>
      <c r="L20">
        <f>700121000*(1/48000000)</f>
        <v>14.585854166666667</v>
      </c>
      <c r="M20" s="1">
        <v>9878</v>
      </c>
      <c r="N20" s="1">
        <v>0.45391700000000001</v>
      </c>
      <c r="O20">
        <f>851068000*(1/48000000)</f>
        <v>17.730583333333335</v>
      </c>
      <c r="P20" s="1">
        <v>19786</v>
      </c>
      <c r="Q20" s="1">
        <v>7.0100000000000002E-4</v>
      </c>
      <c r="R20" s="1">
        <f t="shared" si="0"/>
        <v>7.0100000000000002E-4</v>
      </c>
      <c r="S20">
        <f>1694256000*(1/48000000)</f>
        <v>35.297000000000004</v>
      </c>
      <c r="T20">
        <v>50382</v>
      </c>
      <c r="U20" s="1">
        <v>-0.28093099999999999</v>
      </c>
      <c r="V20">
        <f t="shared" si="1"/>
        <v>0.28093099999999999</v>
      </c>
      <c r="W20">
        <f>(4310972*(1/48000000))*1000</f>
        <v>89.811916666666676</v>
      </c>
      <c r="X20" s="1">
        <v>80506</v>
      </c>
      <c r="Y20" s="1">
        <v>-0.82460199999999995</v>
      </c>
      <c r="Z20" s="1">
        <f t="shared" si="2"/>
        <v>0.82460199999999995</v>
      </c>
      <c r="AA20">
        <f>(6869822*(1/48000000))*1000</f>
        <v>143.12129166666668</v>
      </c>
      <c r="AB20" s="1">
        <v>99668</v>
      </c>
      <c r="AC20" s="1">
        <v>-0.25609300000000002</v>
      </c>
      <c r="AD20" s="1">
        <f t="shared" si="3"/>
        <v>0.25609300000000002</v>
      </c>
      <c r="AE20">
        <f>(8536026*(1/48000000))*1000</f>
        <v>177.83387500000001</v>
      </c>
    </row>
    <row r="21" spans="1:31" x14ac:dyDescent="0.2">
      <c r="A21">
        <v>989.3</v>
      </c>
      <c r="B21" s="1">
        <v>17.091908</v>
      </c>
      <c r="C21">
        <f>98827000*(1/48000000)</f>
        <v>2.0588958333333336</v>
      </c>
      <c r="D21">
        <v>1964.5</v>
      </c>
      <c r="E21" s="1">
        <v>7.0915169999999996</v>
      </c>
      <c r="F21" s="2">
        <f>182663000*(1/48000000)</f>
        <v>3.8054791666666667</v>
      </c>
      <c r="G21" s="1">
        <v>5059</v>
      </c>
      <c r="H21" s="1">
        <v>3.5254150000000002</v>
      </c>
      <c r="I21">
        <f>449466000*(1/48000000)</f>
        <v>9.3638750000000002</v>
      </c>
      <c r="J21" s="1">
        <v>8081</v>
      </c>
      <c r="K21" s="1">
        <v>1.0926469999999999</v>
      </c>
      <c r="L21">
        <f>702708000*(1/48000000)</f>
        <v>14.639750000000001</v>
      </c>
      <c r="M21" s="1">
        <v>9878</v>
      </c>
      <c r="N21" s="1">
        <v>1.298378</v>
      </c>
      <c r="O21">
        <f>853002000*(1/48000000)</f>
        <v>17.770875</v>
      </c>
      <c r="P21" s="1">
        <v>19786</v>
      </c>
      <c r="Q21" s="1">
        <v>-9.1761999999999996E-2</v>
      </c>
      <c r="R21" s="1">
        <f t="shared" si="0"/>
        <v>9.1761999999999996E-2</v>
      </c>
      <c r="S21">
        <f>1691939000*(1/48000000)</f>
        <v>35.248729166666671</v>
      </c>
      <c r="T21">
        <v>50382</v>
      </c>
      <c r="U21" s="1">
        <v>4.8745999999999998E-2</v>
      </c>
      <c r="V21">
        <f t="shared" si="1"/>
        <v>4.8745999999999998E-2</v>
      </c>
      <c r="W21">
        <f>(4310406*(1/48000000))*1000</f>
        <v>89.800125000000008</v>
      </c>
      <c r="X21" s="1">
        <v>80506</v>
      </c>
      <c r="Y21" s="1">
        <v>-0.16752400000000001</v>
      </c>
      <c r="Z21" s="1">
        <f t="shared" si="2"/>
        <v>0.16752400000000001</v>
      </c>
      <c r="AA21">
        <f>(6879949*(1/48000000))*1000</f>
        <v>143.33227083333333</v>
      </c>
      <c r="AB21" s="1">
        <v>99668</v>
      </c>
      <c r="AC21" s="1">
        <v>-0.30444599999999999</v>
      </c>
      <c r="AD21" s="1">
        <f t="shared" si="3"/>
        <v>0.30444599999999999</v>
      </c>
      <c r="AE21">
        <f>(8531838*(1/48000000))*1000</f>
        <v>177.74662500000002</v>
      </c>
    </row>
    <row r="22" spans="1:31" x14ac:dyDescent="0.2">
      <c r="A22">
        <v>989.3</v>
      </c>
      <c r="B22" s="1">
        <v>17.074088</v>
      </c>
      <c r="C22">
        <f>97587000*(1/48000000)</f>
        <v>2.0330625000000002</v>
      </c>
      <c r="D22">
        <v>1964.5</v>
      </c>
      <c r="E22" s="1">
        <v>6.993538</v>
      </c>
      <c r="F22" s="2">
        <f>180380000*(1/48000000)</f>
        <v>3.757916666666667</v>
      </c>
      <c r="G22" s="1">
        <v>5059</v>
      </c>
      <c r="H22" s="1">
        <v>4.519641</v>
      </c>
      <c r="I22">
        <f>449626000*(1/48000000)</f>
        <v>9.367208333333334</v>
      </c>
      <c r="J22" s="1">
        <v>8081</v>
      </c>
      <c r="K22" s="1">
        <v>1.3338270000000001</v>
      </c>
      <c r="L22">
        <f>704133000*(1/48000000)</f>
        <v>14.669437500000001</v>
      </c>
      <c r="M22" s="1">
        <v>9878</v>
      </c>
      <c r="N22" s="1">
        <v>0.72303899999999999</v>
      </c>
      <c r="O22">
        <f>852588000*(1/48000000)</f>
        <v>17.762250000000002</v>
      </c>
      <c r="P22" s="1">
        <v>19786</v>
      </c>
      <c r="Q22" s="1">
        <v>-4.8641999999999998E-2</v>
      </c>
      <c r="R22" s="1">
        <f t="shared" si="0"/>
        <v>4.8641999999999998E-2</v>
      </c>
      <c r="S22">
        <f>1701546000*(1/48000000)</f>
        <v>35.448875000000001</v>
      </c>
      <c r="T22">
        <v>50382</v>
      </c>
      <c r="U22" s="1">
        <v>-0.20393</v>
      </c>
      <c r="V22">
        <f t="shared" si="1"/>
        <v>0.20393</v>
      </c>
      <c r="W22">
        <f>(4308539*(1/48000000))*1000</f>
        <v>89.761229166666681</v>
      </c>
      <c r="X22" s="1">
        <v>80506</v>
      </c>
      <c r="Y22" s="1">
        <v>-0.39915899999999999</v>
      </c>
      <c r="Z22" s="1">
        <f t="shared" si="2"/>
        <v>0.39915899999999999</v>
      </c>
      <c r="AA22">
        <f>(6887576*(1/48000000))*1000</f>
        <v>143.49116666666666</v>
      </c>
      <c r="AB22" s="1">
        <v>99668</v>
      </c>
      <c r="AC22" s="1">
        <v>4.5489000000000002E-2</v>
      </c>
      <c r="AD22" s="1">
        <f t="shared" si="3"/>
        <v>4.5489000000000002E-2</v>
      </c>
      <c r="AE22">
        <f>(8522644*(1/48000000))*1000</f>
        <v>177.55508333333333</v>
      </c>
    </row>
    <row r="23" spans="1:31" x14ac:dyDescent="0.2">
      <c r="A23">
        <v>989.3</v>
      </c>
      <c r="B23" s="1">
        <v>18.746648</v>
      </c>
      <c r="C23">
        <f>98867000*(1/48000000)</f>
        <v>2.0597291666666666</v>
      </c>
      <c r="D23">
        <v>1964.5</v>
      </c>
      <c r="E23" s="1">
        <v>6.9577850000000003</v>
      </c>
      <c r="F23" s="2">
        <f>180108000*(1/48000000)</f>
        <v>3.7522500000000001</v>
      </c>
      <c r="G23" s="1">
        <v>5059</v>
      </c>
      <c r="H23" s="1">
        <v>3.9002460000000001</v>
      </c>
      <c r="I23">
        <f>449604000*(1/48000000)</f>
        <v>9.3667499999999997</v>
      </c>
      <c r="J23" s="1">
        <v>8081</v>
      </c>
      <c r="K23" s="1">
        <v>0.92851399999999995</v>
      </c>
      <c r="L23">
        <f>704360000*(1/48000000)</f>
        <v>14.674166666666668</v>
      </c>
      <c r="M23" s="1">
        <v>9878</v>
      </c>
      <c r="N23" s="1">
        <v>0.71091599999999999</v>
      </c>
      <c r="O23">
        <f>853257000*(1/48000000)</f>
        <v>17.776187500000002</v>
      </c>
      <c r="P23" s="1">
        <v>19786</v>
      </c>
      <c r="Q23" s="1">
        <v>0.45503700000000002</v>
      </c>
      <c r="R23" s="1">
        <f t="shared" si="0"/>
        <v>0.45503700000000002</v>
      </c>
      <c r="S23">
        <f>1701572000*(1/48000000)</f>
        <v>35.449416666666671</v>
      </c>
      <c r="T23">
        <v>50382</v>
      </c>
      <c r="U23" s="1">
        <v>-0.621417</v>
      </c>
      <c r="V23">
        <f t="shared" si="1"/>
        <v>0.621417</v>
      </c>
      <c r="W23">
        <f>(4308582*(1/48000000))*1000</f>
        <v>89.762125000000012</v>
      </c>
      <c r="X23" s="1">
        <v>80506</v>
      </c>
      <c r="Y23" s="1">
        <v>-0.17679700000000001</v>
      </c>
      <c r="Z23" s="1">
        <f t="shared" si="2"/>
        <v>0.17679700000000001</v>
      </c>
      <c r="AA23">
        <f>(6886125*(1/48000000))*1000</f>
        <v>143.4609375</v>
      </c>
      <c r="AB23" s="1">
        <v>99668</v>
      </c>
      <c r="AC23" s="1">
        <v>-8.0070000000000002E-3</v>
      </c>
      <c r="AD23" s="1">
        <f t="shared" si="3"/>
        <v>8.0070000000000002E-3</v>
      </c>
      <c r="AE23">
        <f>(8537033*(1/48000000))*1000</f>
        <v>177.85485416666668</v>
      </c>
    </row>
    <row r="24" spans="1:31" x14ac:dyDescent="0.2">
      <c r="A24">
        <v>989.3</v>
      </c>
      <c r="B24" s="1">
        <v>18.117887</v>
      </c>
      <c r="C24">
        <f>98433000*(1/48000000)</f>
        <v>2.0506875</v>
      </c>
      <c r="D24">
        <v>1964.5</v>
      </c>
      <c r="E24" s="1">
        <v>7.5479039999999999</v>
      </c>
      <c r="F24" s="2">
        <f>181425000*(1/48000000)</f>
        <v>3.7796875000000001</v>
      </c>
      <c r="G24" s="1">
        <v>5059</v>
      </c>
      <c r="H24" s="1">
        <v>3.4685950000000001</v>
      </c>
      <c r="I24">
        <f>448436000*(1/48000000)</f>
        <v>9.3424166666666668</v>
      </c>
      <c r="J24" s="1">
        <v>8081</v>
      </c>
      <c r="K24" s="1">
        <v>1.133977</v>
      </c>
      <c r="L24">
        <f>703855000*(1/48000000)</f>
        <v>14.663645833333334</v>
      </c>
      <c r="M24" s="1">
        <v>9878</v>
      </c>
      <c r="N24" s="1">
        <v>0.78599799999999997</v>
      </c>
      <c r="O24">
        <f>852249000*(1/48000000)</f>
        <v>17.755187500000002</v>
      </c>
      <c r="P24" s="1">
        <v>19786</v>
      </c>
      <c r="Q24" s="1">
        <v>0.42088500000000001</v>
      </c>
      <c r="R24" s="1">
        <f t="shared" si="0"/>
        <v>0.42088500000000001</v>
      </c>
      <c r="S24">
        <f>1697006000*(1/48000000)</f>
        <v>35.354291666666668</v>
      </c>
      <c r="T24">
        <v>50382</v>
      </c>
      <c r="U24" s="1">
        <v>-0.21041899999999999</v>
      </c>
      <c r="V24">
        <f t="shared" si="1"/>
        <v>0.21041899999999999</v>
      </c>
      <c r="W24">
        <f>(4306473*(1/48000000))*1000</f>
        <v>89.718187499999999</v>
      </c>
      <c r="X24" s="1">
        <v>80506</v>
      </c>
      <c r="Y24" s="1">
        <v>-0.64545699999999995</v>
      </c>
      <c r="Z24" s="1">
        <f t="shared" si="2"/>
        <v>0.64545699999999995</v>
      </c>
      <c r="AA24">
        <f>(6890506*(1/48000000))*1000</f>
        <v>143.55220833333334</v>
      </c>
      <c r="AB24" s="1">
        <v>99668</v>
      </c>
      <c r="AC24" s="1">
        <v>-0.167018</v>
      </c>
      <c r="AD24" s="1">
        <f t="shared" si="3"/>
        <v>0.167018</v>
      </c>
      <c r="AE24">
        <f>(8530472*(1/48000000))*1000</f>
        <v>177.71816666666669</v>
      </c>
    </row>
    <row r="25" spans="1:31" x14ac:dyDescent="0.2">
      <c r="A25">
        <v>989.3</v>
      </c>
      <c r="B25" s="1">
        <v>17.610714000000002</v>
      </c>
      <c r="C25">
        <f>98644000*(1/48000000)</f>
        <v>2.0550833333333336</v>
      </c>
      <c r="D25">
        <v>1964.5</v>
      </c>
      <c r="E25" s="1">
        <v>7.477894</v>
      </c>
      <c r="F25" s="2">
        <f>181650000*(1/48000000)</f>
        <v>3.7843750000000003</v>
      </c>
      <c r="G25" s="1">
        <v>5059</v>
      </c>
      <c r="H25" s="1">
        <v>4.5286580000000001</v>
      </c>
      <c r="I25">
        <f>451782000*(1/48000000)</f>
        <v>9.4121250000000014</v>
      </c>
      <c r="J25" s="1">
        <v>8081</v>
      </c>
      <c r="K25" s="1">
        <v>0.704322</v>
      </c>
      <c r="L25">
        <f>703377000*(1/48000000)</f>
        <v>14.6536875</v>
      </c>
      <c r="M25" s="1">
        <v>9878</v>
      </c>
      <c r="N25" s="1">
        <v>0.89255700000000004</v>
      </c>
      <c r="O25">
        <f>852415000*(1/48000000)</f>
        <v>17.758645833333336</v>
      </c>
      <c r="P25" s="1">
        <v>19786</v>
      </c>
      <c r="Q25" s="1">
        <v>0.202318</v>
      </c>
      <c r="R25" s="1">
        <f t="shared" si="0"/>
        <v>0.202318</v>
      </c>
      <c r="S25">
        <f>1701418000*(1/48000000)</f>
        <v>35.446208333333338</v>
      </c>
      <c r="T25">
        <v>50382</v>
      </c>
      <c r="U25" s="1">
        <v>-4.0149999999999998E-2</v>
      </c>
      <c r="V25">
        <f t="shared" si="1"/>
        <v>4.0149999999999998E-2</v>
      </c>
      <c r="W25">
        <f>(4307925*(1/48000000))*1000</f>
        <v>89.748437499999994</v>
      </c>
      <c r="X25" s="1">
        <v>80506</v>
      </c>
      <c r="Y25" s="1">
        <v>-0.20769099999999999</v>
      </c>
      <c r="Z25" s="1">
        <f t="shared" si="2"/>
        <v>0.20769099999999999</v>
      </c>
      <c r="AA25">
        <f>(6884199*(1/48000000))*1000</f>
        <v>143.42081250000001</v>
      </c>
      <c r="AB25" s="1">
        <v>99668</v>
      </c>
      <c r="AC25" s="1">
        <v>-3.6701999999999999E-2</v>
      </c>
      <c r="AD25" s="1">
        <f t="shared" si="3"/>
        <v>3.6701999999999999E-2</v>
      </c>
      <c r="AE25">
        <f>(8539152*(1/48000000))*1000</f>
        <v>177.899</v>
      </c>
    </row>
    <row r="26" spans="1:31" x14ac:dyDescent="0.2">
      <c r="A26">
        <v>989.3</v>
      </c>
      <c r="B26" s="1">
        <v>16.909012000000001</v>
      </c>
      <c r="C26">
        <f>98336000*(1/48000000)</f>
        <v>2.0486666666666666</v>
      </c>
      <c r="D26">
        <v>1964.5</v>
      </c>
      <c r="E26" s="1">
        <v>7.0691660000000001</v>
      </c>
      <c r="F26" s="2">
        <f>180608000*(1/48000000)</f>
        <v>3.762666666666667</v>
      </c>
      <c r="G26" s="1">
        <v>5059</v>
      </c>
      <c r="H26" s="1">
        <v>4.0179720000000003</v>
      </c>
      <c r="I26">
        <f>448445000*(1/48000000)</f>
        <v>9.3426041666666677</v>
      </c>
      <c r="J26" s="1">
        <v>8081</v>
      </c>
      <c r="K26" s="1">
        <v>0.99253599999999997</v>
      </c>
      <c r="L26">
        <f>704570000*(1/48000000)</f>
        <v>14.678541666666668</v>
      </c>
      <c r="M26" s="1">
        <v>9878</v>
      </c>
      <c r="N26" s="1">
        <v>0.81422499999999998</v>
      </c>
      <c r="O26">
        <f>851060000*(1/48000000)</f>
        <v>17.730416666666667</v>
      </c>
      <c r="P26" s="1">
        <v>19786</v>
      </c>
      <c r="Q26" s="1">
        <v>0.187255</v>
      </c>
      <c r="R26" s="1">
        <f t="shared" si="0"/>
        <v>0.187255</v>
      </c>
      <c r="S26">
        <f>1702468000*(1/48000000)</f>
        <v>35.468083333333333</v>
      </c>
      <c r="T26">
        <v>50382</v>
      </c>
      <c r="U26" s="1">
        <v>-0.82591300000000001</v>
      </c>
      <c r="V26">
        <f t="shared" si="1"/>
        <v>0.82591300000000001</v>
      </c>
      <c r="W26">
        <f>(4301413*(1/48000000))*1000</f>
        <v>89.612770833333343</v>
      </c>
      <c r="X26" s="1">
        <v>80506</v>
      </c>
      <c r="Y26" s="1">
        <v>-0.60875199999999996</v>
      </c>
      <c r="Z26" s="1">
        <f t="shared" si="2"/>
        <v>0.60875199999999996</v>
      </c>
      <c r="AA26">
        <f>(6882007*(1/48000000))*1000</f>
        <v>143.37514583333333</v>
      </c>
      <c r="AB26" s="1">
        <v>99668</v>
      </c>
      <c r="AC26" s="1">
        <v>-0.17241600000000001</v>
      </c>
      <c r="AD26" s="1">
        <f t="shared" si="3"/>
        <v>0.17241600000000001</v>
      </c>
      <c r="AE26">
        <f>(8491706*(1/48000000))*1000</f>
        <v>176.91054166666666</v>
      </c>
    </row>
    <row r="27" spans="1:31" x14ac:dyDescent="0.2">
      <c r="A27">
        <v>989.3</v>
      </c>
      <c r="B27" s="1">
        <v>18.245740999999999</v>
      </c>
      <c r="C27">
        <f>97948000*(1/48000000)</f>
        <v>2.0405833333333336</v>
      </c>
      <c r="D27">
        <v>1964.5</v>
      </c>
      <c r="E27" s="1">
        <v>6.9375840000000002</v>
      </c>
      <c r="F27" s="2">
        <f>180564000*(1/48000000)</f>
        <v>3.7617500000000001</v>
      </c>
      <c r="G27" s="1">
        <v>5059</v>
      </c>
      <c r="H27" s="1">
        <v>3.8892389999999999</v>
      </c>
      <c r="I27">
        <f>450712000*(1/48000000)</f>
        <v>9.3898333333333337</v>
      </c>
      <c r="J27" s="1">
        <v>8081</v>
      </c>
      <c r="K27" s="1">
        <v>1.3373349999999999</v>
      </c>
      <c r="L27">
        <f>704788000*(1/48000000)</f>
        <v>14.683083333333334</v>
      </c>
      <c r="M27" s="1">
        <v>9878</v>
      </c>
      <c r="N27" s="1">
        <v>1.019012</v>
      </c>
      <c r="O27">
        <f>854656000*(1/48000000)</f>
        <v>17.805333333333333</v>
      </c>
      <c r="P27" s="1">
        <v>19786</v>
      </c>
      <c r="Q27" s="1">
        <v>0.34440100000000001</v>
      </c>
      <c r="R27" s="1">
        <f t="shared" si="0"/>
        <v>0.34440100000000001</v>
      </c>
      <c r="S27">
        <f>1699484000*(1/48000000)</f>
        <v>35.40591666666667</v>
      </c>
      <c r="T27">
        <v>50382</v>
      </c>
      <c r="U27" s="1">
        <v>-0.187527</v>
      </c>
      <c r="V27">
        <f t="shared" si="1"/>
        <v>0.187527</v>
      </c>
      <c r="W27">
        <f>(4309591*(1/48000000))*1000</f>
        <v>89.783145833333336</v>
      </c>
      <c r="X27" s="1">
        <v>80506</v>
      </c>
      <c r="Y27" s="1">
        <v>-0.36444799999999999</v>
      </c>
      <c r="Z27" s="1">
        <f t="shared" si="2"/>
        <v>0.36444799999999999</v>
      </c>
      <c r="AA27">
        <f>(6885551*(1/48000000))*1000</f>
        <v>143.44897916666667</v>
      </c>
      <c r="AB27" s="1">
        <v>99668</v>
      </c>
      <c r="AC27" s="1">
        <v>-0.234851</v>
      </c>
      <c r="AD27" s="1">
        <f t="shared" si="3"/>
        <v>0.234851</v>
      </c>
      <c r="AE27">
        <f>(8529185*(1/48000000))*1000</f>
        <v>177.69135416666668</v>
      </c>
    </row>
    <row r="28" spans="1:31" x14ac:dyDescent="0.2">
      <c r="A28">
        <v>989.3</v>
      </c>
      <c r="B28" s="1">
        <v>18.401558999999999</v>
      </c>
      <c r="C28">
        <f>97840000*(1/48000000)</f>
        <v>2.0383333333333336</v>
      </c>
      <c r="D28">
        <v>1964.5</v>
      </c>
      <c r="E28" s="1">
        <v>6.9688889999999999</v>
      </c>
      <c r="F28" s="2">
        <f>180966000*(1/48000000)</f>
        <v>3.7701250000000002</v>
      </c>
      <c r="G28" s="1">
        <v>5059</v>
      </c>
      <c r="H28" s="1">
        <v>3.6983100000000002</v>
      </c>
      <c r="I28">
        <f>448658000*(1/48000000)</f>
        <v>9.3470416666666676</v>
      </c>
      <c r="J28" s="1">
        <v>8081</v>
      </c>
      <c r="K28" s="1">
        <v>1.5744210000000001</v>
      </c>
      <c r="L28">
        <f>704049000*(1/48000000)</f>
        <v>14.667687500000001</v>
      </c>
      <c r="M28" s="1">
        <v>9878</v>
      </c>
      <c r="N28" s="1">
        <v>0.94691800000000004</v>
      </c>
      <c r="O28">
        <f>851292000*(1/48000000)</f>
        <v>17.735250000000001</v>
      </c>
      <c r="P28" s="1">
        <v>19786</v>
      </c>
      <c r="Q28" s="1">
        <v>6.0055999999999998E-2</v>
      </c>
      <c r="R28" s="1">
        <f t="shared" si="0"/>
        <v>6.0055999999999998E-2</v>
      </c>
      <c r="S28">
        <f>1699066000*(1/48000000)</f>
        <v>35.397208333333339</v>
      </c>
      <c r="T28">
        <v>50382</v>
      </c>
      <c r="U28" s="1">
        <v>-0.119461</v>
      </c>
      <c r="V28">
        <f t="shared" si="1"/>
        <v>0.119461</v>
      </c>
      <c r="W28">
        <f>(4311025*(1/48000000))*1000</f>
        <v>89.81302083333334</v>
      </c>
      <c r="X28" s="1">
        <v>80506</v>
      </c>
      <c r="Y28" s="1">
        <v>-0.41337099999999999</v>
      </c>
      <c r="Z28" s="1">
        <f t="shared" si="2"/>
        <v>0.41337099999999999</v>
      </c>
      <c r="AA28">
        <f>(6886679*(1/48000000))*1000</f>
        <v>143.47247916666666</v>
      </c>
      <c r="AB28" s="1">
        <v>99668</v>
      </c>
      <c r="AC28" s="1">
        <v>-0.32752500000000001</v>
      </c>
      <c r="AD28" s="1">
        <f t="shared" si="3"/>
        <v>0.32752500000000001</v>
      </c>
      <c r="AE28">
        <f>(8538167*(1/48000000))*1000</f>
        <v>177.87847916666669</v>
      </c>
    </row>
    <row r="29" spans="1:31" x14ac:dyDescent="0.2">
      <c r="A29">
        <v>989.3</v>
      </c>
      <c r="B29" s="1">
        <v>18.116002000000002</v>
      </c>
      <c r="C29">
        <f>98682000*(1/48000000)</f>
        <v>2.0558750000000003</v>
      </c>
      <c r="D29">
        <v>1964.5</v>
      </c>
      <c r="E29" s="1">
        <v>6.817615</v>
      </c>
      <c r="F29" s="2">
        <f>180535000*(1/48000000)</f>
        <v>3.7611458333333334</v>
      </c>
      <c r="G29" s="1">
        <v>5059</v>
      </c>
      <c r="H29" s="1">
        <v>3.683465</v>
      </c>
      <c r="I29">
        <f>449353000*(1/48000000)</f>
        <v>9.3615208333333335</v>
      </c>
      <c r="J29" s="1">
        <v>8081</v>
      </c>
      <c r="K29" s="1">
        <v>1.289801</v>
      </c>
      <c r="L29">
        <f>704377000*(1/48000000)</f>
        <v>14.674520833333334</v>
      </c>
      <c r="M29" s="1">
        <v>9878</v>
      </c>
      <c r="N29" s="1">
        <v>0.51331300000000002</v>
      </c>
      <c r="O29">
        <f>857216000*(1/48000000)</f>
        <v>17.858666666666668</v>
      </c>
      <c r="P29" s="1">
        <v>19786</v>
      </c>
      <c r="Q29" s="1">
        <v>0.59049300000000005</v>
      </c>
      <c r="R29" s="1">
        <f t="shared" si="0"/>
        <v>0.59049300000000005</v>
      </c>
      <c r="S29">
        <f>1698610000*(1/48000000)</f>
        <v>35.387708333333336</v>
      </c>
      <c r="T29">
        <v>50382</v>
      </c>
      <c r="U29" s="1">
        <v>-3.1924000000000001E-2</v>
      </c>
      <c r="V29">
        <f t="shared" si="1"/>
        <v>3.1924000000000001E-2</v>
      </c>
      <c r="W29">
        <f>(4308280*(1/48000000))*1000</f>
        <v>89.755833333333342</v>
      </c>
      <c r="X29" s="1">
        <v>80506</v>
      </c>
      <c r="Y29" s="1">
        <v>-0.13614699999999999</v>
      </c>
      <c r="Z29" s="1">
        <f t="shared" si="2"/>
        <v>0.13614699999999999</v>
      </c>
      <c r="AA29">
        <f>(6871392*(1/48000000))*1000</f>
        <v>143.154</v>
      </c>
      <c r="AB29" s="1">
        <v>99668</v>
      </c>
      <c r="AC29" s="1">
        <v>0.144426</v>
      </c>
      <c r="AD29" s="1">
        <f t="shared" si="3"/>
        <v>0.144426</v>
      </c>
      <c r="AE29">
        <f>(8538850*(1/48000000))*1000</f>
        <v>177.89270833333333</v>
      </c>
    </row>
    <row r="30" spans="1:31" x14ac:dyDescent="0.2">
      <c r="A30">
        <v>989.3</v>
      </c>
      <c r="B30" s="1">
        <v>18.017603999999999</v>
      </c>
      <c r="C30">
        <f>99206000*(1/48000000)</f>
        <v>2.0667916666666666</v>
      </c>
      <c r="D30">
        <v>1964.5</v>
      </c>
      <c r="E30" s="1">
        <v>7.624765</v>
      </c>
      <c r="F30" s="2">
        <f>179973000*(1/48000000)</f>
        <v>3.7494375000000004</v>
      </c>
      <c r="G30" s="1">
        <v>5059</v>
      </c>
      <c r="H30" s="1">
        <v>2.8109030000000002</v>
      </c>
      <c r="I30">
        <f>448372000*(1/48000000)</f>
        <v>9.3410833333333336</v>
      </c>
      <c r="J30" s="1">
        <v>8081</v>
      </c>
      <c r="K30" s="1">
        <v>1.0403690000000001</v>
      </c>
      <c r="L30">
        <f>705104000*(1/48000000)</f>
        <v>14.689666666666668</v>
      </c>
      <c r="M30" s="1">
        <v>9878</v>
      </c>
      <c r="N30" s="1">
        <v>0.70961399999999997</v>
      </c>
      <c r="O30">
        <f>852353000*(1/48000000)</f>
        <v>17.757354166666669</v>
      </c>
      <c r="P30" s="1">
        <v>19786</v>
      </c>
      <c r="Q30" s="1">
        <v>0.35702699999999998</v>
      </c>
      <c r="R30" s="1">
        <f t="shared" si="0"/>
        <v>0.35702699999999998</v>
      </c>
      <c r="S30">
        <f>1694415000*(1/48000000)</f>
        <v>35.300312500000004</v>
      </c>
      <c r="T30">
        <v>50382</v>
      </c>
      <c r="U30" s="1">
        <v>-0.65219800000000006</v>
      </c>
      <c r="V30">
        <f t="shared" si="1"/>
        <v>0.65219800000000006</v>
      </c>
      <c r="W30">
        <f>(4309708*(1/48000000))*1000</f>
        <v>89.785583333333335</v>
      </c>
      <c r="X30" s="1">
        <v>80506</v>
      </c>
      <c r="Y30" s="1">
        <v>-9.9968000000000001E-2</v>
      </c>
      <c r="Z30" s="1">
        <f t="shared" si="2"/>
        <v>9.9968000000000001E-2</v>
      </c>
      <c r="AA30">
        <f>(6882166*(1/48000000))*1000</f>
        <v>143.37845833333336</v>
      </c>
      <c r="AB30" s="1">
        <v>99668</v>
      </c>
      <c r="AC30" s="1">
        <v>-0.40951599999999999</v>
      </c>
      <c r="AD30" s="1">
        <f t="shared" si="3"/>
        <v>0.40951599999999999</v>
      </c>
      <c r="AE30">
        <f>(8532182*(1/48000000))*1000</f>
        <v>177.7537916666667</v>
      </c>
    </row>
    <row r="31" spans="1:31" x14ac:dyDescent="0.2">
      <c r="A31">
        <v>989.3</v>
      </c>
      <c r="B31" s="1">
        <v>17.277598999999999</v>
      </c>
      <c r="C31">
        <f>98528000*(1/48000000)</f>
        <v>2.0526666666666666</v>
      </c>
      <c r="D31">
        <v>1964.5</v>
      </c>
      <c r="E31" s="1">
        <v>7.2023400000000004</v>
      </c>
      <c r="F31" s="2">
        <f>180646000*(1/48000000)</f>
        <v>3.7634583333333333</v>
      </c>
      <c r="G31" s="1">
        <v>5059</v>
      </c>
      <c r="H31" s="1">
        <v>3.5735670000000002</v>
      </c>
      <c r="I31">
        <f>450385000*(1/48000000)</f>
        <v>9.3830208333333331</v>
      </c>
      <c r="J31" s="1">
        <v>8081</v>
      </c>
      <c r="K31" s="1">
        <v>1.114862</v>
      </c>
      <c r="L31">
        <f>697438000*(1/48000000)</f>
        <v>14.529958333333335</v>
      </c>
      <c r="M31" s="1">
        <v>9878</v>
      </c>
      <c r="N31" s="1">
        <v>0.82176400000000005</v>
      </c>
      <c r="O31">
        <f>852142000*(1/48000000)</f>
        <v>17.752958333333336</v>
      </c>
      <c r="P31" s="1">
        <v>19786</v>
      </c>
      <c r="Q31" s="1">
        <v>0.13039999999999999</v>
      </c>
      <c r="R31" s="1">
        <f t="shared" si="0"/>
        <v>0.13039999999999999</v>
      </c>
      <c r="S31">
        <f>1700773000*(1/48000000)</f>
        <v>35.432770833333336</v>
      </c>
      <c r="T31">
        <v>50382</v>
      </c>
      <c r="U31" s="1">
        <v>-0.37101699999999999</v>
      </c>
      <c r="V31">
        <f t="shared" si="1"/>
        <v>0.37101699999999999</v>
      </c>
      <c r="W31">
        <f>(4308651*(1/48000000))*1000</f>
        <v>89.763562500000006</v>
      </c>
      <c r="X31" s="1">
        <v>80506</v>
      </c>
      <c r="Y31" s="1">
        <v>-0.90808599999999995</v>
      </c>
      <c r="Z31" s="1">
        <f t="shared" si="2"/>
        <v>0.90808599999999995</v>
      </c>
      <c r="AA31">
        <f>(6885853*(1/48000000))*1000</f>
        <v>143.45527083333334</v>
      </c>
      <c r="AB31" s="1">
        <v>99668</v>
      </c>
      <c r="AC31" s="1">
        <v>-0.385934</v>
      </c>
      <c r="AD31" s="1">
        <f t="shared" si="3"/>
        <v>0.385934</v>
      </c>
      <c r="AE31">
        <f>(8537445*(1/48000000))*1000</f>
        <v>177.8634375</v>
      </c>
    </row>
    <row r="32" spans="1:31" x14ac:dyDescent="0.2">
      <c r="A32">
        <v>989.3</v>
      </c>
      <c r="B32" s="1">
        <v>18.170936000000001</v>
      </c>
      <c r="C32">
        <f>98333000*(1/48000000)</f>
        <v>2.0486041666666668</v>
      </c>
      <c r="D32">
        <v>1964.5</v>
      </c>
      <c r="E32" s="1">
        <v>7.039917</v>
      </c>
      <c r="F32" s="2">
        <f>180148000*(1/48000000)</f>
        <v>3.7530833333333335</v>
      </c>
      <c r="G32" s="1">
        <v>5059</v>
      </c>
      <c r="H32" s="1">
        <v>3.9722010000000001</v>
      </c>
      <c r="I32">
        <f>449623000*(1/48000000)</f>
        <v>9.3671458333333337</v>
      </c>
      <c r="J32" s="1">
        <v>8081</v>
      </c>
      <c r="K32" s="1">
        <v>1.250632</v>
      </c>
      <c r="L32">
        <f>702189000*(1/48000000)</f>
        <v>14.628937500000001</v>
      </c>
      <c r="M32" s="1">
        <v>9878</v>
      </c>
      <c r="N32" s="1">
        <v>0.80552599999999996</v>
      </c>
      <c r="O32">
        <f>854085000*(1/48000000)</f>
        <v>17.7934375</v>
      </c>
      <c r="P32" s="1">
        <v>19786</v>
      </c>
      <c r="Q32" s="1">
        <v>0.40710200000000002</v>
      </c>
      <c r="R32" s="1">
        <f t="shared" si="0"/>
        <v>0.40710200000000002</v>
      </c>
      <c r="S32">
        <f>1703936000*(1/48000000)</f>
        <v>35.498666666666672</v>
      </c>
      <c r="T32">
        <v>50382</v>
      </c>
      <c r="U32" s="1">
        <v>-0.522366</v>
      </c>
      <c r="V32">
        <f t="shared" si="1"/>
        <v>0.522366</v>
      </c>
      <c r="W32">
        <f>(4293232*(1/48000000))*1000</f>
        <v>89.442333333333337</v>
      </c>
      <c r="X32" s="1">
        <v>80506</v>
      </c>
      <c r="Y32" s="1">
        <v>-4.6676000000000002E-2</v>
      </c>
      <c r="Z32" s="1">
        <f t="shared" si="2"/>
        <v>4.6676000000000002E-2</v>
      </c>
      <c r="AA32">
        <f>(6889178*(1/48000000))*1000</f>
        <v>143.52454166666666</v>
      </c>
      <c r="AB32" s="1">
        <v>99668</v>
      </c>
      <c r="AC32" s="1">
        <v>-0.22303799999999999</v>
      </c>
      <c r="AD32" s="1">
        <f t="shared" si="3"/>
        <v>0.22303799999999999</v>
      </c>
      <c r="AE32">
        <f>(8536205*(1/48000000))*1000</f>
        <v>177.83760416666669</v>
      </c>
    </row>
    <row r="33" spans="1:31" x14ac:dyDescent="0.2">
      <c r="A33">
        <v>989.3</v>
      </c>
      <c r="B33" s="1">
        <v>18.347515000000001</v>
      </c>
      <c r="C33">
        <f>98069000*(1/48000000)</f>
        <v>2.0431041666666667</v>
      </c>
      <c r="D33">
        <v>1964.5</v>
      </c>
      <c r="E33" s="1">
        <v>7.1660300000000001</v>
      </c>
      <c r="F33" s="2">
        <f>181149000*(1/48000000)</f>
        <v>3.7739375000000002</v>
      </c>
      <c r="G33" s="1">
        <v>5059</v>
      </c>
      <c r="H33" s="1">
        <v>3.0887560000000001</v>
      </c>
      <c r="I33">
        <f>449893000*(1/48000000)</f>
        <v>9.3727708333333339</v>
      </c>
      <c r="J33" s="1">
        <v>8081</v>
      </c>
      <c r="K33" s="1">
        <v>1.237045</v>
      </c>
      <c r="L33">
        <f>704322000*(1/48000000)</f>
        <v>14.673375</v>
      </c>
      <c r="M33" s="1">
        <v>9878</v>
      </c>
      <c r="N33" s="1">
        <v>0.63254200000000005</v>
      </c>
      <c r="O33">
        <f>855279000*(1/48000000)</f>
        <v>17.818312500000001</v>
      </c>
      <c r="P33" s="1">
        <v>19786</v>
      </c>
      <c r="Q33" s="1">
        <v>-0.3972</v>
      </c>
      <c r="R33" s="1">
        <f t="shared" si="0"/>
        <v>0.3972</v>
      </c>
      <c r="S33">
        <f>1696555000*(1/48000000)</f>
        <v>35.344895833333332</v>
      </c>
      <c r="T33">
        <v>50382</v>
      </c>
      <c r="U33" s="1">
        <v>-0.60663</v>
      </c>
      <c r="V33">
        <f t="shared" si="1"/>
        <v>0.60663</v>
      </c>
      <c r="W33">
        <f>(4308951*(1/48000000))*1000</f>
        <v>89.7698125</v>
      </c>
      <c r="X33" s="1">
        <v>80506</v>
      </c>
      <c r="Y33" s="1">
        <v>-0.165106</v>
      </c>
      <c r="Z33" s="1">
        <f t="shared" si="2"/>
        <v>0.165106</v>
      </c>
      <c r="AA33">
        <f>(6892106*(1/48000000))*1000</f>
        <v>143.58554166666667</v>
      </c>
      <c r="AB33" s="1">
        <v>99668</v>
      </c>
      <c r="AC33" s="1">
        <v>-0.22517999999999999</v>
      </c>
      <c r="AD33" s="1">
        <f t="shared" si="3"/>
        <v>0.22517999999999999</v>
      </c>
      <c r="AE33">
        <f>(8515455*(1/48000000))*1000</f>
        <v>177.40531250000004</v>
      </c>
    </row>
    <row r="34" spans="1:31" x14ac:dyDescent="0.2">
      <c r="A34">
        <v>989.3</v>
      </c>
      <c r="B34" s="1">
        <v>17.920328000000001</v>
      </c>
      <c r="C34">
        <f>98736000*(1/48000000)</f>
        <v>2.0569999999999999</v>
      </c>
      <c r="D34">
        <v>1964.5</v>
      </c>
      <c r="E34" s="1">
        <v>6.8072330000000001</v>
      </c>
      <c r="F34" s="2">
        <f>179674000*(1/48000000)</f>
        <v>3.7432083333333335</v>
      </c>
      <c r="G34" s="1">
        <v>5059</v>
      </c>
      <c r="H34" s="1">
        <v>4.0198419999999997</v>
      </c>
      <c r="I34">
        <f>448493000*(1/48000000)</f>
        <v>9.3436041666666672</v>
      </c>
      <c r="J34" s="1">
        <v>8081</v>
      </c>
      <c r="K34" s="1">
        <v>1.3895189999999999</v>
      </c>
      <c r="L34">
        <f>705015000*(1/48000000)</f>
        <v>14.687812500000001</v>
      </c>
      <c r="M34" s="1">
        <v>9878</v>
      </c>
      <c r="N34" s="1">
        <v>0.66654000000000002</v>
      </c>
      <c r="O34">
        <f>847894000*(1/48000000)</f>
        <v>17.664458333333336</v>
      </c>
      <c r="P34" s="1">
        <v>19786</v>
      </c>
      <c r="Q34" s="1">
        <v>0.24318699999999999</v>
      </c>
      <c r="R34" s="1">
        <f t="shared" si="0"/>
        <v>0.24318699999999999</v>
      </c>
      <c r="S34">
        <f>1703676000*(1/48000000)</f>
        <v>35.493250000000003</v>
      </c>
      <c r="T34">
        <v>50382</v>
      </c>
      <c r="U34" s="1">
        <v>-0.28192499999999998</v>
      </c>
      <c r="V34">
        <f t="shared" si="1"/>
        <v>0.28192499999999998</v>
      </c>
      <c r="W34">
        <f>(4296755*(1/48000000))*1000</f>
        <v>89.515729166666674</v>
      </c>
      <c r="X34" s="1">
        <v>80506</v>
      </c>
      <c r="Y34" s="1">
        <v>-5.3641000000000001E-2</v>
      </c>
      <c r="Z34" s="1">
        <f t="shared" si="2"/>
        <v>5.3641000000000001E-2</v>
      </c>
      <c r="AA34">
        <f>(6891650*(1/48000000))*1000</f>
        <v>143.57604166666667</v>
      </c>
      <c r="AB34" s="1">
        <v>99668</v>
      </c>
      <c r="AC34" s="1">
        <v>-0.27881</v>
      </c>
      <c r="AD34" s="1">
        <f t="shared" si="3"/>
        <v>0.27881</v>
      </c>
      <c r="AE34">
        <f>(8516140*(1/48000000))*1000</f>
        <v>177.41958333333335</v>
      </c>
    </row>
    <row r="35" spans="1:31" x14ac:dyDescent="0.2">
      <c r="A35">
        <v>989.3</v>
      </c>
      <c r="B35" s="1">
        <v>17.034041999999999</v>
      </c>
      <c r="C35">
        <f>97815000*(1/48000000)</f>
        <v>2.0378125000000002</v>
      </c>
      <c r="D35">
        <v>1964.5</v>
      </c>
      <c r="E35" s="1">
        <v>8.2896339999999995</v>
      </c>
      <c r="F35" s="2">
        <f>180376000*(1/48000000)</f>
        <v>3.7578333333333336</v>
      </c>
      <c r="G35" s="1">
        <v>5059</v>
      </c>
      <c r="H35" s="1">
        <v>3.474313</v>
      </c>
      <c r="I35">
        <f>446950000*(1/48000000)</f>
        <v>9.3114583333333343</v>
      </c>
      <c r="J35" s="1">
        <v>8081</v>
      </c>
      <c r="K35" s="1">
        <v>1.4560439999999999</v>
      </c>
      <c r="L35">
        <f>704608000*(1/48000000)</f>
        <v>14.679333333333334</v>
      </c>
      <c r="M35" s="1">
        <v>9878</v>
      </c>
      <c r="N35" s="1">
        <v>1.210518</v>
      </c>
      <c r="O35">
        <f>854363000*(1/48000000)</f>
        <v>17.799229166666667</v>
      </c>
      <c r="P35" s="1">
        <v>19786</v>
      </c>
      <c r="Q35" s="1">
        <v>0.457013</v>
      </c>
      <c r="R35" s="1">
        <f t="shared" si="0"/>
        <v>0.457013</v>
      </c>
      <c r="S35">
        <f>1702577000*(1/48000000)</f>
        <v>35.470354166666667</v>
      </c>
      <c r="T35">
        <v>50382</v>
      </c>
      <c r="U35" s="1">
        <v>-0.48486499999999999</v>
      </c>
      <c r="V35">
        <f t="shared" si="1"/>
        <v>0.48486499999999999</v>
      </c>
      <c r="W35">
        <f>(4309400*(1/48000000))*1000</f>
        <v>89.779166666666669</v>
      </c>
      <c r="X35" s="1">
        <v>80506</v>
      </c>
      <c r="Y35" s="1">
        <v>-0.30558099999999999</v>
      </c>
      <c r="Z35" s="1">
        <f t="shared" si="2"/>
        <v>0.30558099999999999</v>
      </c>
      <c r="AA35">
        <f>(6891254*(1/48000000))*1000</f>
        <v>143.56779166666666</v>
      </c>
      <c r="AB35" s="1">
        <v>99668</v>
      </c>
      <c r="AC35" s="1">
        <v>-0.28210800000000003</v>
      </c>
      <c r="AD35" s="1">
        <f t="shared" si="3"/>
        <v>0.28210800000000003</v>
      </c>
      <c r="AE35">
        <f>(8536959*(1/48000000))*1000</f>
        <v>177.85331249999999</v>
      </c>
    </row>
    <row r="36" spans="1:31" x14ac:dyDescent="0.2">
      <c r="A36">
        <v>989.3</v>
      </c>
      <c r="B36" s="1">
        <v>19.324971999999999</v>
      </c>
      <c r="C36">
        <f>98572000*(1/48000000)</f>
        <v>2.0535833333333335</v>
      </c>
      <c r="D36">
        <v>1964.5</v>
      </c>
      <c r="E36" s="1">
        <v>7.5281640000000003</v>
      </c>
      <c r="F36" s="2">
        <f>180596000*(1/48000000)</f>
        <v>3.7624166666666667</v>
      </c>
      <c r="G36" s="1">
        <v>5059</v>
      </c>
      <c r="H36" s="1">
        <v>3.6711209999999999</v>
      </c>
      <c r="I36">
        <f>446656000*(1/48000000)</f>
        <v>9.3053333333333335</v>
      </c>
      <c r="J36" s="1">
        <v>8081</v>
      </c>
      <c r="K36" s="1">
        <v>1.2082120000000001</v>
      </c>
      <c r="L36">
        <f>704211000*(1/48000000)</f>
        <v>14.671062500000001</v>
      </c>
      <c r="M36" s="1">
        <v>9878</v>
      </c>
      <c r="N36" s="1">
        <v>1.258373</v>
      </c>
      <c r="O36">
        <f>852523000*(1/48000000)</f>
        <v>17.760895833333333</v>
      </c>
      <c r="P36" s="1">
        <v>19786</v>
      </c>
      <c r="Q36" s="1">
        <v>0.24404200000000001</v>
      </c>
      <c r="R36" s="1">
        <f t="shared" si="0"/>
        <v>0.24404200000000001</v>
      </c>
      <c r="S36">
        <f>1699991000*(1/48000000)</f>
        <v>35.416479166666669</v>
      </c>
      <c r="T36">
        <v>50382</v>
      </c>
      <c r="U36" s="1">
        <v>-0.29899399999999998</v>
      </c>
      <c r="V36">
        <f t="shared" si="1"/>
        <v>0.29899399999999998</v>
      </c>
      <c r="W36">
        <f>(4308616*(1/48000000))*1000</f>
        <v>89.762833333333333</v>
      </c>
      <c r="X36" s="1">
        <v>80506</v>
      </c>
      <c r="Y36" s="1">
        <v>0.120701</v>
      </c>
      <c r="Z36" s="1">
        <f t="shared" si="2"/>
        <v>0.120701</v>
      </c>
      <c r="AA36">
        <f>(6888975*(1/48000000))*1000</f>
        <v>143.52031249999999</v>
      </c>
      <c r="AB36" s="1">
        <v>99668</v>
      </c>
      <c r="AC36" s="1">
        <v>-0.20280000000000001</v>
      </c>
      <c r="AD36" s="1">
        <f t="shared" si="3"/>
        <v>0.20280000000000001</v>
      </c>
      <c r="AE36">
        <f>(8533234*(1/48000000))*1000</f>
        <v>177.77570833333334</v>
      </c>
    </row>
    <row r="37" spans="1:31" x14ac:dyDescent="0.2">
      <c r="A37">
        <v>989.3</v>
      </c>
      <c r="B37" s="1">
        <v>19.939055</v>
      </c>
      <c r="C37">
        <f>98822000*(1/48000000)</f>
        <v>2.0587916666666666</v>
      </c>
      <c r="D37">
        <v>1964.5</v>
      </c>
      <c r="E37" s="1">
        <v>7.6411699999999998</v>
      </c>
      <c r="F37" s="2">
        <f>181122000*(1/48000000)</f>
        <v>3.7733750000000001</v>
      </c>
      <c r="G37" s="1">
        <v>5059</v>
      </c>
      <c r="H37" s="1">
        <v>3.466132</v>
      </c>
      <c r="I37">
        <f>449532000*(1/48000000)</f>
        <v>9.3652500000000014</v>
      </c>
      <c r="J37" s="1">
        <v>8081</v>
      </c>
      <c r="K37" s="1">
        <v>0.99127699999999996</v>
      </c>
      <c r="L37">
        <f>703159000*(1/48000000)</f>
        <v>14.649145833333334</v>
      </c>
      <c r="M37" s="1">
        <v>9878</v>
      </c>
      <c r="N37" s="1">
        <v>0.718387</v>
      </c>
      <c r="O37">
        <f>852616000*(1/48000000)</f>
        <v>17.762833333333333</v>
      </c>
      <c r="P37" s="1">
        <v>19786</v>
      </c>
      <c r="Q37" s="1">
        <v>-8.0304E-2</v>
      </c>
      <c r="R37" s="1">
        <f t="shared" si="0"/>
        <v>8.0304E-2</v>
      </c>
      <c r="S37">
        <f>1703322000*(1/48000000)</f>
        <v>35.485875</v>
      </c>
      <c r="T37">
        <v>50382</v>
      </c>
      <c r="U37" s="1">
        <v>-0.51116899999999998</v>
      </c>
      <c r="V37">
        <f t="shared" si="1"/>
        <v>0.51116899999999998</v>
      </c>
      <c r="W37">
        <f>(4305144*(1/48000000))*1000</f>
        <v>89.6905</v>
      </c>
      <c r="X37" s="1">
        <v>80506</v>
      </c>
      <c r="Y37" s="1">
        <v>0.26621600000000001</v>
      </c>
      <c r="Z37" s="1">
        <f t="shared" si="2"/>
        <v>0.26621600000000001</v>
      </c>
      <c r="AA37">
        <f>(6881510*(1/48000000))*1000</f>
        <v>143.36479166666669</v>
      </c>
      <c r="AB37" s="1">
        <v>99668</v>
      </c>
      <c r="AC37" s="1">
        <v>-0.15096799999999999</v>
      </c>
      <c r="AD37" s="1">
        <f t="shared" si="3"/>
        <v>0.15096799999999999</v>
      </c>
      <c r="AE37">
        <f>(8531429*(1/48000000))*1000</f>
        <v>177.73810416666669</v>
      </c>
    </row>
    <row r="38" spans="1:31" x14ac:dyDescent="0.2">
      <c r="A38">
        <v>989.3</v>
      </c>
      <c r="B38" s="1">
        <v>22.366067000000001</v>
      </c>
      <c r="C38">
        <f>97790000*(1/48000000)</f>
        <v>2.0372916666666669</v>
      </c>
      <c r="D38">
        <v>1964.5</v>
      </c>
      <c r="E38" s="1">
        <v>7.2446099999999998</v>
      </c>
      <c r="F38" s="2">
        <f>180735000*(1/48000000)</f>
        <v>3.7653125000000003</v>
      </c>
      <c r="G38" s="1">
        <v>5059</v>
      </c>
      <c r="H38" s="1">
        <v>3.4458259999999998</v>
      </c>
      <c r="I38">
        <f>449395000*(1/48000000)</f>
        <v>9.3623958333333341</v>
      </c>
      <c r="J38" s="1">
        <v>8081</v>
      </c>
      <c r="K38" s="1">
        <v>1.4409940000000001</v>
      </c>
      <c r="L38">
        <f>701931000*(1/48000000)</f>
        <v>14.6235625</v>
      </c>
      <c r="M38" s="1">
        <v>9878</v>
      </c>
      <c r="N38" s="1">
        <v>0.70032099999999997</v>
      </c>
      <c r="O38">
        <f>853245000*(1/48000000)</f>
        <v>17.775937500000001</v>
      </c>
      <c r="P38" s="1">
        <v>19786</v>
      </c>
      <c r="Q38" s="1">
        <v>0.67350299999999996</v>
      </c>
      <c r="R38" s="1">
        <f t="shared" si="0"/>
        <v>0.67350299999999996</v>
      </c>
      <c r="S38">
        <f>1702931000*(1/48000000)</f>
        <v>35.47772916666667</v>
      </c>
      <c r="T38">
        <v>50382</v>
      </c>
      <c r="U38" s="1">
        <v>0.30201299999999998</v>
      </c>
      <c r="V38">
        <f t="shared" si="1"/>
        <v>0.30201299999999998</v>
      </c>
      <c r="W38">
        <f>(4305547*(1/48000000))*1000</f>
        <v>89.698895833333339</v>
      </c>
      <c r="X38" s="1">
        <v>80506</v>
      </c>
      <c r="Y38" s="1">
        <v>-0.12434000000000001</v>
      </c>
      <c r="Z38" s="1">
        <f t="shared" si="2"/>
        <v>0.12434000000000001</v>
      </c>
      <c r="AA38">
        <f>(6891670*(1/48000000))*1000</f>
        <v>143.57645833333336</v>
      </c>
      <c r="AB38" s="1">
        <v>99668</v>
      </c>
      <c r="AC38" s="1">
        <v>-0.183586</v>
      </c>
      <c r="AD38" s="1">
        <f t="shared" si="3"/>
        <v>0.183586</v>
      </c>
      <c r="AE38">
        <f>(8535355*(1/48000000))*1000</f>
        <v>177.81989583333336</v>
      </c>
    </row>
    <row r="39" spans="1:31" x14ac:dyDescent="0.2">
      <c r="A39">
        <v>989.3</v>
      </c>
      <c r="B39" s="1">
        <v>21.215093</v>
      </c>
      <c r="C39">
        <f>98900000*(1/48000000)</f>
        <v>2.0604166666666668</v>
      </c>
      <c r="D39">
        <v>1964.5</v>
      </c>
      <c r="E39" s="1">
        <v>7.3584969999999998</v>
      </c>
      <c r="F39" s="2">
        <f>180507000*(1/48000000)</f>
        <v>3.7605625000000003</v>
      </c>
      <c r="G39" s="1">
        <v>5059</v>
      </c>
      <c r="H39" s="1">
        <v>3.81833</v>
      </c>
      <c r="I39">
        <f>447019000*(1/48000000)</f>
        <v>9.312895833333334</v>
      </c>
      <c r="J39" s="1">
        <v>8081</v>
      </c>
      <c r="K39" s="1">
        <v>1.065949</v>
      </c>
      <c r="L39">
        <f>703843000*(1/48000000)</f>
        <v>14.663395833333334</v>
      </c>
      <c r="M39" s="1">
        <v>9878</v>
      </c>
      <c r="N39" s="1">
        <v>1.0225169999999999</v>
      </c>
      <c r="O39">
        <f>851945000*(1/48000000)</f>
        <v>17.748854166666668</v>
      </c>
      <c r="P39" s="1">
        <v>19786</v>
      </c>
      <c r="Q39" s="1">
        <v>0.32051299999999999</v>
      </c>
      <c r="R39" s="1">
        <f t="shared" si="0"/>
        <v>0.32051299999999999</v>
      </c>
      <c r="S39">
        <f>1694291000*(1/48000000)</f>
        <v>35.29772916666667</v>
      </c>
      <c r="T39">
        <v>50382</v>
      </c>
      <c r="U39" s="1">
        <v>-8.4888000000000005E-2</v>
      </c>
      <c r="V39">
        <f t="shared" si="1"/>
        <v>8.4888000000000005E-2</v>
      </c>
      <c r="W39">
        <f>(4310905*(1/48000000))*1000</f>
        <v>89.810520833333342</v>
      </c>
      <c r="X39" s="1">
        <v>80506</v>
      </c>
      <c r="Y39" s="1">
        <v>-0.22348699999999999</v>
      </c>
      <c r="Z39" s="1">
        <f t="shared" si="2"/>
        <v>0.22348699999999999</v>
      </c>
      <c r="AA39">
        <f>(6882809*(1/48000000))*1000</f>
        <v>143.39185416666666</v>
      </c>
      <c r="AB39" s="1">
        <v>99668</v>
      </c>
      <c r="AC39" s="1">
        <v>-0.64268499999999995</v>
      </c>
      <c r="AD39" s="1">
        <f t="shared" si="3"/>
        <v>0.64268499999999995</v>
      </c>
      <c r="AE39">
        <f>(8530705*(1/48000000))*1000</f>
        <v>177.72302083333335</v>
      </c>
    </row>
    <row r="40" spans="1:31" x14ac:dyDescent="0.2">
      <c r="A40">
        <v>989.3</v>
      </c>
      <c r="B40" s="1">
        <v>21.834266</v>
      </c>
      <c r="C40">
        <f>98853000*(1/48000000)</f>
        <v>2.0594375</v>
      </c>
      <c r="D40">
        <v>1964.5</v>
      </c>
      <c r="E40" s="1">
        <v>7.2704839999999997</v>
      </c>
      <c r="F40" s="2">
        <f>180401000*(1/48000000)</f>
        <v>3.7583541666666669</v>
      </c>
      <c r="G40" s="1">
        <v>5059</v>
      </c>
      <c r="H40" s="1">
        <v>3.6125020000000001</v>
      </c>
      <c r="I40">
        <f>445968000*(1/48000000)</f>
        <v>9.2910000000000004</v>
      </c>
      <c r="J40" s="1">
        <v>8081</v>
      </c>
      <c r="K40" s="1">
        <v>1.3095479999999999</v>
      </c>
      <c r="L40">
        <f>703517000*(1/48000000)</f>
        <v>14.656604166666668</v>
      </c>
      <c r="M40" s="1">
        <v>9878</v>
      </c>
      <c r="N40" s="1">
        <v>0.30374099999999998</v>
      </c>
      <c r="O40">
        <f>854250000*(1/48000000)</f>
        <v>17.796875</v>
      </c>
      <c r="P40" s="1">
        <v>19786</v>
      </c>
      <c r="Q40" s="1">
        <v>0.41923100000000002</v>
      </c>
      <c r="R40" s="1">
        <f t="shared" si="0"/>
        <v>0.41923100000000002</v>
      </c>
      <c r="S40">
        <f>1692362000*(1/48000000)</f>
        <v>35.257541666666668</v>
      </c>
      <c r="T40">
        <v>50382</v>
      </c>
      <c r="U40" s="1">
        <v>-0.121296</v>
      </c>
      <c r="V40">
        <f t="shared" si="1"/>
        <v>0.121296</v>
      </c>
      <c r="W40">
        <f>(4307286*(1/48000000))*1000</f>
        <v>89.735124999999996</v>
      </c>
      <c r="X40" s="1">
        <v>80506</v>
      </c>
      <c r="Y40" s="1">
        <v>-0.12656800000000001</v>
      </c>
      <c r="Z40" s="1">
        <f t="shared" si="2"/>
        <v>0.12656800000000001</v>
      </c>
      <c r="AA40">
        <f>(6878772*(1/48000000))*1000</f>
        <v>143.30775</v>
      </c>
      <c r="AB40" s="1">
        <v>99668</v>
      </c>
      <c r="AC40" s="1">
        <v>-8.0754999999999993E-2</v>
      </c>
      <c r="AD40" s="1">
        <f t="shared" si="3"/>
        <v>8.0754999999999993E-2</v>
      </c>
      <c r="AE40">
        <f>(8528010*(1/48000000))*1000</f>
        <v>177.666875</v>
      </c>
    </row>
    <row r="41" spans="1:31" x14ac:dyDescent="0.2">
      <c r="A41">
        <v>989.3</v>
      </c>
      <c r="B41" s="1">
        <v>20.426379000000001</v>
      </c>
      <c r="C41">
        <f>98738000*(1/48000000)</f>
        <v>2.0570416666666667</v>
      </c>
      <c r="D41">
        <v>1964.5</v>
      </c>
      <c r="E41" s="1">
        <v>6.9068870000000002</v>
      </c>
      <c r="F41" s="2">
        <f>181143000*(1/48000000)</f>
        <v>3.7738125</v>
      </c>
      <c r="G41" s="1">
        <v>5059</v>
      </c>
      <c r="H41" s="1">
        <v>3.4955250000000002</v>
      </c>
      <c r="I41">
        <f>446580000*(1/48000000)</f>
        <v>9.3037500000000009</v>
      </c>
      <c r="J41" s="1">
        <v>8081</v>
      </c>
      <c r="K41" s="1">
        <v>1.0366519999999999</v>
      </c>
      <c r="L41">
        <f>705916000*(1/48000000)</f>
        <v>14.706583333333334</v>
      </c>
      <c r="M41" s="1">
        <v>9878</v>
      </c>
      <c r="N41" s="1">
        <v>0.59725099999999998</v>
      </c>
      <c r="O41">
        <f>853517000*(1/48000000)</f>
        <v>17.781604166666668</v>
      </c>
      <c r="P41" s="1">
        <v>19786</v>
      </c>
      <c r="Q41" s="1">
        <v>0.58375600000000005</v>
      </c>
      <c r="R41" s="1">
        <f t="shared" si="0"/>
        <v>0.58375600000000005</v>
      </c>
      <c r="S41">
        <f>1701627000*(1/48000000)</f>
        <v>35.450562500000004</v>
      </c>
      <c r="T41">
        <v>50382</v>
      </c>
      <c r="U41" s="1">
        <v>2.1662000000000001E-2</v>
      </c>
      <c r="V41">
        <f t="shared" si="1"/>
        <v>2.1662000000000001E-2</v>
      </c>
      <c r="W41">
        <f>(4312652*(1/48000000))*1000</f>
        <v>89.846916666666658</v>
      </c>
      <c r="X41" s="1">
        <v>80506</v>
      </c>
      <c r="Y41" s="1">
        <v>-0.23312099999999999</v>
      </c>
      <c r="Z41" s="1">
        <f t="shared" si="2"/>
        <v>0.23312099999999999</v>
      </c>
      <c r="AA41">
        <f>(6887892*(1/48000000))*1000</f>
        <v>143.49775</v>
      </c>
      <c r="AB41" s="1">
        <v>99668</v>
      </c>
      <c r="AC41" s="1">
        <v>-5.3397E-2</v>
      </c>
      <c r="AD41" s="1">
        <f t="shared" si="3"/>
        <v>5.3397E-2</v>
      </c>
      <c r="AE41">
        <f>(8536935*(1/48000000))*1000</f>
        <v>177.8528125</v>
      </c>
    </row>
    <row r="42" spans="1:31" x14ac:dyDescent="0.2">
      <c r="A42">
        <v>989.3</v>
      </c>
      <c r="B42" s="1">
        <v>17.520565999999999</v>
      </c>
      <c r="C42">
        <f>99559000*(1/48000000)</f>
        <v>2.0741458333333336</v>
      </c>
      <c r="D42">
        <v>1964.5</v>
      </c>
      <c r="E42" s="1">
        <v>7.6112419999999998</v>
      </c>
      <c r="F42" s="2">
        <f>180794000*(1/48000000)</f>
        <v>3.7665416666666669</v>
      </c>
      <c r="G42" s="1">
        <v>5059</v>
      </c>
      <c r="H42" s="1">
        <v>3.3996270000000002</v>
      </c>
      <c r="I42">
        <f>448666000*(1/48000000)</f>
        <v>9.3472083333333345</v>
      </c>
      <c r="J42" s="1">
        <v>8081</v>
      </c>
      <c r="K42" s="1">
        <v>1.1609210000000001</v>
      </c>
      <c r="L42">
        <f>707231000*(1/48000000)</f>
        <v>14.733979166666668</v>
      </c>
      <c r="M42" s="1">
        <v>9878</v>
      </c>
      <c r="N42" s="1">
        <v>0.514266</v>
      </c>
      <c r="O42">
        <f>849679000*(1/48000000)</f>
        <v>17.701645833333334</v>
      </c>
      <c r="P42" s="1">
        <v>19786</v>
      </c>
      <c r="Q42" s="1">
        <v>0.59944299999999995</v>
      </c>
      <c r="R42" s="1">
        <f t="shared" si="0"/>
        <v>0.59944299999999995</v>
      </c>
      <c r="S42">
        <f>1703706000*(1/48000000)</f>
        <v>35.493875000000003</v>
      </c>
      <c r="T42">
        <v>50382</v>
      </c>
      <c r="U42" s="1">
        <v>-6.6822000000000006E-2</v>
      </c>
      <c r="V42">
        <f t="shared" si="1"/>
        <v>6.6822000000000006E-2</v>
      </c>
      <c r="W42">
        <f>(4307429*(1/48000000))*1000</f>
        <v>89.738104166666659</v>
      </c>
      <c r="X42" s="1">
        <v>80506</v>
      </c>
      <c r="Y42" s="1">
        <v>-0.659775</v>
      </c>
      <c r="Z42" s="1">
        <f t="shared" si="2"/>
        <v>0.659775</v>
      </c>
      <c r="AA42">
        <f>(6883943*(1/48000000))*1000</f>
        <v>143.41547916666667</v>
      </c>
      <c r="AB42" s="1">
        <v>99668</v>
      </c>
      <c r="AC42" s="1">
        <v>-7.6966999999999994E-2</v>
      </c>
      <c r="AD42" s="1">
        <f t="shared" si="3"/>
        <v>7.6966999999999994E-2</v>
      </c>
      <c r="AE42">
        <f>(8541529*(1/48000000))*1000</f>
        <v>177.94852083333333</v>
      </c>
    </row>
    <row r="43" spans="1:31" x14ac:dyDescent="0.2">
      <c r="A43">
        <v>989.3</v>
      </c>
      <c r="B43" s="1">
        <v>46.383237999999999</v>
      </c>
      <c r="C43">
        <f>99047000*(1/48000000)</f>
        <v>2.0634791666666668</v>
      </c>
      <c r="D43">
        <v>1964.5</v>
      </c>
      <c r="E43" s="1">
        <v>7.1578400000000002</v>
      </c>
      <c r="F43" s="2">
        <f>179835000*(1/48000000)</f>
        <v>3.7465625</v>
      </c>
      <c r="G43" s="1">
        <v>5059</v>
      </c>
      <c r="H43" s="1">
        <v>3.803499</v>
      </c>
      <c r="I43">
        <f>448985000*(1/48000000)</f>
        <v>9.3538541666666664</v>
      </c>
      <c r="J43" s="1">
        <v>8081</v>
      </c>
      <c r="K43" s="1">
        <v>1.17248</v>
      </c>
      <c r="L43">
        <f>701255000*(1/48000000)</f>
        <v>14.609479166666668</v>
      </c>
      <c r="M43" s="1">
        <v>9878</v>
      </c>
      <c r="N43" s="1">
        <v>0.40404400000000001</v>
      </c>
      <c r="O43">
        <f>848422000*(1/48000000)</f>
        <v>17.675458333333335</v>
      </c>
      <c r="P43" s="1">
        <v>19786</v>
      </c>
      <c r="Q43" s="1">
        <v>-0.38867299999999999</v>
      </c>
      <c r="R43" s="1">
        <f t="shared" si="0"/>
        <v>0.38867299999999999</v>
      </c>
      <c r="S43">
        <f>1700974000*(1/48000000)</f>
        <v>35.436958333333337</v>
      </c>
      <c r="T43">
        <v>50382</v>
      </c>
      <c r="U43" s="1">
        <v>-0.257386</v>
      </c>
      <c r="V43">
        <f t="shared" si="1"/>
        <v>0.257386</v>
      </c>
      <c r="W43">
        <f>(4311635*(1/48000000))*1000</f>
        <v>89.825729166666676</v>
      </c>
      <c r="X43" s="1">
        <v>80506</v>
      </c>
      <c r="Y43" s="1">
        <v>-0.44201299999999999</v>
      </c>
      <c r="Z43" s="1">
        <f t="shared" si="2"/>
        <v>0.44201299999999999</v>
      </c>
      <c r="AA43">
        <f>(6885448*(1/48000000))*1000</f>
        <v>143.44683333333333</v>
      </c>
      <c r="AB43" s="1">
        <v>99668</v>
      </c>
      <c r="AC43" s="1">
        <v>-0.393513</v>
      </c>
      <c r="AD43" s="1">
        <f t="shared" si="3"/>
        <v>0.393513</v>
      </c>
      <c r="AE43">
        <f>(8534818*(1/48000000))*1000</f>
        <v>177.80870833333336</v>
      </c>
    </row>
    <row r="44" spans="1:31" x14ac:dyDescent="0.2">
      <c r="A44">
        <v>989.3</v>
      </c>
      <c r="B44" s="1">
        <v>22.983906000000001</v>
      </c>
      <c r="C44">
        <f>98503000*(1/48000000)</f>
        <v>2.0521458333333333</v>
      </c>
      <c r="D44">
        <v>1964.5</v>
      </c>
      <c r="E44" s="1">
        <v>7.207846</v>
      </c>
      <c r="F44" s="2">
        <f>180220000*(1/48000000)</f>
        <v>3.7545833333333336</v>
      </c>
      <c r="G44" s="1">
        <v>5059</v>
      </c>
      <c r="H44" s="1">
        <v>3.363944</v>
      </c>
      <c r="I44">
        <f>447474000*(1/48000000)</f>
        <v>9.322375000000001</v>
      </c>
      <c r="J44" s="1">
        <v>8081</v>
      </c>
      <c r="K44" s="1">
        <v>1.009063</v>
      </c>
      <c r="L44">
        <f>702604000*(1/48000000)</f>
        <v>14.637583333333334</v>
      </c>
      <c r="M44" s="1">
        <v>9878</v>
      </c>
      <c r="N44" s="1">
        <v>0.59434200000000004</v>
      </c>
      <c r="O44">
        <f>851888000*(1/48000000)</f>
        <v>17.747666666666667</v>
      </c>
      <c r="P44" s="1">
        <v>19786</v>
      </c>
      <c r="Q44" s="1">
        <v>0.42220999999999997</v>
      </c>
      <c r="R44" s="1">
        <f t="shared" si="0"/>
        <v>0.42220999999999997</v>
      </c>
      <c r="S44">
        <f>1695842000*(1/48000000)</f>
        <v>35.330041666666666</v>
      </c>
      <c r="T44">
        <v>50382</v>
      </c>
      <c r="U44" s="1">
        <v>3.2231000000000003E-2</v>
      </c>
      <c r="V44">
        <f t="shared" si="1"/>
        <v>3.2231000000000003E-2</v>
      </c>
      <c r="W44">
        <f>(4306102*(1/48000000))*1000</f>
        <v>89.710458333333335</v>
      </c>
      <c r="X44" s="1">
        <v>80506</v>
      </c>
      <c r="Y44" s="1">
        <v>0.104597</v>
      </c>
      <c r="Z44" s="1">
        <f t="shared" si="2"/>
        <v>0.104597</v>
      </c>
      <c r="AA44">
        <f>(6894638*(1/48000000))*1000</f>
        <v>143.63829166666667</v>
      </c>
      <c r="AB44" s="1">
        <v>99668</v>
      </c>
      <c r="AC44" s="1">
        <v>-0.25747999999999999</v>
      </c>
      <c r="AD44" s="1">
        <f t="shared" si="3"/>
        <v>0.25747999999999999</v>
      </c>
      <c r="AE44">
        <f>(8531642*(1/48000000))*1000</f>
        <v>177.74254166666668</v>
      </c>
    </row>
    <row r="45" spans="1:31" x14ac:dyDescent="0.2">
      <c r="A45">
        <v>989.3</v>
      </c>
      <c r="B45" s="1">
        <v>15.899466</v>
      </c>
      <c r="C45">
        <f>98262000*(1/48000000)</f>
        <v>2.0471250000000003</v>
      </c>
      <c r="D45">
        <v>1964.5</v>
      </c>
      <c r="E45" s="1">
        <v>7.0323180000000001</v>
      </c>
      <c r="F45" s="2">
        <f>180237000*(1/48000000)</f>
        <v>3.7549375</v>
      </c>
      <c r="G45" s="1">
        <v>5059</v>
      </c>
      <c r="H45" s="1">
        <v>3.4429470000000002</v>
      </c>
      <c r="I45">
        <f>445768000*(1/48000000)</f>
        <v>9.2868333333333339</v>
      </c>
      <c r="J45" s="1">
        <v>8081</v>
      </c>
      <c r="K45" s="1">
        <v>0.85095100000000001</v>
      </c>
      <c r="L45">
        <f>702668000*(1/48000000)</f>
        <v>14.638916666666667</v>
      </c>
      <c r="M45" s="1">
        <v>9878</v>
      </c>
      <c r="N45" s="1">
        <v>0.776725</v>
      </c>
      <c r="O45">
        <f>852155000*(1/48000000)</f>
        <v>17.753229166666667</v>
      </c>
      <c r="P45" s="1">
        <v>19786</v>
      </c>
      <c r="Q45" s="1">
        <v>0.430755</v>
      </c>
      <c r="R45" s="1">
        <f t="shared" si="0"/>
        <v>0.430755</v>
      </c>
      <c r="S45">
        <f>1700223000*(1/48000000)</f>
        <v>35.421312499999999</v>
      </c>
      <c r="T45">
        <v>50382</v>
      </c>
      <c r="U45" s="1">
        <v>-0.124304</v>
      </c>
      <c r="V45">
        <f t="shared" si="1"/>
        <v>0.124304</v>
      </c>
      <c r="W45">
        <f>(4307529*(1/48000000))*1000</f>
        <v>89.740187500000005</v>
      </c>
      <c r="X45" s="1">
        <v>80506</v>
      </c>
      <c r="Y45" s="1">
        <v>-0.40632699999999999</v>
      </c>
      <c r="Z45" s="1">
        <f t="shared" si="2"/>
        <v>0.40632699999999999</v>
      </c>
      <c r="AA45">
        <f>(6890313*(1/48000000))*1000</f>
        <v>143.54818750000001</v>
      </c>
      <c r="AB45" s="1">
        <v>99668</v>
      </c>
      <c r="AC45" s="1">
        <v>0.16526399999999999</v>
      </c>
      <c r="AD45" s="1">
        <f t="shared" si="3"/>
        <v>0.16526399999999999</v>
      </c>
      <c r="AE45">
        <f>(8534997*(1/48000000))*1000</f>
        <v>177.81243750000002</v>
      </c>
    </row>
    <row r="46" spans="1:31" x14ac:dyDescent="0.2">
      <c r="A46">
        <v>989.3</v>
      </c>
      <c r="B46" s="1">
        <v>17.217538999999999</v>
      </c>
      <c r="C46">
        <f>99218000*(1/48000000)</f>
        <v>2.0670416666666669</v>
      </c>
      <c r="D46">
        <v>1964.5</v>
      </c>
      <c r="E46" s="1">
        <v>6.8290389999999999</v>
      </c>
      <c r="F46" s="2">
        <f>180235000*(1/48000000)</f>
        <v>3.7548958333333338</v>
      </c>
      <c r="G46" s="1">
        <v>5059</v>
      </c>
      <c r="H46" s="1">
        <v>3.9341140000000001</v>
      </c>
      <c r="I46">
        <f>445796000*(1/48000000)</f>
        <v>9.2874166666666671</v>
      </c>
      <c r="J46" s="1">
        <v>8081</v>
      </c>
      <c r="K46" s="1">
        <v>1.4438260000000001</v>
      </c>
      <c r="L46">
        <f>705136000*(1/48000000)</f>
        <v>14.690333333333335</v>
      </c>
      <c r="M46" s="1">
        <v>9878</v>
      </c>
      <c r="N46" s="1">
        <v>0.74805600000000005</v>
      </c>
      <c r="O46">
        <f>851406000*(1/48000000)</f>
        <v>17.737625000000001</v>
      </c>
      <c r="P46" s="1">
        <v>19786</v>
      </c>
      <c r="Q46" s="1">
        <v>0.234015</v>
      </c>
      <c r="R46" s="1">
        <f t="shared" si="0"/>
        <v>0.234015</v>
      </c>
      <c r="S46">
        <f>1701572000*(1/48000000)</f>
        <v>35.449416666666671</v>
      </c>
      <c r="T46">
        <v>50382</v>
      </c>
      <c r="U46" s="1">
        <v>-0.38176900000000002</v>
      </c>
      <c r="V46">
        <f t="shared" si="1"/>
        <v>0.38176900000000002</v>
      </c>
      <c r="W46">
        <f>(4306632*(1/48000000))*1000</f>
        <v>89.721500000000006</v>
      </c>
      <c r="X46" s="1">
        <v>80506</v>
      </c>
      <c r="Y46" s="1">
        <v>-0.493788</v>
      </c>
      <c r="Z46" s="1">
        <f t="shared" si="2"/>
        <v>0.493788</v>
      </c>
      <c r="AA46">
        <f>(6891742*(1/48000000))*1000</f>
        <v>143.57795833333333</v>
      </c>
      <c r="AB46" s="1">
        <v>99668</v>
      </c>
      <c r="AC46" s="1">
        <v>-0.19325899999999999</v>
      </c>
      <c r="AD46" s="1">
        <f t="shared" si="3"/>
        <v>0.19325899999999999</v>
      </c>
      <c r="AE46">
        <f>(8526118*(1/48000000))*1000</f>
        <v>177.62745833333335</v>
      </c>
    </row>
    <row r="47" spans="1:31" x14ac:dyDescent="0.2">
      <c r="A47">
        <v>989.3</v>
      </c>
      <c r="B47" s="1">
        <v>16.410087000000001</v>
      </c>
      <c r="C47">
        <f>97310000*(1/48000000)</f>
        <v>2.0272916666666667</v>
      </c>
      <c r="D47">
        <v>1964.5</v>
      </c>
      <c r="E47" s="1">
        <v>7.2548240000000002</v>
      </c>
      <c r="F47" s="2">
        <f>180630000*(1/48000000)</f>
        <v>3.7631250000000001</v>
      </c>
      <c r="G47" s="1">
        <v>5059</v>
      </c>
      <c r="H47" s="1">
        <v>3.4572940000000001</v>
      </c>
      <c r="I47">
        <f>448519000*(1/48000000)</f>
        <v>9.344145833333334</v>
      </c>
      <c r="J47" s="1">
        <v>8081</v>
      </c>
      <c r="K47" s="1">
        <v>1.215983</v>
      </c>
      <c r="L47">
        <f>703504000*(1/48000000)</f>
        <v>14.656333333333334</v>
      </c>
      <c r="M47" s="1">
        <v>9878</v>
      </c>
      <c r="N47" s="1">
        <v>1.4818020000000001</v>
      </c>
      <c r="O47">
        <f>853867000*(1/48000000)</f>
        <v>17.788895833333335</v>
      </c>
      <c r="P47" s="1">
        <v>19786</v>
      </c>
      <c r="Q47" s="1">
        <v>5.6378999999999999E-2</v>
      </c>
      <c r="R47" s="1">
        <f t="shared" si="0"/>
        <v>5.6378999999999999E-2</v>
      </c>
      <c r="S47">
        <f>1698007000*(1/48000000)</f>
        <v>35.375145833333335</v>
      </c>
      <c r="T47">
        <v>50382</v>
      </c>
      <c r="U47" s="1">
        <v>-0.34256900000000001</v>
      </c>
      <c r="V47">
        <f t="shared" si="1"/>
        <v>0.34256900000000001</v>
      </c>
      <c r="W47">
        <f>(4297685*(1/48000000))*1000</f>
        <v>89.53510416666667</v>
      </c>
      <c r="X47" s="1">
        <v>80506</v>
      </c>
      <c r="Y47" s="1">
        <v>-0.13872599999999999</v>
      </c>
      <c r="Z47" s="1">
        <f t="shared" si="2"/>
        <v>0.13872599999999999</v>
      </c>
      <c r="AA47">
        <f>(6889753*(1/48000000))*1000</f>
        <v>143.53652083333336</v>
      </c>
      <c r="AB47" s="1">
        <v>99668</v>
      </c>
      <c r="AC47" s="1">
        <v>-0.82907500000000001</v>
      </c>
      <c r="AD47" s="1">
        <f t="shared" si="3"/>
        <v>0.82907500000000001</v>
      </c>
      <c r="AE47">
        <f>(8532634*(1/48000000))*1000</f>
        <v>177.76320833333335</v>
      </c>
    </row>
    <row r="48" spans="1:31" x14ac:dyDescent="0.2">
      <c r="A48">
        <v>989.3</v>
      </c>
      <c r="B48" s="1">
        <v>16.707328</v>
      </c>
      <c r="C48">
        <f>98855000*(1/48000000)</f>
        <v>2.0594791666666667</v>
      </c>
      <c r="D48">
        <v>1964.5</v>
      </c>
      <c r="E48" s="1">
        <v>6.6828649999999996</v>
      </c>
      <c r="F48" s="2">
        <f>181042000*(1/48000000)</f>
        <v>3.7717083333333337</v>
      </c>
      <c r="G48" s="1">
        <v>5059</v>
      </c>
      <c r="H48" s="1">
        <v>3.740119</v>
      </c>
      <c r="I48">
        <f>447715000*(1/48000000)</f>
        <v>9.327395833333334</v>
      </c>
      <c r="J48" s="1">
        <v>8081</v>
      </c>
      <c r="K48" s="1">
        <v>1.0565500000000001</v>
      </c>
      <c r="L48">
        <f>701890000*(1/48000000)</f>
        <v>14.622708333333334</v>
      </c>
      <c r="M48" s="1">
        <v>9878</v>
      </c>
      <c r="N48" s="1">
        <v>1.334973</v>
      </c>
      <c r="O48">
        <f>853572000*(1/48000000)</f>
        <v>17.78275</v>
      </c>
      <c r="P48" s="1">
        <v>19786</v>
      </c>
      <c r="Q48" s="1">
        <v>-0.104175</v>
      </c>
      <c r="R48" s="1">
        <f t="shared" si="0"/>
        <v>0.104175</v>
      </c>
      <c r="S48">
        <f>1702587000*(1/48000000)</f>
        <v>35.4705625</v>
      </c>
      <c r="T48">
        <v>50382</v>
      </c>
      <c r="U48" s="1">
        <v>-0.73683399999999999</v>
      </c>
      <c r="V48">
        <f t="shared" si="1"/>
        <v>0.73683399999999999</v>
      </c>
      <c r="W48">
        <f>(4306650*(1/48000000))*1000</f>
        <v>89.721875000000011</v>
      </c>
      <c r="X48" s="1">
        <v>80506</v>
      </c>
      <c r="Y48" s="1">
        <v>-0.109361</v>
      </c>
      <c r="Z48" s="1">
        <f t="shared" si="2"/>
        <v>0.109361</v>
      </c>
      <c r="AA48">
        <f>(6893069*(1/48000000))*1000</f>
        <v>143.60560416666667</v>
      </c>
      <c r="AB48" s="1">
        <v>99668</v>
      </c>
      <c r="AC48" s="1">
        <v>-0.15845300000000001</v>
      </c>
      <c r="AD48" s="1">
        <f t="shared" si="3"/>
        <v>0.15845300000000001</v>
      </c>
      <c r="AE48">
        <f>(8545117*(1/48000000))*1000</f>
        <v>178.02327083333336</v>
      </c>
    </row>
    <row r="49" spans="1:31" x14ac:dyDescent="0.2">
      <c r="A49">
        <v>989.3</v>
      </c>
      <c r="B49" s="1">
        <v>16.151537999999999</v>
      </c>
      <c r="C49">
        <f>97692000*(1/48000000)</f>
        <v>2.03525</v>
      </c>
      <c r="D49">
        <v>1964.5</v>
      </c>
      <c r="E49" s="1">
        <v>6.8117840000000003</v>
      </c>
      <c r="F49" s="2">
        <f>180697000*(1/48000000)</f>
        <v>3.7645208333333335</v>
      </c>
      <c r="G49" s="1">
        <v>5059</v>
      </c>
      <c r="H49" s="1">
        <v>4.5318350000000001</v>
      </c>
      <c r="I49">
        <f>449116000*(1/48000000)</f>
        <v>9.356583333333333</v>
      </c>
      <c r="J49" s="1">
        <v>8081</v>
      </c>
      <c r="K49" s="1">
        <v>0.83544399999999996</v>
      </c>
      <c r="L49">
        <f>705126000*(1/48000000)</f>
        <v>14.690125</v>
      </c>
      <c r="M49" s="1">
        <v>9878</v>
      </c>
      <c r="N49" s="1">
        <v>3.6013999999999997E-2</v>
      </c>
      <c r="O49">
        <f>854264000*(1/48000000)</f>
        <v>17.797166666666669</v>
      </c>
      <c r="P49" s="1">
        <v>19786</v>
      </c>
      <c r="Q49" s="1">
        <v>0.18559800000000001</v>
      </c>
      <c r="R49" s="1">
        <f t="shared" si="0"/>
        <v>0.18559800000000001</v>
      </c>
      <c r="S49">
        <f>1695177000*(1/48000000)</f>
        <v>35.316187500000005</v>
      </c>
      <c r="T49">
        <v>50382</v>
      </c>
      <c r="U49" s="1">
        <v>-0.34770000000000001</v>
      </c>
      <c r="V49">
        <f t="shared" si="1"/>
        <v>0.34770000000000001</v>
      </c>
      <c r="W49">
        <f>(4305467*(1/48000000))*1000</f>
        <v>89.697229166666673</v>
      </c>
      <c r="X49" s="1">
        <v>80506</v>
      </c>
      <c r="Y49" s="1">
        <v>-0.32952599999999999</v>
      </c>
      <c r="Z49" s="1">
        <f t="shared" si="2"/>
        <v>0.32952599999999999</v>
      </c>
      <c r="AA49">
        <f>(6888858*(1/48000000))*1000</f>
        <v>143.517875</v>
      </c>
      <c r="AB49" s="1">
        <v>99668</v>
      </c>
      <c r="AC49" s="1">
        <v>-0.23058899999999999</v>
      </c>
      <c r="AD49" s="1">
        <f t="shared" si="3"/>
        <v>0.23058899999999999</v>
      </c>
      <c r="AE49">
        <f>(8535800*(1/48000000))*1000</f>
        <v>177.82916666666668</v>
      </c>
    </row>
    <row r="50" spans="1:31" x14ac:dyDescent="0.2">
      <c r="A50">
        <v>989.3</v>
      </c>
      <c r="B50" s="1">
        <v>16.010622000000001</v>
      </c>
      <c r="C50">
        <f>97733000*(1/48000000)</f>
        <v>2.0361041666666666</v>
      </c>
      <c r="D50">
        <v>1964.5</v>
      </c>
      <c r="E50" s="1">
        <v>7.6519339999999998</v>
      </c>
      <c r="F50" s="2">
        <f>180656000*(1/48000000)</f>
        <v>3.7636666666666669</v>
      </c>
      <c r="G50" s="1">
        <v>5059</v>
      </c>
      <c r="H50" s="1">
        <v>3.5355919999999998</v>
      </c>
      <c r="I50">
        <f>448000000*(1/48000000)</f>
        <v>9.3333333333333339</v>
      </c>
      <c r="J50" s="1">
        <v>8081</v>
      </c>
      <c r="K50" s="1">
        <v>1.0317190000000001</v>
      </c>
      <c r="L50">
        <f>700069000*(1/48000000)</f>
        <v>14.584770833333334</v>
      </c>
      <c r="M50" s="1">
        <v>9878</v>
      </c>
      <c r="N50" s="1">
        <v>0.63873100000000005</v>
      </c>
      <c r="O50">
        <f>847407000*(1/48000000)</f>
        <v>17.6543125</v>
      </c>
      <c r="P50" s="1">
        <v>19786</v>
      </c>
      <c r="Q50" s="1">
        <v>0.22568299999999999</v>
      </c>
      <c r="R50" s="1">
        <f t="shared" si="0"/>
        <v>0.22568299999999999</v>
      </c>
      <c r="S50">
        <f>1702595000*(1/48000000)</f>
        <v>35.470729166666672</v>
      </c>
      <c r="T50">
        <v>50382</v>
      </c>
      <c r="U50" s="1">
        <v>-0.177727</v>
      </c>
      <c r="V50">
        <f t="shared" si="1"/>
        <v>0.177727</v>
      </c>
      <c r="W50">
        <f>(4309352*(1/48000000))*1000</f>
        <v>89.778166666666678</v>
      </c>
      <c r="X50" s="1">
        <v>80506</v>
      </c>
      <c r="Y50" s="1">
        <v>-0.24477299999999999</v>
      </c>
      <c r="Z50" s="1">
        <f t="shared" si="2"/>
        <v>0.24477299999999999</v>
      </c>
      <c r="AA50">
        <f>(6882730*(1/48000000))*1000</f>
        <v>143.39020833333336</v>
      </c>
      <c r="AB50" s="1">
        <v>99668</v>
      </c>
      <c r="AC50" s="1">
        <v>0.52606200000000003</v>
      </c>
      <c r="AD50" s="1">
        <f t="shared" si="3"/>
        <v>0.52606200000000003</v>
      </c>
      <c r="AE50">
        <f>(8537293*(1/48000000))*1000</f>
        <v>177.86027083333335</v>
      </c>
    </row>
    <row r="51" spans="1:31" x14ac:dyDescent="0.2">
      <c r="A51">
        <v>989.3</v>
      </c>
      <c r="B51" s="1">
        <v>16.178702000000001</v>
      </c>
      <c r="C51">
        <f>98895000*(1/48000000)</f>
        <v>2.0603125000000002</v>
      </c>
      <c r="D51">
        <v>1964.5</v>
      </c>
      <c r="E51" s="1">
        <v>6.902965</v>
      </c>
      <c r="F51" s="2">
        <f>180362000*(1/48000000)</f>
        <v>3.757541666666667</v>
      </c>
      <c r="G51" s="1">
        <v>5059</v>
      </c>
      <c r="H51" s="1">
        <v>3.1195379999999999</v>
      </c>
      <c r="I51">
        <f>449549000*(1/48000000)</f>
        <v>9.3656041666666674</v>
      </c>
      <c r="J51" s="1">
        <v>8081</v>
      </c>
      <c r="K51" s="1">
        <v>0.93034099999999997</v>
      </c>
      <c r="L51">
        <f>704060000*(1/48000000)</f>
        <v>14.667916666666667</v>
      </c>
      <c r="M51" s="1">
        <v>9878</v>
      </c>
      <c r="N51" s="1">
        <v>0.88403100000000001</v>
      </c>
      <c r="O51">
        <f>849710000*(1/48000000)</f>
        <v>17.702291666666667</v>
      </c>
      <c r="P51" s="1">
        <v>19786</v>
      </c>
      <c r="Q51" s="1">
        <v>0.25758999999999999</v>
      </c>
      <c r="R51" s="1">
        <f t="shared" si="0"/>
        <v>0.25758999999999999</v>
      </c>
      <c r="S51">
        <f>1696641000*(1/48000000)</f>
        <v>35.346687500000002</v>
      </c>
      <c r="T51">
        <v>50382</v>
      </c>
      <c r="U51" s="1">
        <v>-0.17896200000000001</v>
      </c>
      <c r="V51">
        <f t="shared" si="1"/>
        <v>0.17896200000000001</v>
      </c>
      <c r="W51">
        <f>(4310295*(1/48000000))*1000</f>
        <v>89.797812500000006</v>
      </c>
      <c r="X51" s="1">
        <v>80506</v>
      </c>
      <c r="Y51" s="1">
        <v>-0.22173000000000001</v>
      </c>
      <c r="Z51" s="1">
        <f t="shared" si="2"/>
        <v>0.22173000000000001</v>
      </c>
      <c r="AA51">
        <f>(6889450*(1/48000000))*1000</f>
        <v>143.53020833333335</v>
      </c>
      <c r="AB51" s="1">
        <v>99668</v>
      </c>
      <c r="AC51" s="1">
        <v>-0.40344600000000003</v>
      </c>
      <c r="AD51" s="1">
        <f t="shared" si="3"/>
        <v>0.40344600000000003</v>
      </c>
      <c r="AE51">
        <f>(8531370*(1/48000000))*1000</f>
        <v>177.73687500000003</v>
      </c>
    </row>
    <row r="52" spans="1:31" x14ac:dyDescent="0.2">
      <c r="A52">
        <v>989.3</v>
      </c>
      <c r="B52" s="1">
        <v>16.324860000000001</v>
      </c>
      <c r="C52">
        <f>98345000*(1/48000000)</f>
        <v>2.0488541666666666</v>
      </c>
      <c r="D52">
        <v>1964.5</v>
      </c>
      <c r="E52" s="1">
        <v>7.1135659999999996</v>
      </c>
      <c r="F52" s="2">
        <f>180771000*(1/48000000)</f>
        <v>3.7660625000000003</v>
      </c>
      <c r="G52" s="1">
        <v>5059</v>
      </c>
      <c r="H52" s="1">
        <v>3.5482900000000002</v>
      </c>
      <c r="I52">
        <f>446692000*(1/48000000)</f>
        <v>9.3060833333333335</v>
      </c>
      <c r="J52" s="1">
        <v>8081</v>
      </c>
      <c r="K52" s="1">
        <v>1.429065</v>
      </c>
      <c r="L52">
        <f>703104000*(1/48000000)</f>
        <v>14.648000000000001</v>
      </c>
      <c r="M52" s="1">
        <v>9878</v>
      </c>
      <c r="N52" s="1">
        <v>0.86940799999999996</v>
      </c>
      <c r="O52">
        <f>851093000*(1/48000000)</f>
        <v>17.731104166666668</v>
      </c>
      <c r="P52" s="1">
        <v>19786</v>
      </c>
      <c r="Q52" s="1">
        <v>0.27389999999999998</v>
      </c>
      <c r="R52" s="1">
        <f t="shared" si="0"/>
        <v>0.27389999999999998</v>
      </c>
      <c r="S52">
        <f>1702320000*(1/48000000)</f>
        <v>35.465000000000003</v>
      </c>
      <c r="T52">
        <v>50382</v>
      </c>
      <c r="U52" s="1">
        <v>-0.18759500000000001</v>
      </c>
      <c r="V52">
        <f t="shared" si="1"/>
        <v>0.18759500000000001</v>
      </c>
      <c r="W52">
        <f>(4311313*(1/48000000))*1000</f>
        <v>89.819020833333326</v>
      </c>
      <c r="X52" s="1">
        <v>80506</v>
      </c>
      <c r="Y52" s="1">
        <v>7.0349999999999996E-3</v>
      </c>
      <c r="Z52" s="1">
        <f t="shared" si="2"/>
        <v>7.0349999999999996E-3</v>
      </c>
      <c r="AA52">
        <f>(6894848*(1/48000000))*1000</f>
        <v>143.64266666666666</v>
      </c>
      <c r="AB52" s="1">
        <v>99668</v>
      </c>
      <c r="AC52" s="1">
        <v>-0.35410999999999998</v>
      </c>
      <c r="AD52" s="1">
        <f t="shared" si="3"/>
        <v>0.35410999999999998</v>
      </c>
      <c r="AE52">
        <f>(8514810*(1/48000000))*1000</f>
        <v>177.391875</v>
      </c>
    </row>
    <row r="53" spans="1:31" x14ac:dyDescent="0.2">
      <c r="A53">
        <v>989.3</v>
      </c>
      <c r="B53" s="1">
        <v>16.647057</v>
      </c>
      <c r="C53">
        <f>97854000*(1/48000000)</f>
        <v>2.0386250000000001</v>
      </c>
      <c r="D53">
        <v>1964.5</v>
      </c>
      <c r="E53" s="1">
        <v>7.4359549999999999</v>
      </c>
      <c r="F53" s="2">
        <f>180293000*(1/48000000)</f>
        <v>3.7561041666666668</v>
      </c>
      <c r="G53" s="1">
        <v>5059</v>
      </c>
      <c r="H53" s="1">
        <v>3.916137</v>
      </c>
      <c r="I53">
        <f>448702000*(1/48000000)</f>
        <v>9.3479583333333345</v>
      </c>
      <c r="J53" s="1">
        <v>8081</v>
      </c>
      <c r="K53" s="1">
        <v>1.1360220000000001</v>
      </c>
      <c r="L53">
        <f>703495000*(1/48000000)</f>
        <v>14.656145833333333</v>
      </c>
      <c r="M53" s="1">
        <v>9878</v>
      </c>
      <c r="N53" s="1">
        <v>0.67740400000000001</v>
      </c>
      <c r="O53">
        <f>852101000*(1/48000000)</f>
        <v>17.752104166666669</v>
      </c>
      <c r="P53" s="1">
        <v>19786</v>
      </c>
      <c r="Q53" s="1">
        <v>0.26564599999999999</v>
      </c>
      <c r="R53" s="1">
        <f t="shared" si="0"/>
        <v>0.26564599999999999</v>
      </c>
      <c r="S53">
        <f>1701633000*(1/48000000)</f>
        <v>35.450687500000001</v>
      </c>
      <c r="T53">
        <v>50382</v>
      </c>
      <c r="U53" s="1">
        <v>-0.82572199999999996</v>
      </c>
      <c r="V53">
        <f t="shared" si="1"/>
        <v>0.82572199999999996</v>
      </c>
      <c r="W53">
        <f>(4308897*(1/48000000))*1000</f>
        <v>89.768687499999999</v>
      </c>
      <c r="X53" s="1">
        <v>80506</v>
      </c>
      <c r="Y53" s="1">
        <v>-0.16533600000000001</v>
      </c>
      <c r="Z53" s="1">
        <f t="shared" si="2"/>
        <v>0.16533600000000001</v>
      </c>
      <c r="AA53">
        <f>(6891858*(1/48000000))*1000</f>
        <v>143.580375</v>
      </c>
      <c r="AB53" s="1">
        <v>99668</v>
      </c>
      <c r="AC53" s="1">
        <v>0.109572</v>
      </c>
      <c r="AD53" s="1">
        <f t="shared" si="3"/>
        <v>0.109572</v>
      </c>
      <c r="AE53">
        <f>(8520811*(1/48000000))*1000</f>
        <v>177.51689583333336</v>
      </c>
    </row>
    <row r="54" spans="1:31" x14ac:dyDescent="0.2">
      <c r="A54">
        <v>989.3</v>
      </c>
      <c r="B54" s="1">
        <v>16.854354000000001</v>
      </c>
      <c r="C54">
        <f>98438000*(1/48000000)</f>
        <v>2.050791666666667</v>
      </c>
      <c r="D54">
        <v>1964.5</v>
      </c>
      <c r="E54" s="1">
        <v>7.4387129999999999</v>
      </c>
      <c r="F54" s="2">
        <f>180698000*(1/48000000)</f>
        <v>3.7645416666666667</v>
      </c>
      <c r="G54" s="1">
        <v>5059</v>
      </c>
      <c r="H54" s="1">
        <v>3.620155</v>
      </c>
      <c r="I54">
        <f>449008000*(1/48000000)</f>
        <v>9.3543333333333347</v>
      </c>
      <c r="J54" s="1">
        <v>8081</v>
      </c>
      <c r="K54" s="1">
        <v>0.71933499999999995</v>
      </c>
      <c r="L54">
        <f>701212000*(1/48000000)</f>
        <v>14.608583333333334</v>
      </c>
      <c r="M54" s="1">
        <v>9878</v>
      </c>
      <c r="N54" s="1">
        <v>1.0111939999999999</v>
      </c>
      <c r="O54">
        <f>853828000*(1/48000000)</f>
        <v>17.788083333333333</v>
      </c>
      <c r="P54" s="1">
        <v>19786</v>
      </c>
      <c r="Q54" s="1">
        <v>0.45352700000000001</v>
      </c>
      <c r="R54" s="1">
        <f t="shared" si="0"/>
        <v>0.45352700000000001</v>
      </c>
      <c r="S54">
        <f>1706731000*(1/48000000)</f>
        <v>35.556895833333336</v>
      </c>
      <c r="T54">
        <v>50382</v>
      </c>
      <c r="U54" s="1">
        <v>-4.5168E-2</v>
      </c>
      <c r="V54">
        <f t="shared" si="1"/>
        <v>4.5168E-2</v>
      </c>
      <c r="W54">
        <f>(4310093*(1/48000000))*1000</f>
        <v>89.793604166666668</v>
      </c>
      <c r="X54" s="1">
        <v>80506</v>
      </c>
      <c r="Y54" s="1">
        <v>-0.12556600000000001</v>
      </c>
      <c r="Z54" s="1">
        <f t="shared" si="2"/>
        <v>0.12556600000000001</v>
      </c>
      <c r="AA54">
        <f>(6889830*(1/48000000))*1000</f>
        <v>143.53812500000001</v>
      </c>
      <c r="AB54" s="1">
        <v>99668</v>
      </c>
      <c r="AC54" s="1">
        <v>-0.25186799999999998</v>
      </c>
      <c r="AD54" s="1">
        <f t="shared" si="3"/>
        <v>0.25186799999999998</v>
      </c>
      <c r="AE54">
        <f>(8492452*(1/48000000))*1000</f>
        <v>176.92608333333334</v>
      </c>
    </row>
    <row r="55" spans="1:31" x14ac:dyDescent="0.2">
      <c r="A55">
        <v>989.3</v>
      </c>
      <c r="B55" s="1">
        <v>16.307016999999998</v>
      </c>
      <c r="C55">
        <f>99125000*(1/48000000)</f>
        <v>2.065104166666667</v>
      </c>
      <c r="D55">
        <v>1964.5</v>
      </c>
      <c r="E55" s="1">
        <v>8.5828579999999999</v>
      </c>
      <c r="F55" s="2">
        <f>180751000*(1/48000000)</f>
        <v>3.7656458333333336</v>
      </c>
      <c r="G55" s="1">
        <v>5059</v>
      </c>
      <c r="H55" s="1">
        <v>2.8949150000000001</v>
      </c>
      <c r="I55">
        <f>447438000*(1/48000000)</f>
        <v>9.3216250000000009</v>
      </c>
      <c r="J55" s="1">
        <v>8081</v>
      </c>
      <c r="K55" s="1">
        <v>1.6577770000000001</v>
      </c>
      <c r="L55">
        <f>703403000*(1/48000000)</f>
        <v>14.654229166666667</v>
      </c>
      <c r="M55" s="1">
        <v>9878</v>
      </c>
      <c r="N55" s="1">
        <v>0.75896799999999998</v>
      </c>
      <c r="O55">
        <f>851522000*(1/48000000)</f>
        <v>17.740041666666666</v>
      </c>
      <c r="P55" s="1">
        <v>19786</v>
      </c>
      <c r="Q55" s="1">
        <v>-0.41788399999999998</v>
      </c>
      <c r="R55" s="1">
        <f t="shared" si="0"/>
        <v>0.41788399999999998</v>
      </c>
      <c r="S55">
        <f>1699823000*(1/48000000)</f>
        <v>35.412979166666666</v>
      </c>
      <c r="T55">
        <v>50382</v>
      </c>
      <c r="U55" s="1">
        <v>-0.206785</v>
      </c>
      <c r="V55">
        <f t="shared" si="1"/>
        <v>0.206785</v>
      </c>
      <c r="W55">
        <f>(4309839*(1/48000000))*1000</f>
        <v>89.788312500000004</v>
      </c>
      <c r="X55" s="1">
        <v>80506</v>
      </c>
      <c r="Y55" s="1">
        <v>-0.64654500000000004</v>
      </c>
      <c r="Z55" s="1">
        <f t="shared" si="2"/>
        <v>0.64654500000000004</v>
      </c>
      <c r="AA55">
        <f>(6893178*(1/48000000))*1000</f>
        <v>143.60787500000001</v>
      </c>
      <c r="AB55" s="1">
        <v>99668</v>
      </c>
      <c r="AC55" s="1">
        <v>-0.547095</v>
      </c>
      <c r="AD55" s="1">
        <f t="shared" si="3"/>
        <v>0.547095</v>
      </c>
      <c r="AE55">
        <f>(8535340*(1/48000000))*1000</f>
        <v>177.81958333333333</v>
      </c>
    </row>
    <row r="56" spans="1:31" x14ac:dyDescent="0.2">
      <c r="A56">
        <v>989.3</v>
      </c>
      <c r="B56" s="1">
        <v>16.567753</v>
      </c>
      <c r="C56">
        <f>98350000*(1/48000000)</f>
        <v>2.0489583333333337</v>
      </c>
      <c r="D56">
        <v>1964.5</v>
      </c>
      <c r="E56" s="1">
        <v>7.0278400000000003</v>
      </c>
      <c r="F56" s="2">
        <f>180980000*(1/48000000)</f>
        <v>3.7704166666666667</v>
      </c>
      <c r="G56" s="1">
        <v>5059</v>
      </c>
      <c r="H56" s="1">
        <v>3.624736</v>
      </c>
      <c r="I56">
        <f>447833000*(1/48000000)</f>
        <v>9.3298541666666672</v>
      </c>
      <c r="J56" s="1">
        <v>8081</v>
      </c>
      <c r="K56" s="1">
        <v>0.91334300000000002</v>
      </c>
      <c r="L56">
        <f>704102000*(1/48000000)</f>
        <v>14.668791666666667</v>
      </c>
      <c r="M56" s="1">
        <v>9878</v>
      </c>
      <c r="N56" s="1">
        <v>0.56171400000000005</v>
      </c>
      <c r="O56">
        <f>852680000*(1/48000000)</f>
        <v>17.764166666666668</v>
      </c>
      <c r="P56" s="1">
        <v>19786</v>
      </c>
      <c r="Q56" s="1">
        <v>6.9196999999999995E-2</v>
      </c>
      <c r="R56" s="1">
        <f t="shared" si="0"/>
        <v>6.9196999999999995E-2</v>
      </c>
      <c r="S56">
        <f>1699163000*(1/48000000)</f>
        <v>35.399229166666672</v>
      </c>
      <c r="T56">
        <v>50382</v>
      </c>
      <c r="U56" s="1">
        <v>-0.52456400000000003</v>
      </c>
      <c r="V56">
        <f t="shared" si="1"/>
        <v>0.52456400000000003</v>
      </c>
      <c r="W56">
        <f>(4300396*(1/48000000))*1000</f>
        <v>89.591583333333332</v>
      </c>
      <c r="X56" s="1">
        <v>80506</v>
      </c>
      <c r="Y56" s="1">
        <v>3.0707999999999999E-2</v>
      </c>
      <c r="Z56" s="1">
        <f t="shared" si="2"/>
        <v>3.0707999999999999E-2</v>
      </c>
      <c r="AA56">
        <f>(6858520*(1/48000000))*1000</f>
        <v>142.88583333333335</v>
      </c>
      <c r="AB56" s="1">
        <v>99668</v>
      </c>
      <c r="AC56" s="1">
        <v>-0.59404800000000002</v>
      </c>
      <c r="AD56" s="1">
        <f t="shared" si="3"/>
        <v>0.59404800000000002</v>
      </c>
      <c r="AE56">
        <f>(8539885*(1/48000000))*1000</f>
        <v>177.91427083333332</v>
      </c>
    </row>
    <row r="57" spans="1:31" x14ac:dyDescent="0.2">
      <c r="A57">
        <v>989.3</v>
      </c>
      <c r="B57" s="1">
        <v>18.280829000000001</v>
      </c>
      <c r="C57">
        <f>97709000*(1/48000000)</f>
        <v>2.0356041666666669</v>
      </c>
      <c r="D57">
        <v>1964.5</v>
      </c>
      <c r="E57" s="1">
        <v>7.4716950000000004</v>
      </c>
      <c r="F57" s="2">
        <f>180305000*(1/48000000)</f>
        <v>3.7563541666666671</v>
      </c>
      <c r="G57" s="1">
        <v>5059</v>
      </c>
      <c r="H57" s="1">
        <v>3.334959</v>
      </c>
      <c r="I57">
        <f>446522000*(1/48000000)</f>
        <v>9.3025416666666665</v>
      </c>
      <c r="J57" s="1">
        <v>8081</v>
      </c>
      <c r="K57" s="1">
        <v>0.86656500000000003</v>
      </c>
      <c r="L57">
        <f>703205000*(1/48000000)</f>
        <v>14.650104166666667</v>
      </c>
      <c r="M57" s="1">
        <v>9878</v>
      </c>
      <c r="N57" s="1">
        <v>0.184054</v>
      </c>
      <c r="O57">
        <f>853981000*(1/48000000)</f>
        <v>17.791270833333336</v>
      </c>
      <c r="P57" s="1">
        <v>19786</v>
      </c>
      <c r="Q57" s="1">
        <v>0.20293600000000001</v>
      </c>
      <c r="R57" s="1">
        <f t="shared" si="0"/>
        <v>0.20293600000000001</v>
      </c>
      <c r="S57">
        <f>1702336000*(1/48000000)</f>
        <v>35.465333333333334</v>
      </c>
      <c r="T57">
        <v>50382</v>
      </c>
      <c r="U57" s="1">
        <v>-0.61127500000000001</v>
      </c>
      <c r="V57">
        <f t="shared" si="1"/>
        <v>0.61127500000000001</v>
      </c>
      <c r="W57">
        <f>(4310558*(1/48000000))*1000</f>
        <v>89.803291666666667</v>
      </c>
      <c r="X57" s="1">
        <v>80506</v>
      </c>
      <c r="Y57" s="1">
        <v>-0.10088900000000001</v>
      </c>
      <c r="Z57" s="1">
        <f t="shared" si="2"/>
        <v>0.10088900000000001</v>
      </c>
      <c r="AA57">
        <f>(6881696*(1/48000000))*1000</f>
        <v>143.36866666666668</v>
      </c>
      <c r="AB57" s="1">
        <v>99668</v>
      </c>
      <c r="AC57" s="1">
        <v>-0.39302900000000002</v>
      </c>
      <c r="AD57" s="1">
        <f t="shared" si="3"/>
        <v>0.39302900000000002</v>
      </c>
      <c r="AE57">
        <f>(8530477*(1/48000000))*1000</f>
        <v>177.71827083333332</v>
      </c>
    </row>
    <row r="58" spans="1:31" x14ac:dyDescent="0.2">
      <c r="A58">
        <v>989.3</v>
      </c>
      <c r="B58" s="1">
        <v>17.647884999999999</v>
      </c>
      <c r="C58">
        <f>97670000*(1/48000000)</f>
        <v>2.034791666666667</v>
      </c>
      <c r="D58">
        <v>1964.5</v>
      </c>
      <c r="E58" s="1">
        <v>6.5137299999999998</v>
      </c>
      <c r="F58" s="2">
        <f>181047000*(1/48000000)</f>
        <v>3.7718125000000002</v>
      </c>
      <c r="G58" s="1">
        <v>5059</v>
      </c>
      <c r="H58" s="1">
        <v>3.7350789999999998</v>
      </c>
      <c r="I58">
        <f>447109000*(1/48000000)</f>
        <v>9.3147708333333341</v>
      </c>
      <c r="J58" s="1">
        <v>8081</v>
      </c>
      <c r="K58" s="1">
        <v>0.82038800000000001</v>
      </c>
      <c r="L58">
        <f>701457000*(1/48000000)</f>
        <v>14.613687500000001</v>
      </c>
      <c r="M58" s="1">
        <v>9878</v>
      </c>
      <c r="N58" s="1">
        <v>0.87118200000000001</v>
      </c>
      <c r="O58">
        <f>852866000*(1/48000000)</f>
        <v>17.768041666666669</v>
      </c>
      <c r="P58" s="1">
        <v>19786</v>
      </c>
      <c r="Q58" s="1">
        <v>0.14331099999999999</v>
      </c>
      <c r="R58" s="1">
        <f t="shared" si="0"/>
        <v>0.14331099999999999</v>
      </c>
      <c r="S58">
        <f>1702064000*(1/48000000)</f>
        <v>35.459666666666671</v>
      </c>
      <c r="T58">
        <v>50382</v>
      </c>
      <c r="U58" s="1">
        <v>-0.19798199999999999</v>
      </c>
      <c r="V58">
        <f t="shared" si="1"/>
        <v>0.19798199999999999</v>
      </c>
      <c r="W58">
        <f>(4313841*(1/48000000))*1000</f>
        <v>89.871687500000007</v>
      </c>
      <c r="X58" s="1">
        <v>80506</v>
      </c>
      <c r="Y58" s="1">
        <v>-0.43180800000000003</v>
      </c>
      <c r="Z58" s="1">
        <f t="shared" si="2"/>
        <v>0.43180800000000003</v>
      </c>
      <c r="AA58">
        <f>(6896163*(1/48000000))*1000</f>
        <v>143.6700625</v>
      </c>
      <c r="AB58" s="1">
        <v>99668</v>
      </c>
      <c r="AC58" s="1">
        <v>-0.14186199999999999</v>
      </c>
      <c r="AD58" s="1">
        <f t="shared" si="3"/>
        <v>0.14186199999999999</v>
      </c>
      <c r="AE58">
        <f>(8535878*(1/48000000))*1000</f>
        <v>177.83079166666667</v>
      </c>
    </row>
    <row r="59" spans="1:31" x14ac:dyDescent="0.2">
      <c r="A59">
        <v>989.3</v>
      </c>
      <c r="B59" s="1">
        <v>16.723697000000001</v>
      </c>
      <c r="C59">
        <f>98621000*(1/48000000)</f>
        <v>2.054604166666667</v>
      </c>
      <c r="D59">
        <v>1964.5</v>
      </c>
      <c r="E59" s="1">
        <v>6.4504169999999998</v>
      </c>
      <c r="F59" s="2">
        <f>180838000*(1/48000000)</f>
        <v>3.7674583333333334</v>
      </c>
      <c r="G59" s="1">
        <v>5059</v>
      </c>
      <c r="H59" s="1">
        <v>3.5579390000000002</v>
      </c>
      <c r="I59">
        <f>448171000*(1/48000000)</f>
        <v>9.3368958333333332</v>
      </c>
      <c r="J59" s="1">
        <v>8081</v>
      </c>
      <c r="K59" s="1">
        <v>1.8327880000000001</v>
      </c>
      <c r="L59">
        <f>701780000*(1/48000000)</f>
        <v>14.620416666666667</v>
      </c>
      <c r="M59" s="1">
        <v>9878</v>
      </c>
      <c r="N59" s="1">
        <v>1.4543060000000001</v>
      </c>
      <c r="O59">
        <f>851094000*(1/48000000)</f>
        <v>17.731125000000002</v>
      </c>
      <c r="P59" s="1">
        <v>19786</v>
      </c>
      <c r="Q59" s="1">
        <v>0.74016499999999996</v>
      </c>
      <c r="R59" s="1">
        <f t="shared" si="0"/>
        <v>0.74016499999999996</v>
      </c>
      <c r="S59">
        <f>1689580000*(1/48000000)</f>
        <v>35.199583333333337</v>
      </c>
      <c r="T59">
        <v>50382</v>
      </c>
      <c r="U59" s="1">
        <v>3.5825000000000003E-2</v>
      </c>
      <c r="V59">
        <f t="shared" si="1"/>
        <v>3.5825000000000003E-2</v>
      </c>
      <c r="W59">
        <f>(4311932*(1/48000000))*1000</f>
        <v>89.831916666666672</v>
      </c>
      <c r="X59" s="1">
        <v>80506</v>
      </c>
      <c r="Y59" s="1">
        <v>-0.17596600000000001</v>
      </c>
      <c r="Z59" s="1">
        <f t="shared" si="2"/>
        <v>0.17596600000000001</v>
      </c>
      <c r="AA59">
        <f>(6899056*(1/48000000))*1000</f>
        <v>143.73033333333336</v>
      </c>
      <c r="AB59" s="1">
        <v>99668</v>
      </c>
      <c r="AC59" s="1">
        <v>4.6065000000000002E-2</v>
      </c>
      <c r="AD59" s="1">
        <f t="shared" si="3"/>
        <v>4.6065000000000002E-2</v>
      </c>
      <c r="AE59">
        <f>(8512758*(1/48000000))*1000</f>
        <v>177.34912500000002</v>
      </c>
    </row>
    <row r="60" spans="1:31" x14ac:dyDescent="0.2">
      <c r="A60">
        <v>989.3</v>
      </c>
      <c r="B60" s="1">
        <v>17.039721</v>
      </c>
      <c r="C60">
        <f>98635000*(1/48000000)</f>
        <v>2.0548958333333336</v>
      </c>
      <c r="D60">
        <v>1964.5</v>
      </c>
      <c r="E60" s="1">
        <v>6.5718040000000002</v>
      </c>
      <c r="F60" s="2">
        <f>180048000*(1/48000000)</f>
        <v>3.7510000000000003</v>
      </c>
      <c r="G60" s="1">
        <v>5059</v>
      </c>
      <c r="H60" s="1">
        <v>3.590595</v>
      </c>
      <c r="I60">
        <f>447810000*(1/48000000)</f>
        <v>9.3293750000000006</v>
      </c>
      <c r="J60" s="1">
        <v>8081</v>
      </c>
      <c r="K60" s="1">
        <v>0.78262500000000002</v>
      </c>
      <c r="L60">
        <f>701835000*(1/48000000)</f>
        <v>14.621562500000001</v>
      </c>
      <c r="M60" s="1">
        <v>9878</v>
      </c>
      <c r="N60" s="1">
        <v>0.73761399999999999</v>
      </c>
      <c r="O60">
        <f>850655000*(1/48000000)</f>
        <v>17.721979166666667</v>
      </c>
      <c r="P60" s="1">
        <v>19786</v>
      </c>
      <c r="Q60" s="1">
        <v>0.34854299999999999</v>
      </c>
      <c r="R60" s="1">
        <f t="shared" si="0"/>
        <v>0.34854299999999999</v>
      </c>
      <c r="S60">
        <f>1703141000*(1/48000000)</f>
        <v>35.482104166666666</v>
      </c>
      <c r="T60">
        <v>50382</v>
      </c>
      <c r="U60" s="1">
        <v>-3.8191999999999997E-2</v>
      </c>
      <c r="V60">
        <f t="shared" si="1"/>
        <v>3.8191999999999997E-2</v>
      </c>
      <c r="W60">
        <f>(4296663*(1/48000000))*1000</f>
        <v>89.513812500000014</v>
      </c>
      <c r="X60" s="1">
        <v>80506</v>
      </c>
      <c r="Y60" s="1">
        <v>0.42242299999999999</v>
      </c>
      <c r="Z60" s="1">
        <f t="shared" si="2"/>
        <v>0.42242299999999999</v>
      </c>
      <c r="AA60">
        <f>(6892927*(1/48000000))*1000</f>
        <v>143.60264583333336</v>
      </c>
      <c r="AB60" s="1">
        <v>99668</v>
      </c>
      <c r="AC60" s="1">
        <v>-0.234765</v>
      </c>
      <c r="AD60" s="1">
        <f t="shared" si="3"/>
        <v>0.234765</v>
      </c>
      <c r="AE60">
        <f>(8537082*(1/48000000))*1000</f>
        <v>177.85587500000003</v>
      </c>
    </row>
    <row r="61" spans="1:31" x14ac:dyDescent="0.2">
      <c r="A61">
        <v>989.3</v>
      </c>
      <c r="B61" s="1">
        <v>16.551314999999999</v>
      </c>
      <c r="C61">
        <f>97822000*(1/48000000)</f>
        <v>2.0379583333333335</v>
      </c>
      <c r="D61">
        <v>1964.5</v>
      </c>
      <c r="E61" s="1">
        <v>7.2168020000000004</v>
      </c>
      <c r="F61" s="2">
        <f>180006000*(1/48000000)</f>
        <v>3.7501250000000002</v>
      </c>
      <c r="G61" s="1">
        <v>5059</v>
      </c>
      <c r="H61" s="1">
        <v>3.7480959999999999</v>
      </c>
      <c r="I61">
        <f>445911000*(1/48000000)</f>
        <v>9.2898125</v>
      </c>
      <c r="J61" s="1">
        <v>8081</v>
      </c>
      <c r="K61" s="1">
        <v>1.092795</v>
      </c>
      <c r="L61">
        <f>703630000*(1/48000000)</f>
        <v>14.658958333333334</v>
      </c>
      <c r="M61" s="1">
        <v>9878</v>
      </c>
      <c r="N61" s="1">
        <v>0.58284000000000002</v>
      </c>
      <c r="O61">
        <f>851840000*(1/48000000)</f>
        <v>17.746666666666666</v>
      </c>
      <c r="P61" s="1">
        <v>19786</v>
      </c>
      <c r="Q61" s="1">
        <v>9.6779000000000004E-2</v>
      </c>
      <c r="R61" s="1">
        <f t="shared" si="0"/>
        <v>9.6779000000000004E-2</v>
      </c>
      <c r="S61">
        <f>1700623000*(1/48000000)</f>
        <v>35.429645833333332</v>
      </c>
      <c r="T61">
        <v>50382</v>
      </c>
      <c r="U61" s="1">
        <v>-0.40958600000000001</v>
      </c>
      <c r="V61">
        <f t="shared" si="1"/>
        <v>0.40958600000000001</v>
      </c>
      <c r="W61">
        <f>(4285042*(1/48000000))*1000</f>
        <v>89.271708333333336</v>
      </c>
      <c r="X61" s="1">
        <v>80506</v>
      </c>
      <c r="Y61" s="1">
        <v>-0.43673400000000001</v>
      </c>
      <c r="Z61" s="1">
        <f t="shared" si="2"/>
        <v>0.43673400000000001</v>
      </c>
      <c r="AA61">
        <f>(6898333*(1/48000000))*1000</f>
        <v>143.71527083333336</v>
      </c>
      <c r="AB61" s="1">
        <v>99668</v>
      </c>
      <c r="AC61" s="1">
        <v>-5.8637000000000002E-2</v>
      </c>
      <c r="AD61" s="1">
        <f t="shared" si="3"/>
        <v>5.8637000000000002E-2</v>
      </c>
      <c r="AE61">
        <f>(8520683*(1/48000000))*1000</f>
        <v>177.51422916666667</v>
      </c>
    </row>
    <row r="62" spans="1:31" x14ac:dyDescent="0.2">
      <c r="A62">
        <v>989.3</v>
      </c>
      <c r="B62" s="1">
        <v>15.754638</v>
      </c>
      <c r="C62">
        <f>98817000*(1/48000000)</f>
        <v>2.0586875</v>
      </c>
      <c r="D62">
        <v>1964.5</v>
      </c>
      <c r="E62" s="1">
        <v>6.896903</v>
      </c>
      <c r="F62" s="2">
        <f>180351000*(1/48000000)</f>
        <v>3.7573125000000003</v>
      </c>
      <c r="G62" s="1">
        <v>5059</v>
      </c>
      <c r="H62" s="1">
        <v>3.4892029999999998</v>
      </c>
      <c r="I62">
        <f>446998000*(1/48000000)</f>
        <v>9.3124583333333337</v>
      </c>
      <c r="J62" s="1">
        <v>8081</v>
      </c>
      <c r="K62" s="1">
        <v>1.5478019999999999</v>
      </c>
      <c r="L62">
        <f>701978000*(1/48000000)</f>
        <v>14.624541666666667</v>
      </c>
      <c r="M62" s="1">
        <v>9878</v>
      </c>
      <c r="N62" s="1">
        <v>1.038843</v>
      </c>
      <c r="O62">
        <f>851188000*(1/48000000)</f>
        <v>17.733083333333333</v>
      </c>
      <c r="P62" s="1">
        <v>19786</v>
      </c>
      <c r="Q62" s="1">
        <v>0.23536000000000001</v>
      </c>
      <c r="R62" s="1">
        <f t="shared" si="0"/>
        <v>0.23536000000000001</v>
      </c>
      <c r="S62">
        <f>1703407000*(1/48000000)</f>
        <v>35.487645833333339</v>
      </c>
      <c r="T62">
        <v>50382</v>
      </c>
      <c r="U62" s="1">
        <v>-1.0341990000000001</v>
      </c>
      <c r="V62">
        <f t="shared" si="1"/>
        <v>1.0341990000000001</v>
      </c>
      <c r="W62">
        <f>(4312101*(1/48000000))*1000</f>
        <v>89.835437499999998</v>
      </c>
      <c r="X62" s="1">
        <v>80506</v>
      </c>
      <c r="Y62" s="1">
        <v>-4.8624000000000001E-2</v>
      </c>
      <c r="Z62" s="1">
        <f t="shared" si="2"/>
        <v>4.8624000000000001E-2</v>
      </c>
      <c r="AA62">
        <f>(6889757*(1/48000000))*1000</f>
        <v>143.53660416666668</v>
      </c>
      <c r="AB62" s="1">
        <v>99668</v>
      </c>
      <c r="AC62" s="1">
        <v>-0.44786799999999999</v>
      </c>
      <c r="AD62" s="1">
        <f t="shared" si="3"/>
        <v>0.44786799999999999</v>
      </c>
      <c r="AE62">
        <f>(8515993*(1/48000000))*1000</f>
        <v>177.41652083333335</v>
      </c>
    </row>
    <row r="63" spans="1:31" x14ac:dyDescent="0.2">
      <c r="A63">
        <v>989.3</v>
      </c>
      <c r="B63" s="1">
        <v>16.284047999999999</v>
      </c>
      <c r="C63">
        <f>98859000*(1/48000000)</f>
        <v>2.0595625000000002</v>
      </c>
      <c r="D63">
        <v>1964.5</v>
      </c>
      <c r="E63" s="1">
        <v>7.2950410000000003</v>
      </c>
      <c r="F63" s="2">
        <f>180197000*(1/48000000)</f>
        <v>3.754104166666667</v>
      </c>
      <c r="G63" s="1">
        <v>5059</v>
      </c>
      <c r="H63" s="1">
        <v>3.891283</v>
      </c>
      <c r="I63">
        <f>446079000*(1/48000000)</f>
        <v>9.2933125000000008</v>
      </c>
      <c r="J63" s="1">
        <v>8081</v>
      </c>
      <c r="K63" s="1">
        <v>0.82344899999999999</v>
      </c>
      <c r="L63">
        <f>704530000*(1/48000000)</f>
        <v>14.677708333333333</v>
      </c>
      <c r="M63" s="1">
        <v>9878</v>
      </c>
      <c r="N63" s="1">
        <v>1.0323469999999999</v>
      </c>
      <c r="O63">
        <f>852256000*(1/48000000)</f>
        <v>17.755333333333333</v>
      </c>
      <c r="P63" s="1">
        <v>19786</v>
      </c>
      <c r="Q63" s="1">
        <v>0.40471000000000001</v>
      </c>
      <c r="R63" s="1">
        <f t="shared" si="0"/>
        <v>0.40471000000000001</v>
      </c>
      <c r="S63">
        <f>1698707000*(1/48000000)</f>
        <v>35.389729166666669</v>
      </c>
      <c r="T63">
        <v>50382</v>
      </c>
      <c r="U63" s="1">
        <v>-0.59438299999999999</v>
      </c>
      <c r="V63">
        <f t="shared" si="1"/>
        <v>0.59438299999999999</v>
      </c>
      <c r="W63">
        <f>(4289601*(1/48000000))*1000</f>
        <v>89.366687499999998</v>
      </c>
      <c r="X63" s="1">
        <v>80506</v>
      </c>
      <c r="Y63" s="1">
        <v>-0.126443</v>
      </c>
      <c r="Z63" s="1">
        <f t="shared" si="2"/>
        <v>0.126443</v>
      </c>
      <c r="AA63">
        <f>(6879214*(1/48000000))*1000</f>
        <v>143.31695833333336</v>
      </c>
      <c r="AB63" s="1">
        <v>99668</v>
      </c>
      <c r="AC63" s="1">
        <v>-0.65653399999999995</v>
      </c>
      <c r="AD63" s="1">
        <f t="shared" si="3"/>
        <v>0.65653399999999995</v>
      </c>
      <c r="AE63">
        <f>(8536113*(1/48000000))*1000</f>
        <v>177.83568750000001</v>
      </c>
    </row>
    <row r="64" spans="1:31" x14ac:dyDescent="0.2">
      <c r="A64">
        <v>989.3</v>
      </c>
      <c r="B64" s="1">
        <v>17.345039</v>
      </c>
      <c r="C64">
        <f>99055000*(1/48000000)</f>
        <v>2.0636458333333336</v>
      </c>
      <c r="D64">
        <v>1964.5</v>
      </c>
      <c r="E64" s="1">
        <v>7.4922219999999999</v>
      </c>
      <c r="F64" s="2">
        <f>180760000*(1/48000000)</f>
        <v>3.7658333333333336</v>
      </c>
      <c r="G64" s="1">
        <v>5059</v>
      </c>
      <c r="H64" s="1">
        <v>3.4961410000000002</v>
      </c>
      <c r="I64">
        <f>446794000*(1/48000000)</f>
        <v>9.3082083333333347</v>
      </c>
      <c r="J64" s="1">
        <v>8081</v>
      </c>
      <c r="K64" s="1">
        <v>1.116163</v>
      </c>
      <c r="L64">
        <f>701015000*(1/48000000)</f>
        <v>14.604479166666668</v>
      </c>
      <c r="M64" s="1">
        <v>9878</v>
      </c>
      <c r="N64" s="1">
        <v>1.2185779999999999</v>
      </c>
      <c r="O64">
        <f>851542000*(1/48000000)</f>
        <v>17.740458333333333</v>
      </c>
      <c r="P64" s="1">
        <v>19786</v>
      </c>
      <c r="Q64" s="1">
        <v>-0.36490699999999998</v>
      </c>
      <c r="R64" s="1">
        <f t="shared" si="0"/>
        <v>0.36490699999999998</v>
      </c>
      <c r="S64">
        <f>1700143000*(1/48000000)</f>
        <v>35.419645833333334</v>
      </c>
      <c r="T64">
        <v>50382</v>
      </c>
      <c r="U64" s="1">
        <v>0.47005400000000003</v>
      </c>
      <c r="V64">
        <f t="shared" si="1"/>
        <v>0.47005400000000003</v>
      </c>
      <c r="W64">
        <f>(4297016*(1/48000000))*1000</f>
        <v>89.521166666666659</v>
      </c>
      <c r="X64" s="1">
        <v>80506</v>
      </c>
      <c r="Y64" s="1">
        <v>9.6995999999999999E-2</v>
      </c>
      <c r="Z64" s="1">
        <f t="shared" si="2"/>
        <v>9.6995999999999999E-2</v>
      </c>
      <c r="AA64">
        <f>(6894551*(1/48000000))*1000</f>
        <v>143.63647916666667</v>
      </c>
      <c r="AB64" s="1">
        <v>99668</v>
      </c>
      <c r="AC64" s="1">
        <v>-0.62453999999999998</v>
      </c>
      <c r="AD64" s="1">
        <f t="shared" si="3"/>
        <v>0.62453999999999998</v>
      </c>
      <c r="AE64">
        <f>(8531381*(1/48000000))*1000</f>
        <v>177.73710416666668</v>
      </c>
    </row>
    <row r="65" spans="1:31" x14ac:dyDescent="0.2">
      <c r="A65">
        <v>989.3</v>
      </c>
      <c r="B65" s="1">
        <v>16.604942000000001</v>
      </c>
      <c r="C65">
        <f>97734000*(1/48000000)</f>
        <v>2.0361250000000002</v>
      </c>
      <c r="D65">
        <v>1964.5</v>
      </c>
      <c r="E65" s="1">
        <v>6.988982</v>
      </c>
      <c r="F65" s="2">
        <f>180614000*(1/48000000)</f>
        <v>3.7627916666666668</v>
      </c>
      <c r="G65" s="1">
        <v>5059</v>
      </c>
      <c r="H65" s="1">
        <v>4.0522099999999996</v>
      </c>
      <c r="I65">
        <f>449102000*(1/48000000)</f>
        <v>9.3562916666666673</v>
      </c>
      <c r="J65" s="1">
        <v>8081</v>
      </c>
      <c r="K65" s="1">
        <v>0.99049299999999996</v>
      </c>
      <c r="L65">
        <f>700211000*(1/48000000)</f>
        <v>14.587729166666668</v>
      </c>
      <c r="M65" s="1">
        <v>9878</v>
      </c>
      <c r="N65" s="1">
        <v>0.73718899999999998</v>
      </c>
      <c r="O65">
        <f>851461000*(1/48000000)</f>
        <v>17.738770833333334</v>
      </c>
      <c r="P65" s="1">
        <v>19786</v>
      </c>
      <c r="Q65" s="1">
        <v>0.188418</v>
      </c>
      <c r="R65" s="1">
        <f t="shared" si="0"/>
        <v>0.188418</v>
      </c>
      <c r="S65">
        <f>1699655000*(1/48000000)</f>
        <v>35.409479166666671</v>
      </c>
      <c r="T65">
        <v>50382</v>
      </c>
      <c r="U65" s="1">
        <v>5.2789999999999998E-3</v>
      </c>
      <c r="V65">
        <f t="shared" si="1"/>
        <v>5.2789999999999998E-3</v>
      </c>
      <c r="W65">
        <f>(4309390*(1/48000000))*1000</f>
        <v>89.778958333333335</v>
      </c>
      <c r="X65" s="1">
        <v>80506</v>
      </c>
      <c r="Y65" s="1">
        <v>-0.11559899999999999</v>
      </c>
      <c r="Z65" s="1">
        <f t="shared" si="2"/>
        <v>0.11559899999999999</v>
      </c>
      <c r="AA65">
        <f>(6876776*(1/48000000))*1000</f>
        <v>143.26616666666666</v>
      </c>
      <c r="AB65" s="1">
        <v>99668</v>
      </c>
      <c r="AC65" s="1">
        <v>-0.74279799999999996</v>
      </c>
      <c r="AD65" s="1">
        <f t="shared" si="3"/>
        <v>0.74279799999999996</v>
      </c>
      <c r="AE65">
        <f>(8534033*(1/48000000))*1000</f>
        <v>177.79235416666666</v>
      </c>
    </row>
    <row r="66" spans="1:31" x14ac:dyDescent="0.2">
      <c r="A66">
        <v>989.3</v>
      </c>
      <c r="B66" s="1">
        <v>17.177752000000002</v>
      </c>
      <c r="C66">
        <f>98044000*(1/48000000)</f>
        <v>2.0425833333333334</v>
      </c>
      <c r="D66">
        <v>1964.5</v>
      </c>
      <c r="E66" s="1">
        <v>7.4610659999999998</v>
      </c>
      <c r="F66" s="2">
        <f>180108000*(1/48000000)</f>
        <v>3.7522500000000001</v>
      </c>
      <c r="G66" s="1">
        <v>5059</v>
      </c>
      <c r="H66" s="1">
        <v>3.7031160000000001</v>
      </c>
      <c r="I66">
        <f>447498000*(1/48000000)</f>
        <v>9.3228749999999998</v>
      </c>
      <c r="J66" s="1">
        <v>8081</v>
      </c>
      <c r="K66" s="1">
        <v>1.551831</v>
      </c>
      <c r="L66">
        <f>700255000*(1/48000000)</f>
        <v>14.588645833333334</v>
      </c>
      <c r="M66" s="1">
        <v>9878</v>
      </c>
      <c r="N66" s="1">
        <v>0.38500899999999999</v>
      </c>
      <c r="O66">
        <f>854096000*(1/48000000)</f>
        <v>17.793666666666667</v>
      </c>
      <c r="P66" s="1">
        <v>19786</v>
      </c>
      <c r="Q66" s="1">
        <v>-0.44472600000000001</v>
      </c>
      <c r="R66" s="1">
        <f t="shared" si="0"/>
        <v>0.44472600000000001</v>
      </c>
      <c r="S66">
        <f>1700361000*(1/48000000)</f>
        <v>35.424187500000002</v>
      </c>
      <c r="T66">
        <v>50382</v>
      </c>
      <c r="U66" s="1">
        <v>-0.31440000000000001</v>
      </c>
      <c r="V66">
        <f t="shared" si="1"/>
        <v>0.31440000000000001</v>
      </c>
      <c r="W66">
        <f>(4311298*(1/48000000))*1000</f>
        <v>89.818708333333348</v>
      </c>
      <c r="X66" s="1">
        <v>80506</v>
      </c>
      <c r="Y66" s="1">
        <v>-0.393293</v>
      </c>
      <c r="Z66" s="1">
        <f t="shared" si="2"/>
        <v>0.393293</v>
      </c>
      <c r="AA66">
        <f>(6891210*(1/48000000))*1000</f>
        <v>143.56687500000001</v>
      </c>
      <c r="AB66" s="1">
        <v>99668</v>
      </c>
      <c r="AC66" s="1">
        <v>-0.71271200000000001</v>
      </c>
      <c r="AD66" s="1">
        <f t="shared" si="3"/>
        <v>0.71271200000000001</v>
      </c>
      <c r="AE66">
        <f>(8513244*(1/48000000))*1000</f>
        <v>177.35925000000003</v>
      </c>
    </row>
    <row r="67" spans="1:31" x14ac:dyDescent="0.2">
      <c r="A67">
        <v>989.3</v>
      </c>
      <c r="B67" s="1">
        <v>16.619263</v>
      </c>
      <c r="C67">
        <f>97744000*(1/48000000)</f>
        <v>2.0363333333333333</v>
      </c>
      <c r="D67">
        <v>1964.5</v>
      </c>
      <c r="E67" s="1">
        <v>7.427594</v>
      </c>
      <c r="F67" s="2">
        <f>180515000*(1/48000000)</f>
        <v>3.7607291666666667</v>
      </c>
      <c r="G67" s="1">
        <v>5059</v>
      </c>
      <c r="H67" s="1">
        <v>3.4058079999999999</v>
      </c>
      <c r="I67">
        <f>447565000*(1/48000000)</f>
        <v>9.3242708333333333</v>
      </c>
      <c r="J67" s="1">
        <v>8081</v>
      </c>
      <c r="K67" s="1">
        <v>1.333833</v>
      </c>
      <c r="L67">
        <f>701605000*(1/48000000)</f>
        <v>14.616770833333334</v>
      </c>
      <c r="M67" s="1">
        <v>9878</v>
      </c>
      <c r="N67" s="1">
        <v>1.0493980000000001</v>
      </c>
      <c r="O67">
        <f>851345000*(1/48000000)</f>
        <v>17.736354166666668</v>
      </c>
      <c r="P67" s="1">
        <v>19786</v>
      </c>
      <c r="Q67" s="1">
        <v>0.26231399999999999</v>
      </c>
      <c r="R67" s="1">
        <f t="shared" ref="R67:R72" si="4">ABS(Q67:Q139)</f>
        <v>0.26231399999999999</v>
      </c>
      <c r="S67">
        <f>1694194000*(1/48000000)</f>
        <v>35.295708333333337</v>
      </c>
      <c r="T67">
        <v>50382</v>
      </c>
      <c r="U67" s="1">
        <v>-0.94980299999999995</v>
      </c>
      <c r="V67">
        <f t="shared" ref="V67:V70" si="5">ABS(U67)</f>
        <v>0.94980299999999995</v>
      </c>
      <c r="W67">
        <f>(4312661*(1/48000000))*1000</f>
        <v>89.847104166666682</v>
      </c>
      <c r="X67" s="1">
        <v>80506</v>
      </c>
      <c r="Y67" s="1">
        <v>-0.69624799999999998</v>
      </c>
      <c r="Z67" s="1">
        <f t="shared" ref="Z67:Z72" si="6">ABS(Y67)</f>
        <v>0.69624799999999998</v>
      </c>
      <c r="AA67">
        <f>(6877259*(1/48000000))*1000</f>
        <v>143.2762291666667</v>
      </c>
      <c r="AB67" s="1">
        <v>99668</v>
      </c>
      <c r="AC67" s="1">
        <v>-0.16123399999999999</v>
      </c>
      <c r="AD67" s="1">
        <f t="shared" ref="AD67:AD72" si="7">ABS(AC67)</f>
        <v>0.16123399999999999</v>
      </c>
      <c r="AE67">
        <f>(8512328*(1/48000000))*1000</f>
        <v>177.34016666666668</v>
      </c>
    </row>
    <row r="68" spans="1:31" x14ac:dyDescent="0.2">
      <c r="A68">
        <v>989.3</v>
      </c>
      <c r="B68" s="1">
        <v>17.671392000000001</v>
      </c>
      <c r="C68">
        <f>98302000*(1/48000000)</f>
        <v>2.0479583333333333</v>
      </c>
      <c r="D68">
        <v>1964.5</v>
      </c>
      <c r="E68" s="1">
        <v>7.5228700000000002</v>
      </c>
      <c r="F68" s="2">
        <f>179996000*(1/48000000)</f>
        <v>3.749916666666667</v>
      </c>
      <c r="G68" s="1">
        <v>5059</v>
      </c>
      <c r="H68" s="1">
        <v>3.0586419999999999</v>
      </c>
      <c r="I68">
        <f>449230000*(1/48000000)</f>
        <v>9.3589583333333337</v>
      </c>
      <c r="J68" s="1">
        <v>8081</v>
      </c>
      <c r="K68" s="1">
        <v>0.87975400000000004</v>
      </c>
      <c r="L68">
        <f>704882000*(1/48000000)</f>
        <v>14.685041666666667</v>
      </c>
      <c r="M68" s="1">
        <v>9878</v>
      </c>
      <c r="N68" s="1">
        <v>0.86419299999999999</v>
      </c>
      <c r="O68">
        <f>854770000*(1/48000000)</f>
        <v>17.807708333333334</v>
      </c>
      <c r="P68" s="1">
        <v>19786</v>
      </c>
      <c r="Q68" s="1">
        <v>0.33686100000000002</v>
      </c>
      <c r="R68" s="1">
        <f t="shared" si="4"/>
        <v>0.33686100000000002</v>
      </c>
      <c r="S68">
        <f>1700510000*(1/48000000)</f>
        <v>35.427291666666669</v>
      </c>
      <c r="T68">
        <v>50382</v>
      </c>
      <c r="U68" s="1">
        <v>-2.6457999999999999E-2</v>
      </c>
      <c r="V68">
        <f t="shared" si="5"/>
        <v>2.6457999999999999E-2</v>
      </c>
      <c r="W68">
        <f>(4309708*(1/48000000))*1000</f>
        <v>89.785583333333335</v>
      </c>
      <c r="X68" s="1">
        <v>80506</v>
      </c>
      <c r="Y68" s="1">
        <v>-0.18684100000000001</v>
      </c>
      <c r="Z68" s="1">
        <f t="shared" si="6"/>
        <v>0.18684100000000001</v>
      </c>
      <c r="AA68">
        <f>(6893461*(1/48000000))*1000</f>
        <v>143.61377083333335</v>
      </c>
      <c r="AB68" s="1">
        <v>99668</v>
      </c>
      <c r="AC68" s="1">
        <v>-0.23216000000000001</v>
      </c>
      <c r="AD68" s="1">
        <f t="shared" si="7"/>
        <v>0.23216000000000001</v>
      </c>
      <c r="AE68">
        <f>(8531206*(1/48000000))*1000</f>
        <v>177.73345833333335</v>
      </c>
    </row>
    <row r="69" spans="1:31" x14ac:dyDescent="0.2">
      <c r="A69">
        <v>989.3</v>
      </c>
      <c r="B69" s="1">
        <v>19.690266000000001</v>
      </c>
      <c r="C69">
        <f>98884000*(1/48000000)</f>
        <v>2.0600833333333335</v>
      </c>
      <c r="D69">
        <v>1964.5</v>
      </c>
      <c r="E69" s="1">
        <v>7.3874510000000004</v>
      </c>
      <c r="F69" s="2">
        <f>180783000*(1/48000000)</f>
        <v>3.7663125000000002</v>
      </c>
      <c r="G69" s="1">
        <v>5059</v>
      </c>
      <c r="H69" s="1">
        <v>3.5735489999999999</v>
      </c>
      <c r="I69">
        <f>447737000*(1/48000000)</f>
        <v>9.3278541666666666</v>
      </c>
      <c r="J69" s="1">
        <v>8081</v>
      </c>
      <c r="K69" s="1">
        <v>1.3570230000000001</v>
      </c>
      <c r="L69">
        <f>704061000*(1/48000000)</f>
        <v>14.667937500000001</v>
      </c>
      <c r="M69" s="1">
        <v>9878</v>
      </c>
      <c r="N69" s="1">
        <v>0.59167800000000004</v>
      </c>
      <c r="O69">
        <f>851680000*(1/48000000)</f>
        <v>17.743333333333336</v>
      </c>
      <c r="P69" s="1">
        <v>19786</v>
      </c>
      <c r="Q69" s="1">
        <v>0.423101</v>
      </c>
      <c r="R69" s="1">
        <f t="shared" si="4"/>
        <v>0.423101</v>
      </c>
      <c r="S69">
        <f>1700264000*(1/48000000)</f>
        <v>35.422166666666669</v>
      </c>
      <c r="T69">
        <v>50382</v>
      </c>
      <c r="U69" s="1">
        <v>-0.190024</v>
      </c>
      <c r="V69">
        <f t="shared" si="5"/>
        <v>0.190024</v>
      </c>
      <c r="W69">
        <f>(4311570*(1/48000000))*1000</f>
        <v>89.824375000000018</v>
      </c>
      <c r="X69" s="1">
        <v>80506</v>
      </c>
      <c r="Y69" s="1">
        <v>-0.45887699999999998</v>
      </c>
      <c r="Z69" s="1">
        <f t="shared" si="6"/>
        <v>0.45887699999999998</v>
      </c>
      <c r="AA69">
        <f>(6902082*(1/48000000))*1000</f>
        <v>143.793375</v>
      </c>
      <c r="AB69" s="1">
        <v>99668</v>
      </c>
      <c r="AC69" s="1">
        <v>-0.349495</v>
      </c>
      <c r="AD69" s="1">
        <f t="shared" si="7"/>
        <v>0.349495</v>
      </c>
      <c r="AE69">
        <f>(8478022*(1/48000000))*1000</f>
        <v>176.62545833333334</v>
      </c>
    </row>
    <row r="70" spans="1:31" x14ac:dyDescent="0.2">
      <c r="A70">
        <v>989.3</v>
      </c>
      <c r="B70" s="1">
        <v>18.806166000000001</v>
      </c>
      <c r="C70">
        <f>97784000*(1/48000000)</f>
        <v>2.0371666666666668</v>
      </c>
      <c r="D70">
        <v>1964.5</v>
      </c>
      <c r="E70" s="1">
        <v>7.2342779999999998</v>
      </c>
      <c r="F70" s="2">
        <f>181219000*(1/48000000)</f>
        <v>3.7753958333333335</v>
      </c>
      <c r="G70" s="1">
        <v>5059</v>
      </c>
      <c r="H70" s="1">
        <v>3.662998</v>
      </c>
      <c r="I70">
        <f>446264000*(1/48000000)</f>
        <v>9.2971666666666675</v>
      </c>
      <c r="J70" s="1">
        <v>8081</v>
      </c>
      <c r="K70" s="1">
        <v>2.0519240000000001</v>
      </c>
      <c r="L70">
        <f>701053000*(1/48000000)</f>
        <v>14.605270833333334</v>
      </c>
      <c r="M70" s="1">
        <v>9878</v>
      </c>
      <c r="N70" s="1">
        <v>0.64568999999999999</v>
      </c>
      <c r="O70">
        <f>853315000*(1/48000000)</f>
        <v>17.777395833333333</v>
      </c>
      <c r="P70" s="1">
        <v>19786</v>
      </c>
      <c r="Q70" s="1">
        <v>-0.35966599999999999</v>
      </c>
      <c r="R70" s="1">
        <f t="shared" si="4"/>
        <v>0.35966599999999999</v>
      </c>
      <c r="S70">
        <f>1698480000*(1/48000000)</f>
        <v>35.385000000000005</v>
      </c>
      <c r="T70">
        <v>50382</v>
      </c>
      <c r="U70" s="1">
        <v>-0.218168</v>
      </c>
      <c r="V70">
        <f t="shared" si="5"/>
        <v>0.218168</v>
      </c>
      <c r="W70">
        <f>(4288858*(1/48000000))*1000</f>
        <v>89.351208333333332</v>
      </c>
      <c r="X70" s="1">
        <v>80506</v>
      </c>
      <c r="Y70" s="1">
        <v>-0.328287</v>
      </c>
      <c r="Z70" s="1">
        <f t="shared" si="6"/>
        <v>0.328287</v>
      </c>
      <c r="AA70">
        <f>(6891671*(1/48000000))*1000</f>
        <v>143.5764791666667</v>
      </c>
      <c r="AB70" s="1">
        <v>99668</v>
      </c>
      <c r="AC70" s="1">
        <v>-0.14996200000000001</v>
      </c>
      <c r="AD70" s="1">
        <f t="shared" si="7"/>
        <v>0.14996200000000001</v>
      </c>
      <c r="AE70">
        <f>(8533745*(1/48000000))*1000</f>
        <v>177.78635416666668</v>
      </c>
    </row>
    <row r="71" spans="1:31" x14ac:dyDescent="0.2">
      <c r="A71">
        <v>989.3</v>
      </c>
      <c r="B71" s="1">
        <v>18.640398000000001</v>
      </c>
      <c r="C71">
        <f>97814000*(1/48000000)</f>
        <v>2.0377916666666667</v>
      </c>
      <c r="D71">
        <v>1964.5</v>
      </c>
      <c r="E71" s="1">
        <v>6.8658380000000001</v>
      </c>
      <c r="F71" s="2">
        <f>180899000*(1/48000000)</f>
        <v>3.7687291666666667</v>
      </c>
      <c r="G71" s="1">
        <v>5059</v>
      </c>
      <c r="H71" s="1">
        <v>3.6197949999999999</v>
      </c>
      <c r="I71">
        <f>448730000*(1/48000000)</f>
        <v>9.3485416666666676</v>
      </c>
      <c r="J71" s="1">
        <v>8081</v>
      </c>
      <c r="K71" s="1">
        <v>0.69795200000000002</v>
      </c>
      <c r="L71">
        <f>703126000*(1/48000000)</f>
        <v>14.648458333333334</v>
      </c>
      <c r="M71" s="1">
        <v>9878</v>
      </c>
      <c r="N71" s="1">
        <v>0.81030000000000002</v>
      </c>
      <c r="O71">
        <f>853128000*(1/48000000)</f>
        <v>17.773500000000002</v>
      </c>
      <c r="P71" s="1">
        <v>19786</v>
      </c>
      <c r="Q71" s="1">
        <v>-0.30881599999999998</v>
      </c>
      <c r="R71" s="1">
        <f t="shared" si="4"/>
        <v>0.30881599999999998</v>
      </c>
      <c r="S71">
        <f>1703140000*(1/48000000)</f>
        <v>35.482083333333335</v>
      </c>
      <c r="W71">
        <f>(4311267*(1/48000000))*1000</f>
        <v>89.818062500000011</v>
      </c>
      <c r="X71" s="1">
        <v>80506</v>
      </c>
      <c r="Y71" s="1">
        <v>-0.552288</v>
      </c>
      <c r="Z71" s="1">
        <f t="shared" si="6"/>
        <v>0.552288</v>
      </c>
      <c r="AA71">
        <f>(6897647*(1/48000000))*1000</f>
        <v>143.70097916666668</v>
      </c>
      <c r="AB71" s="1">
        <v>99668</v>
      </c>
      <c r="AC71" s="1">
        <v>-0.42578899999999997</v>
      </c>
      <c r="AD71" s="1">
        <f t="shared" si="7"/>
        <v>0.42578899999999997</v>
      </c>
      <c r="AE71">
        <f>(8524384*(1/48000000))*1000</f>
        <v>177.59133333333335</v>
      </c>
    </row>
    <row r="72" spans="1:31" x14ac:dyDescent="0.2">
      <c r="A72">
        <v>989.3</v>
      </c>
      <c r="B72" s="1">
        <v>18.499354</v>
      </c>
      <c r="C72">
        <f>97809000*(1/48000000)</f>
        <v>2.0376875000000001</v>
      </c>
      <c r="D72">
        <v>1964.5</v>
      </c>
      <c r="E72" s="1">
        <v>6.8617650000000001</v>
      </c>
      <c r="F72" s="2">
        <f>180173000*(1/48000000)</f>
        <v>3.7536041666666669</v>
      </c>
      <c r="H72" s="1"/>
      <c r="I72">
        <f>446051000*(1/48000000)</f>
        <v>9.2927291666666676</v>
      </c>
      <c r="K72" s="1"/>
      <c r="L72">
        <f>700457000*(1/48000000)</f>
        <v>14.592854166666667</v>
      </c>
      <c r="O72">
        <f>853704000*(1/48000000)</f>
        <v>17.785500000000003</v>
      </c>
      <c r="P72" s="1">
        <v>19786</v>
      </c>
      <c r="Q72" s="1">
        <v>0.105379</v>
      </c>
      <c r="R72" s="1">
        <f t="shared" si="4"/>
        <v>0.105379</v>
      </c>
      <c r="S72">
        <f>1694631000*(1/48000000)</f>
        <v>35.304812500000004</v>
      </c>
      <c r="W72">
        <f>(4310334*(1/48000000))*1000</f>
        <v>89.798625000000001</v>
      </c>
      <c r="X72" s="1">
        <v>80506</v>
      </c>
      <c r="Y72" s="1">
        <v>-0.52045600000000003</v>
      </c>
      <c r="Z72" s="1">
        <f t="shared" si="6"/>
        <v>0.52045600000000003</v>
      </c>
      <c r="AA72">
        <f>(6876821*(1/48000000))*1000</f>
        <v>143.26710416666668</v>
      </c>
      <c r="AB72" s="1">
        <v>99668</v>
      </c>
      <c r="AC72" s="1">
        <v>-0.19577</v>
      </c>
      <c r="AD72" s="1">
        <f t="shared" si="7"/>
        <v>0.19577</v>
      </c>
      <c r="AE72">
        <f>(8513135*(1/48000000))*1000</f>
        <v>177.35697916666669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6.75uf</vt:lpstr>
      <vt:lpstr>9uf</vt:lpstr>
      <vt:lpstr>4.5uf</vt:lpstr>
      <vt:lpstr>no_extra</vt:lpstr>
      <vt:lpstr>2.25uf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cyan xie</dc:creator>
  <cp:lastModifiedBy>cyan xie</cp:lastModifiedBy>
  <dcterms:created xsi:type="dcterms:W3CDTF">2017-10-12T15:44:15Z</dcterms:created>
  <dcterms:modified xsi:type="dcterms:W3CDTF">2017-10-15T00:38:42Z</dcterms:modified>
</cp:coreProperties>
</file>